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omments1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we\OneDrive\Desktop\Integrum\"/>
    </mc:Choice>
  </mc:AlternateContent>
  <xr:revisionPtr revIDLastSave="0" documentId="13_ncr:1_{6E2952E2-CBB6-48C0-8DE6-B04C0F4ED511}" xr6:coauthVersionLast="47" xr6:coauthVersionMax="47" xr10:uidLastSave="{00000000-0000-0000-0000-000000000000}"/>
  <bookViews>
    <workbookView xWindow="-98" yWindow="-98" windowWidth="21795" windowHeight="12975" firstSheet="7" activeTab="7" xr2:uid="{EDA3FFED-A0FF-455A-AFC4-EAD9445EA8EE}"/>
  </bookViews>
  <sheets>
    <sheet name="SGX C1 Energy &amp; Water" sheetId="6" r:id="rId1"/>
    <sheet name="SGX C2 Energy &amp; Water" sheetId="8" r:id="rId2"/>
    <sheet name="TP1 Energy &amp; Water" sheetId="9" r:id="rId3"/>
    <sheet name="TP2 Energy &amp; Water" sheetId="10" r:id="rId4"/>
    <sheet name="SC Energy &amp; Water" sheetId="11" r:id="rId5"/>
    <sheet name="SLT Energy &amp; Water" sheetId="12" r:id="rId6"/>
    <sheet name="GWY Energy &amp; Water" sheetId="14" r:id="rId7"/>
    <sheet name="UIC Energy &amp; Water" sheetId="15" r:id="rId8"/>
    <sheet name="Exclude Tenants" sheetId="7" state="hidden" r:id="rId9"/>
    <sheet name="Sample 1" sheetId="3" state="hidden" r:id="rId10"/>
    <sheet name="Sample 1_Electrical analysis" sheetId="5" state="hidden" r:id="rId11"/>
    <sheet name="Sample 2_Simplified" sheetId="4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0" l="1"/>
  <c r="F41" i="10"/>
  <c r="F42" i="10"/>
  <c r="F43" i="10"/>
  <c r="F44" i="10"/>
  <c r="F45" i="10"/>
  <c r="F46" i="10"/>
  <c r="F47" i="10"/>
  <c r="F48" i="10"/>
  <c r="F49" i="10"/>
  <c r="F50" i="10"/>
  <c r="F39" i="10"/>
  <c r="E18" i="10"/>
  <c r="E94" i="11"/>
  <c r="E93" i="11"/>
  <c r="F94" i="11"/>
  <c r="F93" i="11"/>
  <c r="F81" i="11"/>
  <c r="F82" i="11"/>
  <c r="F83" i="11"/>
  <c r="F84" i="11"/>
  <c r="F85" i="11"/>
  <c r="F86" i="11"/>
  <c r="F87" i="11"/>
  <c r="F88" i="11"/>
  <c r="F89" i="11"/>
  <c r="F90" i="11"/>
  <c r="F91" i="11"/>
  <c r="F80" i="11"/>
  <c r="F68" i="11"/>
  <c r="F69" i="11"/>
  <c r="F70" i="11"/>
  <c r="F71" i="11"/>
  <c r="F72" i="11"/>
  <c r="F73" i="11"/>
  <c r="F74" i="11"/>
  <c r="F75" i="11"/>
  <c r="F76" i="11"/>
  <c r="F77" i="11"/>
  <c r="F78" i="11"/>
  <c r="F67" i="11"/>
  <c r="F39" i="11"/>
  <c r="F30" i="11"/>
  <c r="E81" i="11"/>
  <c r="E82" i="11"/>
  <c r="E83" i="11"/>
  <c r="E84" i="11"/>
  <c r="E85" i="11"/>
  <c r="E86" i="11"/>
  <c r="E87" i="11"/>
  <c r="E88" i="11"/>
  <c r="E89" i="11"/>
  <c r="E90" i="11"/>
  <c r="E91" i="11"/>
  <c r="E80" i="11"/>
  <c r="E68" i="11"/>
  <c r="E69" i="11"/>
  <c r="E70" i="11"/>
  <c r="E71" i="11"/>
  <c r="E72" i="11"/>
  <c r="E73" i="11"/>
  <c r="E74" i="11"/>
  <c r="E75" i="11"/>
  <c r="E76" i="11"/>
  <c r="E77" i="11"/>
  <c r="E78" i="11"/>
  <c r="E67" i="11"/>
  <c r="E53" i="11"/>
  <c r="E54" i="11"/>
  <c r="E55" i="11"/>
  <c r="E56" i="11"/>
  <c r="E57" i="11"/>
  <c r="E58" i="11"/>
  <c r="E59" i="11"/>
  <c r="E60" i="11"/>
  <c r="E61" i="11"/>
  <c r="E62" i="11"/>
  <c r="E63" i="11"/>
  <c r="E52" i="11"/>
  <c r="F40" i="11"/>
  <c r="F41" i="11"/>
  <c r="F42" i="11"/>
  <c r="F43" i="11"/>
  <c r="F44" i="11"/>
  <c r="F45" i="11"/>
  <c r="F46" i="11"/>
  <c r="F47" i="11"/>
  <c r="F48" i="11"/>
  <c r="F49" i="11"/>
  <c r="F50" i="11"/>
  <c r="F53" i="15"/>
  <c r="M53" i="15" s="1"/>
  <c r="F54" i="15"/>
  <c r="M54" i="15" s="1"/>
  <c r="F55" i="15"/>
  <c r="M55" i="15" s="1"/>
  <c r="F56" i="15"/>
  <c r="M56" i="15" s="1"/>
  <c r="F57" i="15"/>
  <c r="M57" i="15" s="1"/>
  <c r="F58" i="15"/>
  <c r="M58" i="15" s="1"/>
  <c r="F59" i="15"/>
  <c r="M59" i="15" s="1"/>
  <c r="F60" i="15"/>
  <c r="M60" i="15" s="1"/>
  <c r="F61" i="15"/>
  <c r="M61" i="15" s="1"/>
  <c r="F62" i="15"/>
  <c r="M62" i="15" s="1"/>
  <c r="F63" i="15"/>
  <c r="M63" i="15" s="1"/>
  <c r="F52" i="15"/>
  <c r="M52" i="15" s="1"/>
  <c r="M64" i="15" s="1"/>
  <c r="F40" i="15"/>
  <c r="F41" i="15"/>
  <c r="F42" i="15"/>
  <c r="M42" i="15" s="1"/>
  <c r="F43" i="15"/>
  <c r="M43" i="15" s="1"/>
  <c r="F44" i="15"/>
  <c r="M44" i="15" s="1"/>
  <c r="F45" i="15"/>
  <c r="M45" i="15" s="1"/>
  <c r="F46" i="15"/>
  <c r="M46" i="15" s="1"/>
  <c r="F47" i="15"/>
  <c r="M47" i="15" s="1"/>
  <c r="F48" i="15"/>
  <c r="M48" i="15" s="1"/>
  <c r="F49" i="15"/>
  <c r="M49" i="15" s="1"/>
  <c r="F50" i="15"/>
  <c r="M50" i="15" s="1"/>
  <c r="F39" i="15"/>
  <c r="E53" i="15"/>
  <c r="K53" i="15" s="1"/>
  <c r="E54" i="15"/>
  <c r="K54" i="15" s="1"/>
  <c r="E55" i="15"/>
  <c r="K55" i="15" s="1"/>
  <c r="E56" i="15"/>
  <c r="K56" i="15" s="1"/>
  <c r="E57" i="15"/>
  <c r="K57" i="15" s="1"/>
  <c r="E58" i="15"/>
  <c r="K58" i="15" s="1"/>
  <c r="E59" i="15"/>
  <c r="K59" i="15" s="1"/>
  <c r="E60" i="15"/>
  <c r="K60" i="15" s="1"/>
  <c r="E61" i="15"/>
  <c r="K61" i="15" s="1"/>
  <c r="E62" i="15"/>
  <c r="K62" i="15" s="1"/>
  <c r="E63" i="15"/>
  <c r="K63" i="15" s="1"/>
  <c r="E52" i="15"/>
  <c r="E40" i="15"/>
  <c r="K40" i="15" s="1"/>
  <c r="E41" i="15"/>
  <c r="K41" i="15" s="1"/>
  <c r="E42" i="15"/>
  <c r="K42" i="15" s="1"/>
  <c r="E43" i="15"/>
  <c r="K43" i="15" s="1"/>
  <c r="E44" i="15"/>
  <c r="K44" i="15" s="1"/>
  <c r="E45" i="15"/>
  <c r="K45" i="15" s="1"/>
  <c r="E46" i="15"/>
  <c r="K46" i="15" s="1"/>
  <c r="E47" i="15"/>
  <c r="K47" i="15" s="1"/>
  <c r="E48" i="15"/>
  <c r="K48" i="15" s="1"/>
  <c r="E49" i="15"/>
  <c r="K49" i="15" s="1"/>
  <c r="E50" i="15"/>
  <c r="K50" i="15" s="1"/>
  <c r="E39" i="15"/>
  <c r="K39" i="15" s="1"/>
  <c r="F27" i="15"/>
  <c r="F28" i="15"/>
  <c r="F29" i="15"/>
  <c r="F30" i="15"/>
  <c r="F31" i="15"/>
  <c r="F32" i="15"/>
  <c r="F33" i="15"/>
  <c r="F34" i="15"/>
  <c r="F35" i="15"/>
  <c r="F36" i="15"/>
  <c r="F37" i="15"/>
  <c r="F26" i="15"/>
  <c r="E27" i="15"/>
  <c r="K27" i="15" s="1"/>
  <c r="E28" i="15"/>
  <c r="K28" i="15" s="1"/>
  <c r="E29" i="15"/>
  <c r="K29" i="15" s="1"/>
  <c r="E30" i="15"/>
  <c r="K30" i="15" s="1"/>
  <c r="E31" i="15"/>
  <c r="K31" i="15" s="1"/>
  <c r="E32" i="15"/>
  <c r="K32" i="15" s="1"/>
  <c r="E33" i="15"/>
  <c r="K33" i="15" s="1"/>
  <c r="E34" i="15"/>
  <c r="K34" i="15" s="1"/>
  <c r="E35" i="15"/>
  <c r="K35" i="15" s="1"/>
  <c r="E36" i="15"/>
  <c r="K36" i="15" s="1"/>
  <c r="E37" i="15"/>
  <c r="K37" i="15" s="1"/>
  <c r="E26" i="15"/>
  <c r="K26" i="15" s="1"/>
  <c r="F14" i="15"/>
  <c r="F15" i="15"/>
  <c r="F16" i="15"/>
  <c r="F17" i="15"/>
  <c r="F18" i="15"/>
  <c r="F19" i="15"/>
  <c r="F20" i="15"/>
  <c r="F21" i="15"/>
  <c r="F22" i="15"/>
  <c r="F23" i="15"/>
  <c r="F24" i="15"/>
  <c r="F13" i="15"/>
  <c r="E14" i="15"/>
  <c r="K14" i="15" s="1"/>
  <c r="E15" i="15"/>
  <c r="K15" i="15" s="1"/>
  <c r="E16" i="15"/>
  <c r="K16" i="15" s="1"/>
  <c r="E17" i="15"/>
  <c r="K17" i="15" s="1"/>
  <c r="E18" i="15"/>
  <c r="K18" i="15" s="1"/>
  <c r="E19" i="15"/>
  <c r="K19" i="15" s="1"/>
  <c r="E20" i="15"/>
  <c r="K20" i="15" s="1"/>
  <c r="E21" i="15"/>
  <c r="K21" i="15" s="1"/>
  <c r="E22" i="15"/>
  <c r="K22" i="15" s="1"/>
  <c r="E23" i="15"/>
  <c r="K23" i="15" s="1"/>
  <c r="E24" i="15"/>
  <c r="K24" i="15" s="1"/>
  <c r="E13" i="15"/>
  <c r="F94" i="14"/>
  <c r="F95" i="14"/>
  <c r="F93" i="14"/>
  <c r="E94" i="14"/>
  <c r="E93" i="14"/>
  <c r="F81" i="14"/>
  <c r="S81" i="14" s="1"/>
  <c r="F82" i="14"/>
  <c r="O82" i="14" s="1"/>
  <c r="F83" i="14"/>
  <c r="S83" i="14" s="1"/>
  <c r="F84" i="14"/>
  <c r="S84" i="14" s="1"/>
  <c r="F85" i="14"/>
  <c r="O85" i="14" s="1"/>
  <c r="F86" i="14"/>
  <c r="O86" i="14" s="1"/>
  <c r="F87" i="14"/>
  <c r="S87" i="14" s="1"/>
  <c r="F88" i="14"/>
  <c r="S88" i="14" s="1"/>
  <c r="F89" i="14"/>
  <c r="O89" i="14" s="1"/>
  <c r="F90" i="14"/>
  <c r="O90" i="14" s="1"/>
  <c r="F91" i="14"/>
  <c r="S91" i="14" s="1"/>
  <c r="F80" i="14"/>
  <c r="O80" i="14" s="1"/>
  <c r="E81" i="14"/>
  <c r="M81" i="14" s="1"/>
  <c r="E82" i="14"/>
  <c r="M82" i="14" s="1"/>
  <c r="E83" i="14"/>
  <c r="R83" i="14" s="1"/>
  <c r="E84" i="14"/>
  <c r="R84" i="14" s="1"/>
  <c r="E85" i="14"/>
  <c r="M85" i="14" s="1"/>
  <c r="E86" i="14"/>
  <c r="R86" i="14" s="1"/>
  <c r="E87" i="14"/>
  <c r="R87" i="14" s="1"/>
  <c r="E88" i="14"/>
  <c r="M88" i="14" s="1"/>
  <c r="E89" i="14"/>
  <c r="R89" i="14" s="1"/>
  <c r="E90" i="14"/>
  <c r="R90" i="14" s="1"/>
  <c r="E91" i="14"/>
  <c r="M91" i="14" s="1"/>
  <c r="E80" i="14"/>
  <c r="R80" i="14" s="1"/>
  <c r="F68" i="14"/>
  <c r="S68" i="14" s="1"/>
  <c r="F69" i="14"/>
  <c r="S69" i="14" s="1"/>
  <c r="F70" i="14"/>
  <c r="O70" i="14" s="1"/>
  <c r="F71" i="14"/>
  <c r="F72" i="14"/>
  <c r="S72" i="14" s="1"/>
  <c r="F73" i="14"/>
  <c r="O73" i="14" s="1"/>
  <c r="F74" i="14"/>
  <c r="S74" i="14" s="1"/>
  <c r="F75" i="14"/>
  <c r="S75" i="14" s="1"/>
  <c r="F76" i="14"/>
  <c r="O76" i="14" s="1"/>
  <c r="F77" i="14"/>
  <c r="O77" i="14" s="1"/>
  <c r="F78" i="14"/>
  <c r="S78" i="14" s="1"/>
  <c r="F67" i="14"/>
  <c r="S67" i="14" s="1"/>
  <c r="E68" i="14"/>
  <c r="M68" i="14" s="1"/>
  <c r="E69" i="14"/>
  <c r="R69" i="14" s="1"/>
  <c r="E70" i="14"/>
  <c r="M70" i="14" s="1"/>
  <c r="E71" i="14"/>
  <c r="M71" i="14" s="1"/>
  <c r="E72" i="14"/>
  <c r="R72" i="14" s="1"/>
  <c r="E73" i="14"/>
  <c r="R73" i="14" s="1"/>
  <c r="E74" i="14"/>
  <c r="R74" i="14" s="1"/>
  <c r="E75" i="14"/>
  <c r="R75" i="14" s="1"/>
  <c r="E76" i="14"/>
  <c r="R76" i="14" s="1"/>
  <c r="E77" i="14"/>
  <c r="R77" i="14" s="1"/>
  <c r="E78" i="14"/>
  <c r="M78" i="14" s="1"/>
  <c r="E67" i="14"/>
  <c r="M67" i="14" s="1"/>
  <c r="F53" i="14"/>
  <c r="M53" i="14" s="1"/>
  <c r="F54" i="14"/>
  <c r="M54" i="14" s="1"/>
  <c r="F55" i="14"/>
  <c r="M55" i="14" s="1"/>
  <c r="F56" i="14"/>
  <c r="M56" i="14" s="1"/>
  <c r="F57" i="14"/>
  <c r="M57" i="14" s="1"/>
  <c r="F58" i="14"/>
  <c r="M58" i="14" s="1"/>
  <c r="F59" i="14"/>
  <c r="M59" i="14" s="1"/>
  <c r="F60" i="14"/>
  <c r="M60" i="14" s="1"/>
  <c r="F61" i="14"/>
  <c r="M61" i="14" s="1"/>
  <c r="F62" i="14"/>
  <c r="M62" i="14" s="1"/>
  <c r="F63" i="14"/>
  <c r="M63" i="14" s="1"/>
  <c r="F52" i="14"/>
  <c r="M52" i="14" s="1"/>
  <c r="M64" i="14" s="1"/>
  <c r="E53" i="14"/>
  <c r="K53" i="14" s="1"/>
  <c r="E54" i="14"/>
  <c r="K54" i="14" s="1"/>
  <c r="E55" i="14"/>
  <c r="K55" i="14" s="1"/>
  <c r="E56" i="14"/>
  <c r="K56" i="14" s="1"/>
  <c r="E57" i="14"/>
  <c r="K57" i="14" s="1"/>
  <c r="E58" i="14"/>
  <c r="K58" i="14" s="1"/>
  <c r="E59" i="14"/>
  <c r="K59" i="14" s="1"/>
  <c r="E60" i="14"/>
  <c r="K60" i="14" s="1"/>
  <c r="E61" i="14"/>
  <c r="K61" i="14" s="1"/>
  <c r="E62" i="14"/>
  <c r="K62" i="14" s="1"/>
  <c r="E63" i="14"/>
  <c r="K63" i="14" s="1"/>
  <c r="E52" i="14"/>
  <c r="K52" i="14" s="1"/>
  <c r="F68" i="15"/>
  <c r="S68" i="15" s="1"/>
  <c r="F69" i="15"/>
  <c r="O69" i="15" s="1"/>
  <c r="F70" i="15"/>
  <c r="S70" i="15" s="1"/>
  <c r="F71" i="15"/>
  <c r="S71" i="15" s="1"/>
  <c r="F72" i="15"/>
  <c r="S72" i="15" s="1"/>
  <c r="F73" i="15"/>
  <c r="S73" i="15" s="1"/>
  <c r="F74" i="15"/>
  <c r="O74" i="15" s="1"/>
  <c r="F75" i="15"/>
  <c r="O75" i="15" s="1"/>
  <c r="F76" i="15"/>
  <c r="S76" i="15" s="1"/>
  <c r="F77" i="15"/>
  <c r="S77" i="15" s="1"/>
  <c r="F78" i="15"/>
  <c r="O78" i="15" s="1"/>
  <c r="F67" i="15"/>
  <c r="S67" i="15" s="1"/>
  <c r="E68" i="15"/>
  <c r="R68" i="15" s="1"/>
  <c r="E69" i="15"/>
  <c r="R69" i="15" s="1"/>
  <c r="E70" i="15"/>
  <c r="M70" i="15" s="1"/>
  <c r="E71" i="15"/>
  <c r="M71" i="15" s="1"/>
  <c r="E72" i="15"/>
  <c r="M72" i="15" s="1"/>
  <c r="E73" i="15"/>
  <c r="R73" i="15" s="1"/>
  <c r="E74" i="15"/>
  <c r="R74" i="15" s="1"/>
  <c r="E75" i="15"/>
  <c r="R75" i="15" s="1"/>
  <c r="E76" i="15"/>
  <c r="R76" i="15" s="1"/>
  <c r="E77" i="15"/>
  <c r="M77" i="15" s="1"/>
  <c r="E78" i="15"/>
  <c r="M78" i="15" s="1"/>
  <c r="E67" i="15"/>
  <c r="R67" i="15" s="1"/>
  <c r="E94" i="15"/>
  <c r="E93" i="15"/>
  <c r="F81" i="15"/>
  <c r="O81" i="15" s="1"/>
  <c r="F82" i="15"/>
  <c r="O82" i="15" s="1"/>
  <c r="F83" i="15"/>
  <c r="S83" i="15" s="1"/>
  <c r="F84" i="15"/>
  <c r="O84" i="15" s="1"/>
  <c r="F85" i="15"/>
  <c r="S85" i="15" s="1"/>
  <c r="F86" i="15"/>
  <c r="O86" i="15" s="1"/>
  <c r="F87" i="15"/>
  <c r="S87" i="15" s="1"/>
  <c r="F88" i="15"/>
  <c r="S88" i="15" s="1"/>
  <c r="F89" i="15"/>
  <c r="O89" i="15" s="1"/>
  <c r="F90" i="15"/>
  <c r="S90" i="15" s="1"/>
  <c r="F91" i="15"/>
  <c r="S91" i="15" s="1"/>
  <c r="F80" i="15"/>
  <c r="S80" i="15" s="1"/>
  <c r="E81" i="15"/>
  <c r="R81" i="15" s="1"/>
  <c r="E82" i="15"/>
  <c r="R82" i="15" s="1"/>
  <c r="E83" i="15"/>
  <c r="R83" i="15" s="1"/>
  <c r="E84" i="15"/>
  <c r="M84" i="15" s="1"/>
  <c r="E85" i="15"/>
  <c r="R85" i="15" s="1"/>
  <c r="E86" i="15"/>
  <c r="R86" i="15" s="1"/>
  <c r="E87" i="15"/>
  <c r="M87" i="15" s="1"/>
  <c r="E88" i="15"/>
  <c r="R88" i="15" s="1"/>
  <c r="E89" i="15"/>
  <c r="R89" i="15" s="1"/>
  <c r="E90" i="15"/>
  <c r="R90" i="15" s="1"/>
  <c r="E91" i="15"/>
  <c r="M91" i="15" s="1"/>
  <c r="E80" i="15"/>
  <c r="R80" i="15" s="1"/>
  <c r="F40" i="14"/>
  <c r="F41" i="14"/>
  <c r="F42" i="14"/>
  <c r="M42" i="14" s="1"/>
  <c r="F43" i="14"/>
  <c r="M43" i="14" s="1"/>
  <c r="F44" i="14"/>
  <c r="M44" i="14" s="1"/>
  <c r="F45" i="14"/>
  <c r="M45" i="14" s="1"/>
  <c r="F46" i="14"/>
  <c r="M46" i="14" s="1"/>
  <c r="F47" i="14"/>
  <c r="M47" i="14" s="1"/>
  <c r="F48" i="14"/>
  <c r="M48" i="14" s="1"/>
  <c r="F49" i="14"/>
  <c r="M49" i="14" s="1"/>
  <c r="F50" i="14"/>
  <c r="M50" i="14" s="1"/>
  <c r="F39" i="14"/>
  <c r="E40" i="14"/>
  <c r="K40" i="14" s="1"/>
  <c r="E41" i="14"/>
  <c r="K41" i="14" s="1"/>
  <c r="E42" i="14"/>
  <c r="K42" i="14" s="1"/>
  <c r="E43" i="14"/>
  <c r="K43" i="14" s="1"/>
  <c r="E44" i="14"/>
  <c r="K44" i="14" s="1"/>
  <c r="E45" i="14"/>
  <c r="K45" i="14" s="1"/>
  <c r="E46" i="14"/>
  <c r="K46" i="14" s="1"/>
  <c r="E47" i="14"/>
  <c r="K47" i="14" s="1"/>
  <c r="E48" i="14"/>
  <c r="K48" i="14" s="1"/>
  <c r="E49" i="14"/>
  <c r="K49" i="14" s="1"/>
  <c r="E50" i="14"/>
  <c r="K50" i="14" s="1"/>
  <c r="E39" i="14"/>
  <c r="K39" i="14" s="1"/>
  <c r="F27" i="14"/>
  <c r="F28" i="14"/>
  <c r="F29" i="14"/>
  <c r="F30" i="14"/>
  <c r="F31" i="14"/>
  <c r="F32" i="14"/>
  <c r="F33" i="14"/>
  <c r="F34" i="14"/>
  <c r="F35" i="14"/>
  <c r="F36" i="14"/>
  <c r="F37" i="14"/>
  <c r="F26" i="14"/>
  <c r="E27" i="14"/>
  <c r="K27" i="14" s="1"/>
  <c r="E28" i="14"/>
  <c r="K28" i="14" s="1"/>
  <c r="E29" i="14"/>
  <c r="K29" i="14" s="1"/>
  <c r="E30" i="14"/>
  <c r="K30" i="14" s="1"/>
  <c r="E31" i="14"/>
  <c r="K31" i="14" s="1"/>
  <c r="E32" i="14"/>
  <c r="K32" i="14" s="1"/>
  <c r="E33" i="14"/>
  <c r="E34" i="14"/>
  <c r="K34" i="14" s="1"/>
  <c r="E35" i="14"/>
  <c r="K35" i="14" s="1"/>
  <c r="E36" i="14"/>
  <c r="K36" i="14" s="1"/>
  <c r="E37" i="14"/>
  <c r="K37" i="14" s="1"/>
  <c r="E26" i="14"/>
  <c r="K26" i="14" s="1"/>
  <c r="E14" i="14"/>
  <c r="K14" i="14" s="1"/>
  <c r="E15" i="14"/>
  <c r="K15" i="14" s="1"/>
  <c r="E16" i="14"/>
  <c r="E17" i="14"/>
  <c r="K17" i="14" s="1"/>
  <c r="E18" i="14"/>
  <c r="K18" i="14" s="1"/>
  <c r="E19" i="14"/>
  <c r="K19" i="14" s="1"/>
  <c r="E20" i="14"/>
  <c r="K20" i="14" s="1"/>
  <c r="E21" i="14"/>
  <c r="K21" i="14" s="1"/>
  <c r="E22" i="14"/>
  <c r="K22" i="14" s="1"/>
  <c r="E23" i="14"/>
  <c r="K23" i="14" s="1"/>
  <c r="E24" i="14"/>
  <c r="K24" i="14" s="1"/>
  <c r="E13" i="14"/>
  <c r="F14" i="14"/>
  <c r="F15" i="14"/>
  <c r="F16" i="14"/>
  <c r="F17" i="14"/>
  <c r="F18" i="14"/>
  <c r="F19" i="14"/>
  <c r="F20" i="14"/>
  <c r="F21" i="14"/>
  <c r="F22" i="14"/>
  <c r="F23" i="14"/>
  <c r="F24" i="14"/>
  <c r="F13" i="14"/>
  <c r="F81" i="12"/>
  <c r="F82" i="12"/>
  <c r="F83" i="12"/>
  <c r="F84" i="12"/>
  <c r="F85" i="12"/>
  <c r="F86" i="12"/>
  <c r="F87" i="12"/>
  <c r="F88" i="12"/>
  <c r="F89" i="12"/>
  <c r="F90" i="12"/>
  <c r="F91" i="12"/>
  <c r="F80" i="12"/>
  <c r="E81" i="12"/>
  <c r="E82" i="12"/>
  <c r="E83" i="12"/>
  <c r="E84" i="12"/>
  <c r="E85" i="12"/>
  <c r="E86" i="12"/>
  <c r="E87" i="12"/>
  <c r="E88" i="12"/>
  <c r="E89" i="12"/>
  <c r="E90" i="12"/>
  <c r="E91" i="12"/>
  <c r="E80" i="12"/>
  <c r="F68" i="12"/>
  <c r="F69" i="12"/>
  <c r="F70" i="12"/>
  <c r="F71" i="12"/>
  <c r="F72" i="12"/>
  <c r="F73" i="12"/>
  <c r="F74" i="12"/>
  <c r="F75" i="12"/>
  <c r="F76" i="12"/>
  <c r="F77" i="12"/>
  <c r="F78" i="12"/>
  <c r="F67" i="12"/>
  <c r="E68" i="12"/>
  <c r="E69" i="12"/>
  <c r="E70" i="12"/>
  <c r="E71" i="12"/>
  <c r="E72" i="12"/>
  <c r="E73" i="12"/>
  <c r="E74" i="12"/>
  <c r="E75" i="12"/>
  <c r="E76" i="12"/>
  <c r="E77" i="12"/>
  <c r="E78" i="12"/>
  <c r="E67" i="12"/>
  <c r="F56" i="12"/>
  <c r="F52" i="12"/>
  <c r="F53" i="12"/>
  <c r="F54" i="12"/>
  <c r="F55" i="12"/>
  <c r="F57" i="12"/>
  <c r="F58" i="12"/>
  <c r="F59" i="12"/>
  <c r="F61" i="12"/>
  <c r="F62" i="12"/>
  <c r="F63" i="12"/>
  <c r="F60" i="12"/>
  <c r="E53" i="12"/>
  <c r="E54" i="12"/>
  <c r="E55" i="12"/>
  <c r="E56" i="12"/>
  <c r="E57" i="12"/>
  <c r="E58" i="12"/>
  <c r="E59" i="12"/>
  <c r="E60" i="12"/>
  <c r="E61" i="12"/>
  <c r="E62" i="12"/>
  <c r="E63" i="12"/>
  <c r="E52" i="12"/>
  <c r="F40" i="12"/>
  <c r="F41" i="12"/>
  <c r="F42" i="12"/>
  <c r="F43" i="12"/>
  <c r="F44" i="12"/>
  <c r="F45" i="12"/>
  <c r="F46" i="12"/>
  <c r="F47" i="12"/>
  <c r="F48" i="12"/>
  <c r="F49" i="12"/>
  <c r="F50" i="12"/>
  <c r="F39" i="12"/>
  <c r="E40" i="12"/>
  <c r="E41" i="12"/>
  <c r="E42" i="12"/>
  <c r="E43" i="12"/>
  <c r="E44" i="12"/>
  <c r="E45" i="12"/>
  <c r="E46" i="12"/>
  <c r="E47" i="12"/>
  <c r="E48" i="12"/>
  <c r="E49" i="12"/>
  <c r="E50" i="12"/>
  <c r="E39" i="12"/>
  <c r="F27" i="12"/>
  <c r="F28" i="12"/>
  <c r="F29" i="12"/>
  <c r="F30" i="12"/>
  <c r="F31" i="12"/>
  <c r="F32" i="12"/>
  <c r="F33" i="12"/>
  <c r="F34" i="12"/>
  <c r="F35" i="12"/>
  <c r="F36" i="12"/>
  <c r="F37" i="12"/>
  <c r="F26" i="12"/>
  <c r="E27" i="12"/>
  <c r="E28" i="12"/>
  <c r="E29" i="12"/>
  <c r="E30" i="12"/>
  <c r="E31" i="12"/>
  <c r="E32" i="12"/>
  <c r="E33" i="12"/>
  <c r="E34" i="12"/>
  <c r="E35" i="12"/>
  <c r="E36" i="12"/>
  <c r="E37" i="12"/>
  <c r="E26" i="12"/>
  <c r="F14" i="12"/>
  <c r="F15" i="12"/>
  <c r="F16" i="12"/>
  <c r="F17" i="12"/>
  <c r="F18" i="12"/>
  <c r="F19" i="12"/>
  <c r="F20" i="12"/>
  <c r="F21" i="12"/>
  <c r="F22" i="12"/>
  <c r="F23" i="12"/>
  <c r="F24" i="12"/>
  <c r="F13" i="12"/>
  <c r="E14" i="12"/>
  <c r="E15" i="12"/>
  <c r="E16" i="12"/>
  <c r="E17" i="12"/>
  <c r="E18" i="12"/>
  <c r="E19" i="12"/>
  <c r="E20" i="12"/>
  <c r="E21" i="12"/>
  <c r="E22" i="12"/>
  <c r="E23" i="12"/>
  <c r="E24" i="12"/>
  <c r="E13" i="12"/>
  <c r="F53" i="11"/>
  <c r="F54" i="11"/>
  <c r="F55" i="11"/>
  <c r="F56" i="11"/>
  <c r="F57" i="11"/>
  <c r="F58" i="11"/>
  <c r="F59" i="11"/>
  <c r="F60" i="11"/>
  <c r="F61" i="11"/>
  <c r="F62" i="11"/>
  <c r="F63" i="11"/>
  <c r="F52" i="11"/>
  <c r="E40" i="11"/>
  <c r="E41" i="11"/>
  <c r="E42" i="11"/>
  <c r="E43" i="11"/>
  <c r="E44" i="11"/>
  <c r="E45" i="11"/>
  <c r="E46" i="11"/>
  <c r="E47" i="11"/>
  <c r="E48" i="11"/>
  <c r="E49" i="11"/>
  <c r="E50" i="11"/>
  <c r="E39" i="11"/>
  <c r="F27" i="11"/>
  <c r="F28" i="11"/>
  <c r="F29" i="11"/>
  <c r="F31" i="11"/>
  <c r="F32" i="11"/>
  <c r="F33" i="11"/>
  <c r="F34" i="11"/>
  <c r="F35" i="11"/>
  <c r="F36" i="11"/>
  <c r="F37" i="11"/>
  <c r="F26" i="11"/>
  <c r="E27" i="11"/>
  <c r="E28" i="11"/>
  <c r="E29" i="11"/>
  <c r="E30" i="11"/>
  <c r="E31" i="11"/>
  <c r="E32" i="11"/>
  <c r="E33" i="11"/>
  <c r="E34" i="11"/>
  <c r="E35" i="11"/>
  <c r="E36" i="11"/>
  <c r="E37" i="11"/>
  <c r="E26" i="11"/>
  <c r="F14" i="11"/>
  <c r="F15" i="11"/>
  <c r="F16" i="11"/>
  <c r="F17" i="11"/>
  <c r="F18" i="11"/>
  <c r="F19" i="11"/>
  <c r="F20" i="11"/>
  <c r="F21" i="11"/>
  <c r="F22" i="11"/>
  <c r="F23" i="11"/>
  <c r="F24" i="11"/>
  <c r="F13" i="11"/>
  <c r="E14" i="11"/>
  <c r="E15" i="11"/>
  <c r="E16" i="11"/>
  <c r="E17" i="11"/>
  <c r="E18" i="11"/>
  <c r="E19" i="11"/>
  <c r="E20" i="11"/>
  <c r="E21" i="11"/>
  <c r="E22" i="11"/>
  <c r="E23" i="11"/>
  <c r="E24" i="11"/>
  <c r="E13" i="11"/>
  <c r="F94" i="10"/>
  <c r="F93" i="10"/>
  <c r="E94" i="10"/>
  <c r="E93" i="10"/>
  <c r="F81" i="10"/>
  <c r="F82" i="10"/>
  <c r="F83" i="10"/>
  <c r="F84" i="10"/>
  <c r="F85" i="10"/>
  <c r="F86" i="10"/>
  <c r="F87" i="10"/>
  <c r="F88" i="10"/>
  <c r="F89" i="10"/>
  <c r="F90" i="10"/>
  <c r="F91" i="10"/>
  <c r="F80" i="10"/>
  <c r="E81" i="10"/>
  <c r="E82" i="10"/>
  <c r="E83" i="10"/>
  <c r="E84" i="10"/>
  <c r="E85" i="10"/>
  <c r="E86" i="10"/>
  <c r="E87" i="10"/>
  <c r="E88" i="10"/>
  <c r="E89" i="10"/>
  <c r="E90" i="10"/>
  <c r="E91" i="10"/>
  <c r="E80" i="10"/>
  <c r="F68" i="10"/>
  <c r="F69" i="10"/>
  <c r="F70" i="10"/>
  <c r="F71" i="10"/>
  <c r="F72" i="10"/>
  <c r="F73" i="10"/>
  <c r="F74" i="10"/>
  <c r="F75" i="10"/>
  <c r="F76" i="10"/>
  <c r="F77" i="10"/>
  <c r="F78" i="10"/>
  <c r="F67" i="10"/>
  <c r="E68" i="10"/>
  <c r="E69" i="10"/>
  <c r="E70" i="10"/>
  <c r="E71" i="10"/>
  <c r="E72" i="10"/>
  <c r="E73" i="10"/>
  <c r="E74" i="10"/>
  <c r="E75" i="10"/>
  <c r="E76" i="10"/>
  <c r="E77" i="10"/>
  <c r="E78" i="10"/>
  <c r="E67" i="10"/>
  <c r="F53" i="10"/>
  <c r="F54" i="10"/>
  <c r="F55" i="10"/>
  <c r="F56" i="10"/>
  <c r="F57" i="10"/>
  <c r="F58" i="10"/>
  <c r="F59" i="10"/>
  <c r="F60" i="10"/>
  <c r="F61" i="10"/>
  <c r="F62" i="10"/>
  <c r="F63" i="10"/>
  <c r="F52" i="10"/>
  <c r="E53" i="10"/>
  <c r="E54" i="10"/>
  <c r="E55" i="10"/>
  <c r="E56" i="10"/>
  <c r="E57" i="10"/>
  <c r="E58" i="10"/>
  <c r="E59" i="10"/>
  <c r="E60" i="10"/>
  <c r="E61" i="10"/>
  <c r="E62" i="10"/>
  <c r="E63" i="10"/>
  <c r="E52" i="10"/>
  <c r="E40" i="10"/>
  <c r="E41" i="10"/>
  <c r="E42" i="10"/>
  <c r="E43" i="10"/>
  <c r="E44" i="10"/>
  <c r="E45" i="10"/>
  <c r="E46" i="10"/>
  <c r="E47" i="10"/>
  <c r="E48" i="10"/>
  <c r="E49" i="10"/>
  <c r="E50" i="10"/>
  <c r="E39" i="10"/>
  <c r="F27" i="10"/>
  <c r="F28" i="10"/>
  <c r="F29" i="10"/>
  <c r="F30" i="10"/>
  <c r="F31" i="10"/>
  <c r="F32" i="10"/>
  <c r="F33" i="10"/>
  <c r="F34" i="10"/>
  <c r="F35" i="10"/>
  <c r="F36" i="10"/>
  <c r="F37" i="10"/>
  <c r="F26" i="10"/>
  <c r="E27" i="10"/>
  <c r="E28" i="10"/>
  <c r="E29" i="10"/>
  <c r="E30" i="10"/>
  <c r="E31" i="10"/>
  <c r="E32" i="10"/>
  <c r="E33" i="10"/>
  <c r="E34" i="10"/>
  <c r="E35" i="10"/>
  <c r="E36" i="10"/>
  <c r="E37" i="10"/>
  <c r="E26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E14" i="10"/>
  <c r="E15" i="10"/>
  <c r="E16" i="10"/>
  <c r="E17" i="10"/>
  <c r="E19" i="10"/>
  <c r="E20" i="10"/>
  <c r="E21" i="10"/>
  <c r="E22" i="10"/>
  <c r="E23" i="10"/>
  <c r="E24" i="10"/>
  <c r="E13" i="10"/>
  <c r="E94" i="9"/>
  <c r="E93" i="9"/>
  <c r="F94" i="9"/>
  <c r="F93" i="9"/>
  <c r="F81" i="9"/>
  <c r="F82" i="9"/>
  <c r="F83" i="9"/>
  <c r="F84" i="9"/>
  <c r="F85" i="9"/>
  <c r="F86" i="9"/>
  <c r="F87" i="9"/>
  <c r="F88" i="9"/>
  <c r="F89" i="9"/>
  <c r="F90" i="9"/>
  <c r="F91" i="9"/>
  <c r="F80" i="9"/>
  <c r="E81" i="9"/>
  <c r="E82" i="9"/>
  <c r="E83" i="9"/>
  <c r="E84" i="9"/>
  <c r="E85" i="9"/>
  <c r="E86" i="9"/>
  <c r="E87" i="9"/>
  <c r="E88" i="9"/>
  <c r="E89" i="9"/>
  <c r="E90" i="9"/>
  <c r="E91" i="9"/>
  <c r="E80" i="9"/>
  <c r="F68" i="9"/>
  <c r="F69" i="9"/>
  <c r="F70" i="9"/>
  <c r="F71" i="9"/>
  <c r="F72" i="9"/>
  <c r="F73" i="9"/>
  <c r="F74" i="9"/>
  <c r="F75" i="9"/>
  <c r="F76" i="9"/>
  <c r="F77" i="9"/>
  <c r="F78" i="9"/>
  <c r="F67" i="9"/>
  <c r="E68" i="9"/>
  <c r="E69" i="9"/>
  <c r="E70" i="9"/>
  <c r="E71" i="9"/>
  <c r="E72" i="9"/>
  <c r="E73" i="9"/>
  <c r="E74" i="9"/>
  <c r="E75" i="9"/>
  <c r="E76" i="9"/>
  <c r="E77" i="9"/>
  <c r="E78" i="9"/>
  <c r="E67" i="9"/>
  <c r="F53" i="9"/>
  <c r="F54" i="9"/>
  <c r="F55" i="9"/>
  <c r="F56" i="9"/>
  <c r="F57" i="9"/>
  <c r="F58" i="9"/>
  <c r="F59" i="9"/>
  <c r="F60" i="9"/>
  <c r="F61" i="9"/>
  <c r="F62" i="9"/>
  <c r="F63" i="9"/>
  <c r="F52" i="9"/>
  <c r="E53" i="9"/>
  <c r="E54" i="9"/>
  <c r="E55" i="9"/>
  <c r="E56" i="9"/>
  <c r="E57" i="9"/>
  <c r="E58" i="9"/>
  <c r="E59" i="9"/>
  <c r="E60" i="9"/>
  <c r="E61" i="9"/>
  <c r="E62" i="9"/>
  <c r="E63" i="9"/>
  <c r="E52" i="9"/>
  <c r="F39" i="9"/>
  <c r="E40" i="9"/>
  <c r="E41" i="9"/>
  <c r="E42" i="9"/>
  <c r="E43" i="9"/>
  <c r="E44" i="9"/>
  <c r="E45" i="9"/>
  <c r="E46" i="9"/>
  <c r="E47" i="9"/>
  <c r="E48" i="9"/>
  <c r="E49" i="9"/>
  <c r="E50" i="9"/>
  <c r="E39" i="9"/>
  <c r="F27" i="9"/>
  <c r="F28" i="9"/>
  <c r="F29" i="9"/>
  <c r="F30" i="9"/>
  <c r="F31" i="9"/>
  <c r="F32" i="9"/>
  <c r="F33" i="9"/>
  <c r="F34" i="9"/>
  <c r="F35" i="9"/>
  <c r="F36" i="9"/>
  <c r="F37" i="9"/>
  <c r="F26" i="9"/>
  <c r="E27" i="9"/>
  <c r="E28" i="9"/>
  <c r="E29" i="9"/>
  <c r="E30" i="9"/>
  <c r="E31" i="9"/>
  <c r="E32" i="9"/>
  <c r="E33" i="9"/>
  <c r="E34" i="9"/>
  <c r="E35" i="9"/>
  <c r="E36" i="9"/>
  <c r="E37" i="9"/>
  <c r="E26" i="9"/>
  <c r="F14" i="9"/>
  <c r="F15" i="9"/>
  <c r="F16" i="9"/>
  <c r="F17" i="9"/>
  <c r="F18" i="9"/>
  <c r="F19" i="9"/>
  <c r="F20" i="9"/>
  <c r="F21" i="9"/>
  <c r="F22" i="9"/>
  <c r="F23" i="9"/>
  <c r="F24" i="9"/>
  <c r="F13" i="9"/>
  <c r="E14" i="9"/>
  <c r="E15" i="9"/>
  <c r="E16" i="9"/>
  <c r="E17" i="9"/>
  <c r="E18" i="9"/>
  <c r="E19" i="9"/>
  <c r="E20" i="9"/>
  <c r="E21" i="9"/>
  <c r="E22" i="9"/>
  <c r="E23" i="9"/>
  <c r="E24" i="9"/>
  <c r="E13" i="9"/>
  <c r="F94" i="8"/>
  <c r="F95" i="8"/>
  <c r="F93" i="8"/>
  <c r="F94" i="6"/>
  <c r="F95" i="6"/>
  <c r="F93" i="6"/>
  <c r="E94" i="8"/>
  <c r="E93" i="8"/>
  <c r="F81" i="8"/>
  <c r="F82" i="8"/>
  <c r="F83" i="8"/>
  <c r="F84" i="8"/>
  <c r="F85" i="8"/>
  <c r="F86" i="8"/>
  <c r="F87" i="8"/>
  <c r="F88" i="8"/>
  <c r="F89" i="8"/>
  <c r="F90" i="8"/>
  <c r="F91" i="8"/>
  <c r="F80" i="8"/>
  <c r="E81" i="8"/>
  <c r="E82" i="8"/>
  <c r="E83" i="8"/>
  <c r="E84" i="8"/>
  <c r="E85" i="8"/>
  <c r="E86" i="8"/>
  <c r="E87" i="8"/>
  <c r="E88" i="8"/>
  <c r="E89" i="8"/>
  <c r="E90" i="8"/>
  <c r="E91" i="8"/>
  <c r="E80" i="8"/>
  <c r="F68" i="8"/>
  <c r="F69" i="8"/>
  <c r="F70" i="8"/>
  <c r="F71" i="8"/>
  <c r="F72" i="8"/>
  <c r="F73" i="8"/>
  <c r="F74" i="8"/>
  <c r="F75" i="8"/>
  <c r="F76" i="8"/>
  <c r="F77" i="8"/>
  <c r="F78" i="8"/>
  <c r="F67" i="8"/>
  <c r="E68" i="8"/>
  <c r="E69" i="8"/>
  <c r="E70" i="8"/>
  <c r="E71" i="8"/>
  <c r="E72" i="8"/>
  <c r="E73" i="8"/>
  <c r="E74" i="8"/>
  <c r="E75" i="8"/>
  <c r="E76" i="8"/>
  <c r="E77" i="8"/>
  <c r="E78" i="8"/>
  <c r="E67" i="8"/>
  <c r="F53" i="8"/>
  <c r="F54" i="8"/>
  <c r="F55" i="8"/>
  <c r="F56" i="8"/>
  <c r="F57" i="8"/>
  <c r="F58" i="8"/>
  <c r="F59" i="8"/>
  <c r="F60" i="8"/>
  <c r="F61" i="8"/>
  <c r="F62" i="8"/>
  <c r="F63" i="8"/>
  <c r="F52" i="8"/>
  <c r="E53" i="8"/>
  <c r="E54" i="8"/>
  <c r="E55" i="8"/>
  <c r="E56" i="8"/>
  <c r="E57" i="8"/>
  <c r="E58" i="8"/>
  <c r="E59" i="8"/>
  <c r="E60" i="8"/>
  <c r="E61" i="8"/>
  <c r="E62" i="8"/>
  <c r="E63" i="8"/>
  <c r="E52" i="8"/>
  <c r="F40" i="8"/>
  <c r="F41" i="8"/>
  <c r="F42" i="8"/>
  <c r="F43" i="8"/>
  <c r="F44" i="8"/>
  <c r="F45" i="8"/>
  <c r="F46" i="8"/>
  <c r="F47" i="8"/>
  <c r="F48" i="8"/>
  <c r="F49" i="8"/>
  <c r="F50" i="8"/>
  <c r="F39" i="8"/>
  <c r="E40" i="8"/>
  <c r="E41" i="8"/>
  <c r="E42" i="8"/>
  <c r="E43" i="8"/>
  <c r="E44" i="8"/>
  <c r="E45" i="8"/>
  <c r="E46" i="8"/>
  <c r="E47" i="8"/>
  <c r="E48" i="8"/>
  <c r="E49" i="8"/>
  <c r="E50" i="8"/>
  <c r="E39" i="8"/>
  <c r="E27" i="8"/>
  <c r="E28" i="8"/>
  <c r="E29" i="8"/>
  <c r="E30" i="8"/>
  <c r="E31" i="8"/>
  <c r="E32" i="8"/>
  <c r="E33" i="8"/>
  <c r="E34" i="8"/>
  <c r="E35" i="8"/>
  <c r="E36" i="8"/>
  <c r="E37" i="8"/>
  <c r="E26" i="8"/>
  <c r="F27" i="8"/>
  <c r="F28" i="8"/>
  <c r="F29" i="8"/>
  <c r="F30" i="8"/>
  <c r="F31" i="8"/>
  <c r="F32" i="8"/>
  <c r="F33" i="8"/>
  <c r="F34" i="8"/>
  <c r="F35" i="8"/>
  <c r="F36" i="8"/>
  <c r="F37" i="8"/>
  <c r="F26" i="8"/>
  <c r="F14" i="8"/>
  <c r="M14" i="8" s="1"/>
  <c r="F15" i="8"/>
  <c r="F16" i="8"/>
  <c r="F17" i="8"/>
  <c r="F18" i="8"/>
  <c r="F19" i="8"/>
  <c r="F20" i="8"/>
  <c r="F21" i="8"/>
  <c r="F22" i="8"/>
  <c r="F23" i="8"/>
  <c r="F24" i="8"/>
  <c r="F13" i="8"/>
  <c r="E13" i="8"/>
  <c r="E14" i="8"/>
  <c r="E15" i="8"/>
  <c r="E16" i="8"/>
  <c r="E17" i="8"/>
  <c r="E18" i="8"/>
  <c r="E19" i="8"/>
  <c r="E20" i="8"/>
  <c r="E21" i="8"/>
  <c r="E22" i="8"/>
  <c r="E23" i="8"/>
  <c r="E90" i="6"/>
  <c r="E24" i="8"/>
  <c r="F81" i="6"/>
  <c r="F82" i="6"/>
  <c r="F83" i="6"/>
  <c r="F84" i="6"/>
  <c r="F85" i="6"/>
  <c r="F86" i="6"/>
  <c r="F87" i="6"/>
  <c r="F88" i="6"/>
  <c r="F89" i="6"/>
  <c r="F90" i="6"/>
  <c r="F91" i="6"/>
  <c r="F80" i="6"/>
  <c r="F68" i="6"/>
  <c r="F69" i="6"/>
  <c r="F70" i="6"/>
  <c r="F71" i="6"/>
  <c r="F72" i="6"/>
  <c r="F73" i="6"/>
  <c r="F74" i="6"/>
  <c r="F75" i="6"/>
  <c r="F76" i="6"/>
  <c r="F77" i="6"/>
  <c r="F78" i="6"/>
  <c r="F67" i="6"/>
  <c r="F53" i="6"/>
  <c r="F54" i="6"/>
  <c r="F55" i="6"/>
  <c r="F56" i="6"/>
  <c r="F57" i="6"/>
  <c r="F58" i="6"/>
  <c r="F59" i="6"/>
  <c r="F60" i="6"/>
  <c r="F61" i="6"/>
  <c r="F62" i="6"/>
  <c r="F63" i="6"/>
  <c r="F52" i="6"/>
  <c r="F48" i="6"/>
  <c r="F40" i="6"/>
  <c r="F41" i="6"/>
  <c r="F42" i="6"/>
  <c r="F43" i="6"/>
  <c r="F44" i="6"/>
  <c r="F45" i="6"/>
  <c r="F46" i="6"/>
  <c r="F47" i="6"/>
  <c r="F49" i="6"/>
  <c r="F50" i="6"/>
  <c r="F39" i="6"/>
  <c r="F27" i="6"/>
  <c r="F28" i="6"/>
  <c r="F29" i="6"/>
  <c r="F30" i="6"/>
  <c r="F31" i="6"/>
  <c r="F32" i="6"/>
  <c r="F33" i="6"/>
  <c r="F34" i="6"/>
  <c r="F35" i="6"/>
  <c r="F36" i="6"/>
  <c r="F37" i="6"/>
  <c r="F26" i="6"/>
  <c r="F14" i="6"/>
  <c r="F15" i="6"/>
  <c r="F16" i="6"/>
  <c r="F17" i="6"/>
  <c r="F18" i="6"/>
  <c r="F19" i="6"/>
  <c r="F20" i="6"/>
  <c r="F21" i="6"/>
  <c r="F22" i="6"/>
  <c r="F23" i="6"/>
  <c r="F24" i="6"/>
  <c r="F13" i="6"/>
  <c r="E94" i="6"/>
  <c r="E93" i="6"/>
  <c r="E81" i="6"/>
  <c r="E82" i="6"/>
  <c r="E83" i="6"/>
  <c r="E84" i="6"/>
  <c r="E85" i="6"/>
  <c r="E86" i="6"/>
  <c r="E87" i="6"/>
  <c r="E88" i="6"/>
  <c r="E89" i="6"/>
  <c r="E91" i="6"/>
  <c r="E80" i="6"/>
  <c r="E68" i="6"/>
  <c r="E69" i="6"/>
  <c r="E70" i="6"/>
  <c r="E71" i="6"/>
  <c r="E72" i="6"/>
  <c r="E73" i="6"/>
  <c r="E74" i="6"/>
  <c r="E75" i="6"/>
  <c r="E76" i="6"/>
  <c r="E77" i="6"/>
  <c r="E78" i="6"/>
  <c r="E67" i="6"/>
  <c r="E53" i="6"/>
  <c r="E54" i="6"/>
  <c r="E55" i="6"/>
  <c r="E56" i="6"/>
  <c r="E57" i="6"/>
  <c r="E58" i="6"/>
  <c r="E59" i="6"/>
  <c r="E60" i="6"/>
  <c r="E61" i="6"/>
  <c r="E62" i="6"/>
  <c r="E63" i="6"/>
  <c r="E52" i="6"/>
  <c r="E40" i="6"/>
  <c r="E41" i="6"/>
  <c r="E42" i="6"/>
  <c r="E43" i="6"/>
  <c r="E44" i="6"/>
  <c r="E45" i="6"/>
  <c r="E46" i="6"/>
  <c r="E47" i="6"/>
  <c r="E48" i="6"/>
  <c r="E49" i="6"/>
  <c r="E50" i="6"/>
  <c r="E39" i="6"/>
  <c r="E27" i="6"/>
  <c r="E28" i="6"/>
  <c r="E29" i="6"/>
  <c r="E30" i="6"/>
  <c r="E31" i="6"/>
  <c r="E32" i="6"/>
  <c r="E33" i="6"/>
  <c r="E34" i="6"/>
  <c r="E35" i="6"/>
  <c r="E36" i="6"/>
  <c r="E37" i="6"/>
  <c r="E26" i="6"/>
  <c r="E14" i="6"/>
  <c r="E15" i="6"/>
  <c r="E16" i="6"/>
  <c r="E17" i="6"/>
  <c r="E18" i="6"/>
  <c r="E19" i="6"/>
  <c r="E20" i="6"/>
  <c r="E21" i="6"/>
  <c r="E22" i="6"/>
  <c r="E23" i="6"/>
  <c r="E24" i="6"/>
  <c r="E13" i="6"/>
  <c r="N91" i="15"/>
  <c r="I91" i="15"/>
  <c r="T91" i="15" s="1"/>
  <c r="P90" i="15"/>
  <c r="N90" i="15"/>
  <c r="I90" i="15"/>
  <c r="T90" i="15" s="1"/>
  <c r="Q89" i="15"/>
  <c r="P89" i="15"/>
  <c r="N89" i="15"/>
  <c r="I89" i="15"/>
  <c r="T89" i="15" s="1"/>
  <c r="Q88" i="15"/>
  <c r="P88" i="15"/>
  <c r="N88" i="15"/>
  <c r="I88" i="15"/>
  <c r="T88" i="15" s="1"/>
  <c r="Q87" i="15"/>
  <c r="P87" i="15"/>
  <c r="N87" i="15"/>
  <c r="I87" i="15"/>
  <c r="T87" i="15" s="1"/>
  <c r="Q86" i="15"/>
  <c r="N86" i="15"/>
  <c r="I86" i="15"/>
  <c r="P86" i="15" s="1"/>
  <c r="N85" i="15"/>
  <c r="I85" i="15"/>
  <c r="Q85" i="15" s="1"/>
  <c r="T84" i="15"/>
  <c r="N84" i="15"/>
  <c r="I84" i="15"/>
  <c r="Q84" i="15" s="1"/>
  <c r="N83" i="15"/>
  <c r="I83" i="15"/>
  <c r="T83" i="15" s="1"/>
  <c r="P82" i="15"/>
  <c r="N82" i="15"/>
  <c r="I82" i="15"/>
  <c r="T82" i="15" s="1"/>
  <c r="Q81" i="15"/>
  <c r="P81" i="15"/>
  <c r="N81" i="15"/>
  <c r="I81" i="15"/>
  <c r="T81" i="15" s="1"/>
  <c r="Q80" i="15"/>
  <c r="P80" i="15"/>
  <c r="N80" i="15"/>
  <c r="I80" i="15"/>
  <c r="T80" i="15" s="1"/>
  <c r="D79" i="15"/>
  <c r="C79" i="15"/>
  <c r="N78" i="15"/>
  <c r="I78" i="15"/>
  <c r="T78" i="15" s="1"/>
  <c r="P77" i="15"/>
  <c r="N77" i="15"/>
  <c r="I77" i="15"/>
  <c r="T77" i="15" s="1"/>
  <c r="Q76" i="15"/>
  <c r="P76" i="15"/>
  <c r="N76" i="15"/>
  <c r="I76" i="15"/>
  <c r="T76" i="15" s="1"/>
  <c r="Q75" i="15"/>
  <c r="P75" i="15"/>
  <c r="N75" i="15"/>
  <c r="I75" i="15"/>
  <c r="T75" i="15" s="1"/>
  <c r="Q74" i="15"/>
  <c r="P74" i="15"/>
  <c r="N74" i="15"/>
  <c r="I74" i="15"/>
  <c r="T74" i="15" s="1"/>
  <c r="Q73" i="15"/>
  <c r="N73" i="15"/>
  <c r="I73" i="15"/>
  <c r="P73" i="15" s="1"/>
  <c r="N72" i="15"/>
  <c r="I72" i="15"/>
  <c r="Q72" i="15" s="1"/>
  <c r="N71" i="15"/>
  <c r="I71" i="15"/>
  <c r="Q71" i="15" s="1"/>
  <c r="N70" i="15"/>
  <c r="I70" i="15"/>
  <c r="T70" i="15" s="1"/>
  <c r="N69" i="15"/>
  <c r="I69" i="15"/>
  <c r="T69" i="15" s="1"/>
  <c r="Q68" i="15"/>
  <c r="P68" i="15"/>
  <c r="N68" i="15"/>
  <c r="I68" i="15"/>
  <c r="T68" i="15" s="1"/>
  <c r="Q67" i="15"/>
  <c r="P67" i="15"/>
  <c r="P79" i="15" s="1"/>
  <c r="N67" i="15"/>
  <c r="I67" i="15"/>
  <c r="I79" i="15" s="1"/>
  <c r="G64" i="15"/>
  <c r="C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G51" i="15"/>
  <c r="C51" i="15"/>
  <c r="L50" i="15"/>
  <c r="L49" i="15"/>
  <c r="L48" i="15"/>
  <c r="L47" i="15"/>
  <c r="L46" i="15"/>
  <c r="L45" i="15"/>
  <c r="L44" i="15"/>
  <c r="L43" i="15"/>
  <c r="L42" i="15"/>
  <c r="L41" i="15"/>
  <c r="J41" i="15"/>
  <c r="L40" i="15"/>
  <c r="J40" i="15"/>
  <c r="L39" i="15"/>
  <c r="J39" i="15"/>
  <c r="C38" i="15"/>
  <c r="L37" i="15"/>
  <c r="J37" i="15"/>
  <c r="L36" i="15"/>
  <c r="L35" i="15"/>
  <c r="J35" i="15"/>
  <c r="L34" i="15"/>
  <c r="L33" i="15"/>
  <c r="J33" i="15"/>
  <c r="L32" i="15"/>
  <c r="L31" i="15"/>
  <c r="J31" i="15"/>
  <c r="L30" i="15"/>
  <c r="L29" i="15"/>
  <c r="J29" i="15"/>
  <c r="L28" i="15"/>
  <c r="L27" i="15"/>
  <c r="L38" i="15" s="1"/>
  <c r="J27" i="15"/>
  <c r="L26" i="15"/>
  <c r="C25" i="15"/>
  <c r="L24" i="15"/>
  <c r="J24" i="15"/>
  <c r="L23" i="15"/>
  <c r="J23" i="15"/>
  <c r="L22" i="15"/>
  <c r="J22" i="15"/>
  <c r="L21" i="15"/>
  <c r="J21" i="15"/>
  <c r="L20" i="15"/>
  <c r="J20" i="15"/>
  <c r="L19" i="15"/>
  <c r="J19" i="15"/>
  <c r="L18" i="15"/>
  <c r="J18" i="15"/>
  <c r="L17" i="15"/>
  <c r="J17" i="15"/>
  <c r="L16" i="15"/>
  <c r="J16" i="15"/>
  <c r="L15" i="15"/>
  <c r="J15" i="15"/>
  <c r="L14" i="15"/>
  <c r="J14" i="15"/>
  <c r="L13" i="15"/>
  <c r="J13" i="15"/>
  <c r="L11" i="15"/>
  <c r="J36" i="15" s="1"/>
  <c r="P91" i="14"/>
  <c r="N91" i="14"/>
  <c r="I91" i="14"/>
  <c r="T91" i="14" s="1"/>
  <c r="P90" i="14"/>
  <c r="N90" i="14"/>
  <c r="I90" i="14"/>
  <c r="T90" i="14" s="1"/>
  <c r="Q89" i="14"/>
  <c r="P89" i="14"/>
  <c r="N89" i="14"/>
  <c r="I89" i="14"/>
  <c r="T89" i="14" s="1"/>
  <c r="Q88" i="14"/>
  <c r="P88" i="14"/>
  <c r="N88" i="14"/>
  <c r="I88" i="14"/>
  <c r="T88" i="14" s="1"/>
  <c r="N87" i="14"/>
  <c r="I87" i="14"/>
  <c r="Q87" i="14" s="1"/>
  <c r="N86" i="14"/>
  <c r="I86" i="14"/>
  <c r="P86" i="14" s="1"/>
  <c r="N85" i="14"/>
  <c r="I85" i="14"/>
  <c r="Q85" i="14" s="1"/>
  <c r="Q84" i="14"/>
  <c r="N84" i="14"/>
  <c r="I84" i="14"/>
  <c r="T84" i="14" s="1"/>
  <c r="P83" i="14"/>
  <c r="N83" i="14"/>
  <c r="I83" i="14"/>
  <c r="T83" i="14" s="1"/>
  <c r="Q82" i="14"/>
  <c r="P82" i="14"/>
  <c r="N82" i="14"/>
  <c r="I82" i="14"/>
  <c r="T82" i="14" s="1"/>
  <c r="Q81" i="14"/>
  <c r="P81" i="14"/>
  <c r="N81" i="14"/>
  <c r="I81" i="14"/>
  <c r="T81" i="14" s="1"/>
  <c r="Q80" i="14"/>
  <c r="P80" i="14"/>
  <c r="N80" i="14"/>
  <c r="I80" i="14"/>
  <c r="T80" i="14" s="1"/>
  <c r="D79" i="14"/>
  <c r="C79" i="14"/>
  <c r="P78" i="14"/>
  <c r="N78" i="14"/>
  <c r="I78" i="14"/>
  <c r="T78" i="14" s="1"/>
  <c r="Q77" i="14"/>
  <c r="P77" i="14"/>
  <c r="N77" i="14"/>
  <c r="I77" i="14"/>
  <c r="T77" i="14" s="1"/>
  <c r="Q76" i="14"/>
  <c r="P76" i="14"/>
  <c r="N76" i="14"/>
  <c r="I76" i="14"/>
  <c r="T76" i="14" s="1"/>
  <c r="Q75" i="14"/>
  <c r="P75" i="14"/>
  <c r="N75" i="14"/>
  <c r="I75" i="14"/>
  <c r="T75" i="14" s="1"/>
  <c r="N74" i="14"/>
  <c r="I74" i="14"/>
  <c r="Q74" i="14" s="1"/>
  <c r="N73" i="14"/>
  <c r="I73" i="14"/>
  <c r="P73" i="14" s="1"/>
  <c r="N72" i="14"/>
  <c r="I72" i="14"/>
  <c r="Q72" i="14" s="1"/>
  <c r="Q71" i="14"/>
  <c r="N71" i="14"/>
  <c r="I71" i="14"/>
  <c r="T71" i="14" s="1"/>
  <c r="P70" i="14"/>
  <c r="N70" i="14"/>
  <c r="I70" i="14"/>
  <c r="T70" i="14" s="1"/>
  <c r="Q69" i="14"/>
  <c r="P69" i="14"/>
  <c r="N69" i="14"/>
  <c r="I69" i="14"/>
  <c r="T69" i="14" s="1"/>
  <c r="Q68" i="14"/>
  <c r="P68" i="14"/>
  <c r="N68" i="14"/>
  <c r="I68" i="14"/>
  <c r="T68" i="14" s="1"/>
  <c r="Q67" i="14"/>
  <c r="P67" i="14"/>
  <c r="P79" i="14" s="1"/>
  <c r="N67" i="14"/>
  <c r="N79" i="14" s="1"/>
  <c r="I67" i="14"/>
  <c r="I79" i="14" s="1"/>
  <c r="G64" i="14"/>
  <c r="C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64" i="14" s="1"/>
  <c r="G51" i="14"/>
  <c r="C51" i="14"/>
  <c r="L50" i="14"/>
  <c r="L49" i="14"/>
  <c r="L48" i="14"/>
  <c r="L47" i="14"/>
  <c r="L46" i="14"/>
  <c r="L45" i="14"/>
  <c r="L44" i="14"/>
  <c r="L43" i="14"/>
  <c r="L42" i="14"/>
  <c r="L41" i="14"/>
  <c r="J41" i="14"/>
  <c r="L40" i="14"/>
  <c r="L39" i="14"/>
  <c r="L51" i="14" s="1"/>
  <c r="J39" i="14"/>
  <c r="L38" i="14"/>
  <c r="C38" i="14"/>
  <c r="L37" i="14"/>
  <c r="J37" i="14"/>
  <c r="L36" i="14"/>
  <c r="J36" i="14"/>
  <c r="L35" i="14"/>
  <c r="J35" i="14"/>
  <c r="L34" i="14"/>
  <c r="J34" i="14"/>
  <c r="L33" i="14"/>
  <c r="J33" i="14"/>
  <c r="L32" i="14"/>
  <c r="J32" i="14"/>
  <c r="L31" i="14"/>
  <c r="J31" i="14"/>
  <c r="L30" i="14"/>
  <c r="J30" i="14"/>
  <c r="L29" i="14"/>
  <c r="J29" i="14"/>
  <c r="L28" i="14"/>
  <c r="J28" i="14"/>
  <c r="L27" i="14"/>
  <c r="J27" i="14"/>
  <c r="L26" i="14"/>
  <c r="J26" i="14"/>
  <c r="C25" i="14"/>
  <c r="L24" i="14"/>
  <c r="J24" i="14"/>
  <c r="L23" i="14"/>
  <c r="L22" i="14"/>
  <c r="J22" i="14"/>
  <c r="L21" i="14"/>
  <c r="L20" i="14"/>
  <c r="J20" i="14"/>
  <c r="L19" i="14"/>
  <c r="L18" i="14"/>
  <c r="J18" i="14"/>
  <c r="L17" i="14"/>
  <c r="L16" i="14"/>
  <c r="J16" i="14"/>
  <c r="L15" i="14"/>
  <c r="L14" i="14"/>
  <c r="J14" i="14"/>
  <c r="L13" i="14"/>
  <c r="L25" i="14" s="1"/>
  <c r="L11" i="14"/>
  <c r="J40" i="14" s="1"/>
  <c r="E64" i="11" l="1"/>
  <c r="M40" i="15"/>
  <c r="M41" i="15"/>
  <c r="F64" i="15"/>
  <c r="F51" i="15"/>
  <c r="M39" i="15"/>
  <c r="M51" i="15" s="1"/>
  <c r="S86" i="14"/>
  <c r="M37" i="15"/>
  <c r="E64" i="15"/>
  <c r="M35" i="15"/>
  <c r="K52" i="15"/>
  <c r="K64" i="15" s="1"/>
  <c r="M23" i="15"/>
  <c r="M20" i="15"/>
  <c r="M33" i="15"/>
  <c r="M36" i="15"/>
  <c r="E51" i="15"/>
  <c r="M27" i="15"/>
  <c r="M29" i="15"/>
  <c r="M31" i="15"/>
  <c r="F38" i="15"/>
  <c r="E38" i="15"/>
  <c r="M19" i="15"/>
  <c r="O91" i="14"/>
  <c r="S85" i="14"/>
  <c r="M24" i="15"/>
  <c r="M17" i="15"/>
  <c r="M21" i="15"/>
  <c r="M14" i="15"/>
  <c r="M15" i="15"/>
  <c r="M22" i="15"/>
  <c r="R82" i="14"/>
  <c r="M16" i="15"/>
  <c r="F25" i="15"/>
  <c r="R70" i="14"/>
  <c r="M18" i="15"/>
  <c r="M13" i="15"/>
  <c r="M25" i="15" s="1"/>
  <c r="E25" i="15"/>
  <c r="K25" i="15" s="1"/>
  <c r="O91" i="15"/>
  <c r="K13" i="15"/>
  <c r="M84" i="14"/>
  <c r="O67" i="14"/>
  <c r="O79" i="14" s="1"/>
  <c r="M83" i="14"/>
  <c r="O78" i="14"/>
  <c r="S89" i="14"/>
  <c r="S80" i="14"/>
  <c r="R85" i="14"/>
  <c r="O88" i="14"/>
  <c r="O75" i="14"/>
  <c r="M80" i="14"/>
  <c r="O69" i="14"/>
  <c r="R88" i="14"/>
  <c r="O83" i="14"/>
  <c r="M89" i="14"/>
  <c r="S82" i="14"/>
  <c r="O81" i="14"/>
  <c r="R91" i="14"/>
  <c r="O68" i="14"/>
  <c r="O84" i="14"/>
  <c r="O87" i="14"/>
  <c r="S90" i="14"/>
  <c r="E92" i="14"/>
  <c r="M86" i="14"/>
  <c r="R71" i="14"/>
  <c r="M90" i="14"/>
  <c r="R81" i="14"/>
  <c r="M87" i="14"/>
  <c r="R68" i="14"/>
  <c r="S77" i="14"/>
  <c r="M69" i="14"/>
  <c r="F79" i="14"/>
  <c r="O71" i="14"/>
  <c r="S76" i="14"/>
  <c r="M77" i="14"/>
  <c r="S71" i="14"/>
  <c r="S70" i="14"/>
  <c r="S73" i="14"/>
  <c r="M74" i="14"/>
  <c r="R67" i="14"/>
  <c r="O74" i="14"/>
  <c r="M75" i="14"/>
  <c r="O72" i="14"/>
  <c r="M74" i="15"/>
  <c r="E79" i="14"/>
  <c r="M73" i="14"/>
  <c r="M76" i="14"/>
  <c r="R78" i="14"/>
  <c r="R70" i="15"/>
  <c r="M72" i="14"/>
  <c r="O76" i="15"/>
  <c r="F64" i="14"/>
  <c r="O68" i="15"/>
  <c r="O77" i="15"/>
  <c r="O73" i="15"/>
  <c r="O67" i="15"/>
  <c r="O79" i="15" s="1"/>
  <c r="E64" i="14"/>
  <c r="M75" i="15"/>
  <c r="R77" i="15"/>
  <c r="O70" i="15"/>
  <c r="M67" i="15"/>
  <c r="M76" i="15"/>
  <c r="O71" i="15"/>
  <c r="S69" i="15"/>
  <c r="O72" i="15"/>
  <c r="S75" i="15"/>
  <c r="S78" i="15"/>
  <c r="R78" i="15"/>
  <c r="F79" i="15"/>
  <c r="S74" i="15"/>
  <c r="R71" i="15"/>
  <c r="M69" i="15"/>
  <c r="R72" i="15"/>
  <c r="R84" i="15"/>
  <c r="E79" i="15"/>
  <c r="M68" i="15"/>
  <c r="M81" i="15"/>
  <c r="M73" i="15"/>
  <c r="M89" i="15"/>
  <c r="O90" i="15"/>
  <c r="S89" i="15"/>
  <c r="S86" i="15"/>
  <c r="O85" i="15"/>
  <c r="M82" i="15"/>
  <c r="S82" i="15"/>
  <c r="R87" i="15"/>
  <c r="M80" i="15"/>
  <c r="O83" i="15"/>
  <c r="M90" i="15"/>
  <c r="O87" i="15"/>
  <c r="S84" i="15"/>
  <c r="M85" i="15"/>
  <c r="R91" i="15"/>
  <c r="O88" i="15"/>
  <c r="S81" i="15"/>
  <c r="O80" i="15"/>
  <c r="M39" i="14"/>
  <c r="M51" i="14" s="1"/>
  <c r="M83" i="15"/>
  <c r="M88" i="15"/>
  <c r="M86" i="15"/>
  <c r="E92" i="15"/>
  <c r="M41" i="14"/>
  <c r="M40" i="14"/>
  <c r="F51" i="14"/>
  <c r="M27" i="14"/>
  <c r="E51" i="14"/>
  <c r="M26" i="14"/>
  <c r="M38" i="14" s="1"/>
  <c r="E25" i="14"/>
  <c r="K25" i="14" s="1"/>
  <c r="M31" i="14"/>
  <c r="M32" i="14"/>
  <c r="F38" i="14"/>
  <c r="M28" i="14"/>
  <c r="M29" i="14"/>
  <c r="M30" i="14"/>
  <c r="K13" i="14"/>
  <c r="M36" i="14"/>
  <c r="M37" i="14"/>
  <c r="M35" i="14"/>
  <c r="M33" i="14"/>
  <c r="M34" i="14"/>
  <c r="E38" i="14"/>
  <c r="K33" i="14"/>
  <c r="K38" i="14" s="1"/>
  <c r="M14" i="14"/>
  <c r="M24" i="14"/>
  <c r="M16" i="14"/>
  <c r="M20" i="14"/>
  <c r="M18" i="14"/>
  <c r="F25" i="14"/>
  <c r="M22" i="14"/>
  <c r="K16" i="14"/>
  <c r="E51" i="8"/>
  <c r="E38" i="8"/>
  <c r="K64" i="14"/>
  <c r="K51" i="14"/>
  <c r="K38" i="15"/>
  <c r="L25" i="15"/>
  <c r="N79" i="15"/>
  <c r="L64" i="15"/>
  <c r="L51" i="15"/>
  <c r="K51" i="15"/>
  <c r="T71" i="15"/>
  <c r="T72" i="15"/>
  <c r="T85" i="15"/>
  <c r="P69" i="15"/>
  <c r="T73" i="15"/>
  <c r="T86" i="15"/>
  <c r="Q69" i="15"/>
  <c r="P70" i="15"/>
  <c r="Q77" i="15"/>
  <c r="P78" i="15"/>
  <c r="Q82" i="15"/>
  <c r="P83" i="15"/>
  <c r="Q90" i="15"/>
  <c r="P91" i="15"/>
  <c r="T67" i="15"/>
  <c r="Q70" i="15"/>
  <c r="P71" i="15"/>
  <c r="Q78" i="15"/>
  <c r="Q83" i="15"/>
  <c r="P84" i="15"/>
  <c r="Q91" i="15"/>
  <c r="J26" i="15"/>
  <c r="M26" i="15" s="1"/>
  <c r="M38" i="15" s="1"/>
  <c r="J28" i="15"/>
  <c r="M28" i="15" s="1"/>
  <c r="J30" i="15"/>
  <c r="M30" i="15" s="1"/>
  <c r="J32" i="15"/>
  <c r="M32" i="15" s="1"/>
  <c r="J34" i="15"/>
  <c r="M34" i="15" s="1"/>
  <c r="P72" i="15"/>
  <c r="P85" i="15"/>
  <c r="T72" i="14"/>
  <c r="T85" i="14"/>
  <c r="T86" i="14"/>
  <c r="T74" i="14"/>
  <c r="T87" i="14"/>
  <c r="Q90" i="14"/>
  <c r="T67" i="14"/>
  <c r="T79" i="14" s="1"/>
  <c r="Q70" i="14"/>
  <c r="P71" i="14"/>
  <c r="Q78" i="14"/>
  <c r="Q83" i="14"/>
  <c r="P84" i="14"/>
  <c r="Q91" i="14"/>
  <c r="T73" i="14"/>
  <c r="P72" i="14"/>
  <c r="P85" i="14"/>
  <c r="J13" i="14"/>
  <c r="M13" i="14" s="1"/>
  <c r="M25" i="14" s="1"/>
  <c r="J15" i="14"/>
  <c r="M15" i="14" s="1"/>
  <c r="J17" i="14"/>
  <c r="M17" i="14" s="1"/>
  <c r="J19" i="14"/>
  <c r="M19" i="14" s="1"/>
  <c r="J21" i="14"/>
  <c r="M21" i="14" s="1"/>
  <c r="J23" i="14"/>
  <c r="M23" i="14" s="1"/>
  <c r="Q73" i="14"/>
  <c r="P74" i="14"/>
  <c r="Q86" i="14"/>
  <c r="P87" i="14"/>
  <c r="R79" i="14" l="1"/>
  <c r="S79" i="14"/>
  <c r="M79" i="14"/>
  <c r="S79" i="15"/>
  <c r="R79" i="15"/>
  <c r="M79" i="15"/>
  <c r="T79" i="15"/>
  <c r="K28" i="12" l="1"/>
  <c r="F92" i="12"/>
  <c r="E92" i="12"/>
  <c r="S91" i="12"/>
  <c r="R91" i="12"/>
  <c r="O91" i="12"/>
  <c r="N91" i="12"/>
  <c r="M91" i="12"/>
  <c r="I91" i="12"/>
  <c r="Q91" i="12" s="1"/>
  <c r="S90" i="12"/>
  <c r="R90" i="12"/>
  <c r="O90" i="12"/>
  <c r="N90" i="12"/>
  <c r="M90" i="12"/>
  <c r="I90" i="12"/>
  <c r="T90" i="12" s="1"/>
  <c r="S89" i="12"/>
  <c r="R89" i="12"/>
  <c r="O89" i="12"/>
  <c r="N89" i="12"/>
  <c r="M89" i="12"/>
  <c r="I89" i="12"/>
  <c r="T89" i="12" s="1"/>
  <c r="S88" i="12"/>
  <c r="R88" i="12"/>
  <c r="Q88" i="12"/>
  <c r="P88" i="12"/>
  <c r="O88" i="12"/>
  <c r="N88" i="12"/>
  <c r="M88" i="12"/>
  <c r="I88" i="12"/>
  <c r="T88" i="12" s="1"/>
  <c r="S87" i="12"/>
  <c r="R87" i="12"/>
  <c r="Q87" i="12"/>
  <c r="P87" i="12"/>
  <c r="O87" i="12"/>
  <c r="N87" i="12"/>
  <c r="M87" i="12"/>
  <c r="I87" i="12"/>
  <c r="T87" i="12" s="1"/>
  <c r="S86" i="12"/>
  <c r="R86" i="12"/>
  <c r="Q86" i="12"/>
  <c r="P86" i="12"/>
  <c r="O86" i="12"/>
  <c r="N86" i="12"/>
  <c r="M86" i="12"/>
  <c r="I86" i="12"/>
  <c r="T86" i="12" s="1"/>
  <c r="S85" i="12"/>
  <c r="R85" i="12"/>
  <c r="Q85" i="12"/>
  <c r="P85" i="12"/>
  <c r="O85" i="12"/>
  <c r="N85" i="12"/>
  <c r="M85" i="12"/>
  <c r="I85" i="12"/>
  <c r="T85" i="12" s="1"/>
  <c r="S84" i="12"/>
  <c r="R84" i="12"/>
  <c r="O84" i="12"/>
  <c r="N84" i="12"/>
  <c r="M84" i="12"/>
  <c r="I84" i="12"/>
  <c r="Q84" i="12" s="1"/>
  <c r="S83" i="12"/>
  <c r="R83" i="12"/>
  <c r="O83" i="12"/>
  <c r="N83" i="12"/>
  <c r="M83" i="12"/>
  <c r="I83" i="12"/>
  <c r="Q83" i="12" s="1"/>
  <c r="S82" i="12"/>
  <c r="R82" i="12"/>
  <c r="O82" i="12"/>
  <c r="N82" i="12"/>
  <c r="M82" i="12"/>
  <c r="I82" i="12"/>
  <c r="T82" i="12" s="1"/>
  <c r="S81" i="12"/>
  <c r="R81" i="12"/>
  <c r="O81" i="12"/>
  <c r="N81" i="12"/>
  <c r="M81" i="12"/>
  <c r="I81" i="12"/>
  <c r="T81" i="12" s="1"/>
  <c r="S80" i="12"/>
  <c r="R80" i="12"/>
  <c r="Q80" i="12"/>
  <c r="P80" i="12"/>
  <c r="O80" i="12"/>
  <c r="N80" i="12"/>
  <c r="M80" i="12"/>
  <c r="I80" i="12"/>
  <c r="T80" i="12" s="1"/>
  <c r="F79" i="12"/>
  <c r="E79" i="12"/>
  <c r="D79" i="12"/>
  <c r="C79" i="12"/>
  <c r="S78" i="12"/>
  <c r="R78" i="12"/>
  <c r="O78" i="12"/>
  <c r="N78" i="12"/>
  <c r="M78" i="12"/>
  <c r="I78" i="12"/>
  <c r="T78" i="12" s="1"/>
  <c r="S77" i="12"/>
  <c r="R77" i="12"/>
  <c r="O77" i="12"/>
  <c r="N77" i="12"/>
  <c r="M77" i="12"/>
  <c r="I77" i="12"/>
  <c r="T77" i="12" s="1"/>
  <c r="S76" i="12"/>
  <c r="R76" i="12"/>
  <c r="O76" i="12"/>
  <c r="N76" i="12"/>
  <c r="M76" i="12"/>
  <c r="I76" i="12"/>
  <c r="T76" i="12" s="1"/>
  <c r="S75" i="12"/>
  <c r="R75" i="12"/>
  <c r="Q75" i="12"/>
  <c r="P75" i="12"/>
  <c r="O75" i="12"/>
  <c r="N75" i="12"/>
  <c r="M75" i="12"/>
  <c r="I75" i="12"/>
  <c r="T75" i="12" s="1"/>
  <c r="S74" i="12"/>
  <c r="R74" i="12"/>
  <c r="Q74" i="12"/>
  <c r="P74" i="12"/>
  <c r="O74" i="12"/>
  <c r="N74" i="12"/>
  <c r="M74" i="12"/>
  <c r="I74" i="12"/>
  <c r="T74" i="12" s="1"/>
  <c r="S73" i="12"/>
  <c r="R73" i="12"/>
  <c r="Q73" i="12"/>
  <c r="P73" i="12"/>
  <c r="O73" i="12"/>
  <c r="N73" i="12"/>
  <c r="M73" i="12"/>
  <c r="I73" i="12"/>
  <c r="T73" i="12" s="1"/>
  <c r="S72" i="12"/>
  <c r="R72" i="12"/>
  <c r="Q72" i="12"/>
  <c r="P72" i="12"/>
  <c r="O72" i="12"/>
  <c r="N72" i="12"/>
  <c r="M72" i="12"/>
  <c r="I72" i="12"/>
  <c r="T72" i="12" s="1"/>
  <c r="S71" i="12"/>
  <c r="R71" i="12"/>
  <c r="O71" i="12"/>
  <c r="N71" i="12"/>
  <c r="M71" i="12"/>
  <c r="I71" i="12"/>
  <c r="Q71" i="12" s="1"/>
  <c r="S70" i="12"/>
  <c r="R70" i="12"/>
  <c r="O70" i="12"/>
  <c r="N70" i="12"/>
  <c r="M70" i="12"/>
  <c r="I70" i="12"/>
  <c r="T70" i="12" s="1"/>
  <c r="S69" i="12"/>
  <c r="R69" i="12"/>
  <c r="O69" i="12"/>
  <c r="N69" i="12"/>
  <c r="M69" i="12"/>
  <c r="I69" i="12"/>
  <c r="T69" i="12" s="1"/>
  <c r="S68" i="12"/>
  <c r="R68" i="12"/>
  <c r="O68" i="12"/>
  <c r="N68" i="12"/>
  <c r="M68" i="12"/>
  <c r="I68" i="12"/>
  <c r="T68" i="12" s="1"/>
  <c r="S67" i="12"/>
  <c r="R67" i="12"/>
  <c r="Q67" i="12"/>
  <c r="P67" i="12"/>
  <c r="P79" i="12" s="1"/>
  <c r="O67" i="12"/>
  <c r="O79" i="12" s="1"/>
  <c r="N67" i="12"/>
  <c r="N79" i="12" s="1"/>
  <c r="M67" i="12"/>
  <c r="I67" i="12"/>
  <c r="I79" i="12" s="1"/>
  <c r="G64" i="12"/>
  <c r="F64" i="12"/>
  <c r="E64" i="12"/>
  <c r="C64" i="12"/>
  <c r="M63" i="12"/>
  <c r="L63" i="12"/>
  <c r="K63" i="12"/>
  <c r="M62" i="12"/>
  <c r="L62" i="12"/>
  <c r="K62" i="12"/>
  <c r="M61" i="12"/>
  <c r="L61" i="12"/>
  <c r="K61" i="12"/>
  <c r="M60" i="12"/>
  <c r="L60" i="12"/>
  <c r="K60" i="12"/>
  <c r="M59" i="12"/>
  <c r="L59" i="12"/>
  <c r="K59" i="12"/>
  <c r="M58" i="12"/>
  <c r="L58" i="12"/>
  <c r="K58" i="12"/>
  <c r="M57" i="12"/>
  <c r="L57" i="12"/>
  <c r="K57" i="12"/>
  <c r="M56" i="12"/>
  <c r="L56" i="12"/>
  <c r="K56" i="12"/>
  <c r="M55" i="12"/>
  <c r="L55" i="12"/>
  <c r="K55" i="12"/>
  <c r="M54" i="12"/>
  <c r="L54" i="12"/>
  <c r="K54" i="12"/>
  <c r="M53" i="12"/>
  <c r="L53" i="12"/>
  <c r="K53" i="12"/>
  <c r="M52" i="12"/>
  <c r="M64" i="12" s="1"/>
  <c r="L52" i="12"/>
  <c r="L64" i="12" s="1"/>
  <c r="K52" i="12"/>
  <c r="L51" i="12"/>
  <c r="G51" i="12"/>
  <c r="F51" i="12"/>
  <c r="E51" i="12"/>
  <c r="C51" i="12"/>
  <c r="M50" i="12"/>
  <c r="L50" i="12"/>
  <c r="K50" i="12"/>
  <c r="M49" i="12"/>
  <c r="L49" i="12"/>
  <c r="K49" i="12"/>
  <c r="M48" i="12"/>
  <c r="L48" i="12"/>
  <c r="K48" i="12"/>
  <c r="M47" i="12"/>
  <c r="L47" i="12"/>
  <c r="K47" i="12"/>
  <c r="M46" i="12"/>
  <c r="L46" i="12"/>
  <c r="K46" i="12"/>
  <c r="M45" i="12"/>
  <c r="L45" i="12"/>
  <c r="K45" i="12"/>
  <c r="M44" i="12"/>
  <c r="L44" i="12"/>
  <c r="K44" i="12"/>
  <c r="M43" i="12"/>
  <c r="L43" i="12"/>
  <c r="K43" i="12"/>
  <c r="M42" i="12"/>
  <c r="L42" i="12"/>
  <c r="K42" i="12"/>
  <c r="L41" i="12"/>
  <c r="K41" i="12"/>
  <c r="L40" i="12"/>
  <c r="K40" i="12"/>
  <c r="L39" i="12"/>
  <c r="K39" i="12"/>
  <c r="F38" i="12"/>
  <c r="C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L27" i="12"/>
  <c r="K27" i="12"/>
  <c r="L26" i="12"/>
  <c r="L38" i="12" s="1"/>
  <c r="K26" i="12"/>
  <c r="F25" i="12"/>
  <c r="E25" i="12"/>
  <c r="K25" i="12" s="1"/>
  <c r="C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L25" i="12" s="1"/>
  <c r="K13" i="12"/>
  <c r="L11" i="12"/>
  <c r="J36" i="12" s="1"/>
  <c r="M36" i="12" s="1"/>
  <c r="S79" i="12" l="1"/>
  <c r="M79" i="12"/>
  <c r="R79" i="12"/>
  <c r="K51" i="12"/>
  <c r="K38" i="12"/>
  <c r="K64" i="12"/>
  <c r="E38" i="12"/>
  <c r="J13" i="12"/>
  <c r="M13" i="12" s="1"/>
  <c r="M25" i="12" s="1"/>
  <c r="J19" i="12"/>
  <c r="M19" i="12" s="1"/>
  <c r="T83" i="12"/>
  <c r="T91" i="12"/>
  <c r="T71" i="12"/>
  <c r="T84" i="12"/>
  <c r="J29" i="12"/>
  <c r="M29" i="12" s="1"/>
  <c r="J31" i="12"/>
  <c r="M31" i="12" s="1"/>
  <c r="J33" i="12"/>
  <c r="M33" i="12" s="1"/>
  <c r="J37" i="12"/>
  <c r="M37" i="12" s="1"/>
  <c r="P68" i="12"/>
  <c r="P76" i="12"/>
  <c r="P81" i="12"/>
  <c r="Q68" i="12"/>
  <c r="P69" i="12"/>
  <c r="Q76" i="12"/>
  <c r="P77" i="12"/>
  <c r="Q81" i="12"/>
  <c r="P82" i="12"/>
  <c r="Q89" i="12"/>
  <c r="P90" i="12"/>
  <c r="J21" i="12"/>
  <c r="M21" i="12" s="1"/>
  <c r="J27" i="12"/>
  <c r="M27" i="12" s="1"/>
  <c r="J35" i="12"/>
  <c r="M35" i="12" s="1"/>
  <c r="P89" i="12"/>
  <c r="J14" i="12"/>
  <c r="M14" i="12" s="1"/>
  <c r="J16" i="12"/>
  <c r="M16" i="12" s="1"/>
  <c r="J18" i="12"/>
  <c r="M18" i="12" s="1"/>
  <c r="J20" i="12"/>
  <c r="M20" i="12" s="1"/>
  <c r="J22" i="12"/>
  <c r="M22" i="12" s="1"/>
  <c r="J24" i="12"/>
  <c r="M24" i="12" s="1"/>
  <c r="J39" i="12"/>
  <c r="M39" i="12" s="1"/>
  <c r="M51" i="12" s="1"/>
  <c r="J41" i="12"/>
  <c r="M41" i="12" s="1"/>
  <c r="Q69" i="12"/>
  <c r="P70" i="12"/>
  <c r="Q77" i="12"/>
  <c r="P78" i="12"/>
  <c r="Q82" i="12"/>
  <c r="P83" i="12"/>
  <c r="Q90" i="12"/>
  <c r="P91" i="12"/>
  <c r="J17" i="12"/>
  <c r="M17" i="12" s="1"/>
  <c r="J23" i="12"/>
  <c r="M23" i="12" s="1"/>
  <c r="J40" i="12"/>
  <c r="M40" i="12" s="1"/>
  <c r="T67" i="12"/>
  <c r="T79" i="12" s="1"/>
  <c r="Q70" i="12"/>
  <c r="P71" i="12"/>
  <c r="Q78" i="12"/>
  <c r="P84" i="12"/>
  <c r="J15" i="12"/>
  <c r="M15" i="12" s="1"/>
  <c r="J26" i="12"/>
  <c r="M26" i="12" s="1"/>
  <c r="M38" i="12" s="1"/>
  <c r="J28" i="12"/>
  <c r="M28" i="12" s="1"/>
  <c r="J30" i="12"/>
  <c r="M30" i="12" s="1"/>
  <c r="J32" i="12"/>
  <c r="M32" i="12" s="1"/>
  <c r="J34" i="12"/>
  <c r="M34" i="12" s="1"/>
  <c r="F105" i="11" l="1"/>
  <c r="E105" i="11"/>
  <c r="F92" i="11"/>
  <c r="T91" i="11"/>
  <c r="S91" i="11"/>
  <c r="R91" i="11"/>
  <c r="O91" i="11"/>
  <c r="N91" i="11"/>
  <c r="M91" i="11"/>
  <c r="I91" i="11"/>
  <c r="Q91" i="11" s="1"/>
  <c r="S90" i="11"/>
  <c r="O90" i="11"/>
  <c r="N90" i="11"/>
  <c r="I90" i="11"/>
  <c r="Q90" i="11" s="1"/>
  <c r="R90" i="11"/>
  <c r="S89" i="11"/>
  <c r="Q89" i="11"/>
  <c r="P89" i="11"/>
  <c r="O89" i="11"/>
  <c r="N89" i="11"/>
  <c r="I89" i="11"/>
  <c r="T89" i="11" s="1"/>
  <c r="M89" i="11"/>
  <c r="S88" i="11"/>
  <c r="R88" i="11"/>
  <c r="Q88" i="11"/>
  <c r="P88" i="11"/>
  <c r="O88" i="11"/>
  <c r="N88" i="11"/>
  <c r="M88" i="11"/>
  <c r="I88" i="11"/>
  <c r="T88" i="11" s="1"/>
  <c r="S87" i="11"/>
  <c r="R87" i="11"/>
  <c r="O87" i="11"/>
  <c r="N87" i="11"/>
  <c r="M87" i="11"/>
  <c r="I87" i="11"/>
  <c r="Q87" i="11" s="1"/>
  <c r="S86" i="11"/>
  <c r="O86" i="11"/>
  <c r="N86" i="11"/>
  <c r="M86" i="11"/>
  <c r="I86" i="11"/>
  <c r="Q86" i="11" s="1"/>
  <c r="R86" i="11"/>
  <c r="S85" i="11"/>
  <c r="Q85" i="11"/>
  <c r="P85" i="11"/>
  <c r="O85" i="11"/>
  <c r="N85" i="11"/>
  <c r="I85" i="11"/>
  <c r="T85" i="11" s="1"/>
  <c r="M85" i="11"/>
  <c r="S84" i="11"/>
  <c r="R84" i="11"/>
  <c r="Q84" i="11"/>
  <c r="P84" i="11"/>
  <c r="O84" i="11"/>
  <c r="N84" i="11"/>
  <c r="M84" i="11"/>
  <c r="I84" i="11"/>
  <c r="T84" i="11" s="1"/>
  <c r="S83" i="11"/>
  <c r="R83" i="11"/>
  <c r="O83" i="11"/>
  <c r="N83" i="11"/>
  <c r="I83" i="11"/>
  <c r="Q83" i="11" s="1"/>
  <c r="M83" i="11"/>
  <c r="S82" i="11"/>
  <c r="O82" i="11"/>
  <c r="N82" i="11"/>
  <c r="M82" i="11"/>
  <c r="I82" i="11"/>
  <c r="Q82" i="11" s="1"/>
  <c r="R82" i="11"/>
  <c r="S81" i="11"/>
  <c r="Q81" i="11"/>
  <c r="P81" i="11"/>
  <c r="O81" i="11"/>
  <c r="N81" i="11"/>
  <c r="I81" i="11"/>
  <c r="T81" i="11" s="1"/>
  <c r="M81" i="11"/>
  <c r="S80" i="11"/>
  <c r="R80" i="11"/>
  <c r="Q80" i="11"/>
  <c r="P80" i="11"/>
  <c r="O80" i="11"/>
  <c r="N80" i="11"/>
  <c r="M80" i="11"/>
  <c r="I80" i="11"/>
  <c r="T80" i="11" s="1"/>
  <c r="F79" i="11"/>
  <c r="D79" i="11"/>
  <c r="C79" i="11"/>
  <c r="S78" i="11"/>
  <c r="R78" i="11"/>
  <c r="P78" i="11"/>
  <c r="O78" i="11"/>
  <c r="N78" i="11"/>
  <c r="M78" i="11"/>
  <c r="I78" i="11"/>
  <c r="T78" i="11" s="1"/>
  <c r="S77" i="11"/>
  <c r="R77" i="11"/>
  <c r="Q77" i="11"/>
  <c r="P77" i="11"/>
  <c r="O77" i="11"/>
  <c r="N77" i="11"/>
  <c r="M77" i="11"/>
  <c r="I77" i="11"/>
  <c r="T77" i="11" s="1"/>
  <c r="S76" i="11"/>
  <c r="R76" i="11"/>
  <c r="Q76" i="11"/>
  <c r="P76" i="11"/>
  <c r="O76" i="11"/>
  <c r="N76" i="11"/>
  <c r="M76" i="11"/>
  <c r="I76" i="11"/>
  <c r="T76" i="11" s="1"/>
  <c r="S75" i="11"/>
  <c r="R75" i="11"/>
  <c r="Q75" i="11"/>
  <c r="P75" i="11"/>
  <c r="O75" i="11"/>
  <c r="N75" i="11"/>
  <c r="M75" i="11"/>
  <c r="I75" i="11"/>
  <c r="T75" i="11" s="1"/>
  <c r="S74" i="11"/>
  <c r="Q74" i="11"/>
  <c r="O74" i="11"/>
  <c r="N74" i="11"/>
  <c r="I74" i="11"/>
  <c r="P74" i="11" s="1"/>
  <c r="M74" i="11"/>
  <c r="S73" i="11"/>
  <c r="O73" i="11"/>
  <c r="N73" i="11"/>
  <c r="I73" i="11"/>
  <c r="Q73" i="11" s="1"/>
  <c r="R73" i="11"/>
  <c r="S72" i="11"/>
  <c r="R72" i="11"/>
  <c r="P72" i="11"/>
  <c r="O72" i="11"/>
  <c r="N72" i="11"/>
  <c r="M72" i="11"/>
  <c r="I72" i="11"/>
  <c r="T72" i="11" s="1"/>
  <c r="S71" i="11"/>
  <c r="R71" i="11"/>
  <c r="Q71" i="11"/>
  <c r="P71" i="11"/>
  <c r="O71" i="11"/>
  <c r="N71" i="11"/>
  <c r="M71" i="11"/>
  <c r="I71" i="11"/>
  <c r="T71" i="11" s="1"/>
  <c r="S70" i="11"/>
  <c r="R70" i="11"/>
  <c r="Q70" i="11"/>
  <c r="P70" i="11"/>
  <c r="O70" i="11"/>
  <c r="N70" i="11"/>
  <c r="M70" i="11"/>
  <c r="I70" i="11"/>
  <c r="T70" i="11" s="1"/>
  <c r="S69" i="11"/>
  <c r="R69" i="11"/>
  <c r="Q69" i="11"/>
  <c r="P69" i="11"/>
  <c r="O69" i="11"/>
  <c r="N69" i="11"/>
  <c r="M69" i="11"/>
  <c r="I69" i="11"/>
  <c r="T69" i="11" s="1"/>
  <c r="S68" i="11"/>
  <c r="R68" i="11"/>
  <c r="Q68" i="11"/>
  <c r="O68" i="11"/>
  <c r="N68" i="11"/>
  <c r="M68" i="11"/>
  <c r="I68" i="11"/>
  <c r="P68" i="11" s="1"/>
  <c r="S67" i="11"/>
  <c r="R67" i="11"/>
  <c r="O67" i="11"/>
  <c r="O79" i="11" s="1"/>
  <c r="N67" i="11"/>
  <c r="N79" i="11" s="1"/>
  <c r="M67" i="11"/>
  <c r="I67" i="11"/>
  <c r="Q67" i="11" s="1"/>
  <c r="L64" i="11"/>
  <c r="G64" i="11"/>
  <c r="F64" i="11"/>
  <c r="C64" i="11"/>
  <c r="M63" i="11"/>
  <c r="L63" i="11"/>
  <c r="K63" i="11"/>
  <c r="M62" i="11"/>
  <c r="L62" i="11"/>
  <c r="K62" i="11"/>
  <c r="M61" i="11"/>
  <c r="L61" i="11"/>
  <c r="K61" i="11"/>
  <c r="M60" i="11"/>
  <c r="L60" i="11"/>
  <c r="K60" i="11"/>
  <c r="M59" i="11"/>
  <c r="L59" i="11"/>
  <c r="K59" i="11"/>
  <c r="M58" i="11"/>
  <c r="L58" i="11"/>
  <c r="K58" i="11"/>
  <c r="M57" i="11"/>
  <c r="L57" i="11"/>
  <c r="K57" i="11"/>
  <c r="M56" i="11"/>
  <c r="L56" i="11"/>
  <c r="K56" i="11"/>
  <c r="M55" i="11"/>
  <c r="L55" i="11"/>
  <c r="K55" i="11"/>
  <c r="M54" i="11"/>
  <c r="L54" i="11"/>
  <c r="K54" i="11"/>
  <c r="M53" i="11"/>
  <c r="L53" i="11"/>
  <c r="K53" i="11"/>
  <c r="M52" i="11"/>
  <c r="M64" i="11" s="1"/>
  <c r="L52" i="11"/>
  <c r="K52" i="11"/>
  <c r="G51" i="11"/>
  <c r="F51" i="11"/>
  <c r="E51" i="11"/>
  <c r="C51" i="11"/>
  <c r="M50" i="11"/>
  <c r="L50" i="11"/>
  <c r="K50" i="11"/>
  <c r="M49" i="11"/>
  <c r="L49" i="11"/>
  <c r="K49" i="11"/>
  <c r="M48" i="11"/>
  <c r="L48" i="11"/>
  <c r="K48" i="11"/>
  <c r="M47" i="11"/>
  <c r="L47" i="11"/>
  <c r="K47" i="11"/>
  <c r="M46" i="11"/>
  <c r="L46" i="11"/>
  <c r="K46" i="11"/>
  <c r="M45" i="11"/>
  <c r="L45" i="11"/>
  <c r="K45" i="11"/>
  <c r="M44" i="11"/>
  <c r="L44" i="11"/>
  <c r="K44" i="11"/>
  <c r="M43" i="11"/>
  <c r="L43" i="11"/>
  <c r="K43" i="11"/>
  <c r="M42" i="11"/>
  <c r="L42" i="11"/>
  <c r="K42" i="11"/>
  <c r="L41" i="11"/>
  <c r="K41" i="11"/>
  <c r="L40" i="11"/>
  <c r="K40" i="11"/>
  <c r="L39" i="11"/>
  <c r="L51" i="11" s="1"/>
  <c r="K39" i="11"/>
  <c r="J39" i="11"/>
  <c r="M39" i="11" s="1"/>
  <c r="M51" i="11" s="1"/>
  <c r="F38" i="11"/>
  <c r="E38" i="11"/>
  <c r="C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L38" i="11" s="1"/>
  <c r="K26" i="11"/>
  <c r="F25" i="11"/>
  <c r="E25" i="11"/>
  <c r="K25" i="11" s="1"/>
  <c r="C25" i="11"/>
  <c r="L24" i="11"/>
  <c r="K24" i="11"/>
  <c r="J24" i="11"/>
  <c r="M24" i="11" s="1"/>
  <c r="M23" i="11"/>
  <c r="L23" i="11"/>
  <c r="K23" i="11"/>
  <c r="J23" i="11"/>
  <c r="L22" i="11"/>
  <c r="K22" i="11"/>
  <c r="J22" i="11"/>
  <c r="M22" i="11" s="1"/>
  <c r="M21" i="11"/>
  <c r="L21" i="11"/>
  <c r="K21" i="11"/>
  <c r="J21" i="11"/>
  <c r="L20" i="11"/>
  <c r="K20" i="11"/>
  <c r="J20" i="11"/>
  <c r="M20" i="11" s="1"/>
  <c r="M19" i="11"/>
  <c r="L19" i="11"/>
  <c r="K19" i="11"/>
  <c r="J19" i="11"/>
  <c r="L18" i="11"/>
  <c r="K18" i="11"/>
  <c r="J18" i="11"/>
  <c r="M18" i="11" s="1"/>
  <c r="M17" i="11"/>
  <c r="L17" i="11"/>
  <c r="K17" i="11"/>
  <c r="J17" i="11"/>
  <c r="L16" i="11"/>
  <c r="K16" i="11"/>
  <c r="J16" i="11"/>
  <c r="M16" i="11" s="1"/>
  <c r="M15" i="11"/>
  <c r="L15" i="11"/>
  <c r="K15" i="11"/>
  <c r="J15" i="11"/>
  <c r="L14" i="11"/>
  <c r="K14" i="11"/>
  <c r="J14" i="11"/>
  <c r="M14" i="11" s="1"/>
  <c r="M13" i="11"/>
  <c r="M25" i="11" s="1"/>
  <c r="L13" i="11"/>
  <c r="L25" i="11" s="1"/>
  <c r="K13" i="11"/>
  <c r="J13" i="11"/>
  <c r="L11" i="11"/>
  <c r="J37" i="11" s="1"/>
  <c r="M37" i="11" s="1"/>
  <c r="F105" i="10"/>
  <c r="E105" i="10"/>
  <c r="F92" i="10"/>
  <c r="E92" i="10"/>
  <c r="S91" i="10"/>
  <c r="R91" i="10"/>
  <c r="Q91" i="10"/>
  <c r="O91" i="10"/>
  <c r="N91" i="10"/>
  <c r="M91" i="10"/>
  <c r="I91" i="10"/>
  <c r="P91" i="10" s="1"/>
  <c r="T90" i="10"/>
  <c r="S90" i="10"/>
  <c r="R90" i="10"/>
  <c r="O90" i="10"/>
  <c r="N90" i="10"/>
  <c r="M90" i="10"/>
  <c r="I90" i="10"/>
  <c r="Q90" i="10" s="1"/>
  <c r="S89" i="10"/>
  <c r="R89" i="10"/>
  <c r="O89" i="10"/>
  <c r="N89" i="10"/>
  <c r="M89" i="10"/>
  <c r="I89" i="10"/>
  <c r="T89" i="10" s="1"/>
  <c r="S88" i="10"/>
  <c r="R88" i="10"/>
  <c r="O88" i="10"/>
  <c r="N88" i="10"/>
  <c r="M88" i="10"/>
  <c r="I88" i="10"/>
  <c r="Q88" i="10" s="1"/>
  <c r="S87" i="10"/>
  <c r="R87" i="10"/>
  <c r="Q87" i="10"/>
  <c r="P87" i="10"/>
  <c r="O87" i="10"/>
  <c r="N87" i="10"/>
  <c r="M87" i="10"/>
  <c r="I87" i="10"/>
  <c r="T87" i="10" s="1"/>
  <c r="S86" i="10"/>
  <c r="R86" i="10"/>
  <c r="Q86" i="10"/>
  <c r="P86" i="10"/>
  <c r="O86" i="10"/>
  <c r="N86" i="10"/>
  <c r="M86" i="10"/>
  <c r="I86" i="10"/>
  <c r="T86" i="10" s="1"/>
  <c r="S85" i="10"/>
  <c r="R85" i="10"/>
  <c r="Q85" i="10"/>
  <c r="P85" i="10"/>
  <c r="O85" i="10"/>
  <c r="N85" i="10"/>
  <c r="M85" i="10"/>
  <c r="I85" i="10"/>
  <c r="T85" i="10" s="1"/>
  <c r="S84" i="10"/>
  <c r="R84" i="10"/>
  <c r="Q84" i="10"/>
  <c r="P84" i="10"/>
  <c r="O84" i="10"/>
  <c r="N84" i="10"/>
  <c r="M84" i="10"/>
  <c r="I84" i="10"/>
  <c r="T84" i="10" s="1"/>
  <c r="S83" i="10"/>
  <c r="R83" i="10"/>
  <c r="Q83" i="10"/>
  <c r="O83" i="10"/>
  <c r="N83" i="10"/>
  <c r="M83" i="10"/>
  <c r="I83" i="10"/>
  <c r="P83" i="10" s="1"/>
  <c r="S82" i="10"/>
  <c r="R82" i="10"/>
  <c r="O82" i="10"/>
  <c r="N82" i="10"/>
  <c r="M82" i="10"/>
  <c r="I82" i="10"/>
  <c r="Q82" i="10" s="1"/>
  <c r="S81" i="10"/>
  <c r="R81" i="10"/>
  <c r="O81" i="10"/>
  <c r="N81" i="10"/>
  <c r="M81" i="10"/>
  <c r="I81" i="10"/>
  <c r="P81" i="10" s="1"/>
  <c r="S80" i="10"/>
  <c r="R80" i="10"/>
  <c r="O80" i="10"/>
  <c r="N80" i="10"/>
  <c r="M80" i="10"/>
  <c r="I80" i="10"/>
  <c r="Q80" i="10" s="1"/>
  <c r="F79" i="10"/>
  <c r="E79" i="10"/>
  <c r="D79" i="10"/>
  <c r="C79" i="10"/>
  <c r="S78" i="10"/>
  <c r="R78" i="10"/>
  <c r="Q78" i="10"/>
  <c r="O78" i="10"/>
  <c r="N78" i="10"/>
  <c r="M78" i="10"/>
  <c r="I78" i="10"/>
  <c r="P78" i="10" s="1"/>
  <c r="S77" i="10"/>
  <c r="R77" i="10"/>
  <c r="O77" i="10"/>
  <c r="N77" i="10"/>
  <c r="M77" i="10"/>
  <c r="I77" i="10"/>
  <c r="Q77" i="10" s="1"/>
  <c r="S76" i="10"/>
  <c r="R76" i="10"/>
  <c r="O76" i="10"/>
  <c r="N76" i="10"/>
  <c r="M76" i="10"/>
  <c r="I76" i="10"/>
  <c r="P76" i="10" s="1"/>
  <c r="S75" i="10"/>
  <c r="R75" i="10"/>
  <c r="O75" i="10"/>
  <c r="N75" i="10"/>
  <c r="M75" i="10"/>
  <c r="I75" i="10"/>
  <c r="Q75" i="10" s="1"/>
  <c r="S74" i="10"/>
  <c r="R74" i="10"/>
  <c r="Q74" i="10"/>
  <c r="P74" i="10"/>
  <c r="O74" i="10"/>
  <c r="N74" i="10"/>
  <c r="M74" i="10"/>
  <c r="I74" i="10"/>
  <c r="T74" i="10" s="1"/>
  <c r="S73" i="10"/>
  <c r="R73" i="10"/>
  <c r="Q73" i="10"/>
  <c r="P73" i="10"/>
  <c r="O73" i="10"/>
  <c r="N73" i="10"/>
  <c r="M73" i="10"/>
  <c r="I73" i="10"/>
  <c r="T73" i="10" s="1"/>
  <c r="S72" i="10"/>
  <c r="R72" i="10"/>
  <c r="Q72" i="10"/>
  <c r="P72" i="10"/>
  <c r="O72" i="10"/>
  <c r="N72" i="10"/>
  <c r="M72" i="10"/>
  <c r="I72" i="10"/>
  <c r="T72" i="10" s="1"/>
  <c r="S71" i="10"/>
  <c r="R71" i="10"/>
  <c r="Q71" i="10"/>
  <c r="P71" i="10"/>
  <c r="O71" i="10"/>
  <c r="N71" i="10"/>
  <c r="M71" i="10"/>
  <c r="I71" i="10"/>
  <c r="T71" i="10" s="1"/>
  <c r="S70" i="10"/>
  <c r="R70" i="10"/>
  <c r="Q70" i="10"/>
  <c r="O70" i="10"/>
  <c r="N70" i="10"/>
  <c r="M70" i="10"/>
  <c r="I70" i="10"/>
  <c r="P70" i="10" s="1"/>
  <c r="S69" i="10"/>
  <c r="R69" i="10"/>
  <c r="O69" i="10"/>
  <c r="N69" i="10"/>
  <c r="M69" i="10"/>
  <c r="I69" i="10"/>
  <c r="Q69" i="10" s="1"/>
  <c r="S68" i="10"/>
  <c r="R68" i="10"/>
  <c r="O68" i="10"/>
  <c r="N68" i="10"/>
  <c r="M68" i="10"/>
  <c r="I68" i="10"/>
  <c r="P68" i="10" s="1"/>
  <c r="S67" i="10"/>
  <c r="R67" i="10"/>
  <c r="O67" i="10"/>
  <c r="O79" i="10" s="1"/>
  <c r="N67" i="10"/>
  <c r="N79" i="10" s="1"/>
  <c r="M67" i="10"/>
  <c r="I67" i="10"/>
  <c r="Q67" i="10" s="1"/>
  <c r="G64" i="10"/>
  <c r="F64" i="10"/>
  <c r="E64" i="10"/>
  <c r="C64" i="10"/>
  <c r="M63" i="10"/>
  <c r="L63" i="10"/>
  <c r="K63" i="10"/>
  <c r="M62" i="10"/>
  <c r="L62" i="10"/>
  <c r="K62" i="10"/>
  <c r="M61" i="10"/>
  <c r="L61" i="10"/>
  <c r="K61" i="10"/>
  <c r="M60" i="10"/>
  <c r="L60" i="10"/>
  <c r="K60" i="10"/>
  <c r="M59" i="10"/>
  <c r="L59" i="10"/>
  <c r="K59" i="10"/>
  <c r="M58" i="10"/>
  <c r="L58" i="10"/>
  <c r="K58" i="10"/>
  <c r="M57" i="10"/>
  <c r="L57" i="10"/>
  <c r="K57" i="10"/>
  <c r="M56" i="10"/>
  <c r="L56" i="10"/>
  <c r="K56" i="10"/>
  <c r="M55" i="10"/>
  <c r="L55" i="10"/>
  <c r="K55" i="10"/>
  <c r="M54" i="10"/>
  <c r="L54" i="10"/>
  <c r="K54" i="10"/>
  <c r="M53" i="10"/>
  <c r="L53" i="10"/>
  <c r="K53" i="10"/>
  <c r="M52" i="10"/>
  <c r="M64" i="10" s="1"/>
  <c r="L52" i="10"/>
  <c r="L64" i="10" s="1"/>
  <c r="K52" i="10"/>
  <c r="G51" i="10"/>
  <c r="F51" i="10"/>
  <c r="E51" i="10"/>
  <c r="C51" i="10"/>
  <c r="M50" i="10"/>
  <c r="L50" i="10"/>
  <c r="K50" i="10"/>
  <c r="M49" i="10"/>
  <c r="L49" i="10"/>
  <c r="K49" i="10"/>
  <c r="M48" i="10"/>
  <c r="L48" i="10"/>
  <c r="K48" i="10"/>
  <c r="M47" i="10"/>
  <c r="L47" i="10"/>
  <c r="K47" i="10"/>
  <c r="M46" i="10"/>
  <c r="L46" i="10"/>
  <c r="K46" i="10"/>
  <c r="M45" i="10"/>
  <c r="L45" i="10"/>
  <c r="K45" i="10"/>
  <c r="M44" i="10"/>
  <c r="L44" i="10"/>
  <c r="K44" i="10"/>
  <c r="M43" i="10"/>
  <c r="L43" i="10"/>
  <c r="K43" i="10"/>
  <c r="M42" i="10"/>
  <c r="L42" i="10"/>
  <c r="K42" i="10"/>
  <c r="L41" i="10"/>
  <c r="K41" i="10"/>
  <c r="L40" i="10"/>
  <c r="K40" i="10"/>
  <c r="L39" i="10"/>
  <c r="L51" i="10" s="1"/>
  <c r="K39" i="10"/>
  <c r="F38" i="10"/>
  <c r="E38" i="10"/>
  <c r="C38" i="10"/>
  <c r="L37" i="10"/>
  <c r="K37" i="10"/>
  <c r="L36" i="10"/>
  <c r="K36" i="10"/>
  <c r="J36" i="10"/>
  <c r="M36" i="10" s="1"/>
  <c r="L35" i="10"/>
  <c r="K35" i="10"/>
  <c r="L34" i="10"/>
  <c r="K34" i="10"/>
  <c r="J34" i="10"/>
  <c r="M34" i="10" s="1"/>
  <c r="L33" i="10"/>
  <c r="K33" i="10"/>
  <c r="L32" i="10"/>
  <c r="K32" i="10"/>
  <c r="J32" i="10"/>
  <c r="M32" i="10" s="1"/>
  <c r="L31" i="10"/>
  <c r="K31" i="10"/>
  <c r="L30" i="10"/>
  <c r="K30" i="10"/>
  <c r="J30" i="10"/>
  <c r="M30" i="10" s="1"/>
  <c r="L29" i="10"/>
  <c r="K29" i="10"/>
  <c r="L28" i="10"/>
  <c r="K28" i="10"/>
  <c r="J28" i="10"/>
  <c r="M28" i="10" s="1"/>
  <c r="L27" i="10"/>
  <c r="K27" i="10"/>
  <c r="L26" i="10"/>
  <c r="L38" i="10" s="1"/>
  <c r="K26" i="10"/>
  <c r="J26" i="10"/>
  <c r="M26" i="10" s="1"/>
  <c r="M38" i="10" s="1"/>
  <c r="F25" i="10"/>
  <c r="E25" i="10"/>
  <c r="K25" i="10" s="1"/>
  <c r="C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L25" i="10" s="1"/>
  <c r="K13" i="10"/>
  <c r="L11" i="10"/>
  <c r="J41" i="10" s="1"/>
  <c r="M41" i="10" s="1"/>
  <c r="L11" i="9"/>
  <c r="J26" i="9" s="1"/>
  <c r="M26" i="9" s="1"/>
  <c r="M38" i="9" s="1"/>
  <c r="J13" i="9"/>
  <c r="K13" i="9"/>
  <c r="L13" i="9"/>
  <c r="M13" i="9"/>
  <c r="M25" i="9" s="1"/>
  <c r="J14" i="9"/>
  <c r="M14" i="9" s="1"/>
  <c r="K14" i="9"/>
  <c r="L14" i="9"/>
  <c r="J15" i="9"/>
  <c r="K15" i="9"/>
  <c r="L15" i="9"/>
  <c r="M15" i="9"/>
  <c r="J16" i="9"/>
  <c r="M16" i="9" s="1"/>
  <c r="K16" i="9"/>
  <c r="L16" i="9"/>
  <c r="J17" i="9"/>
  <c r="K17" i="9"/>
  <c r="L17" i="9"/>
  <c r="M17" i="9"/>
  <c r="J18" i="9"/>
  <c r="M18" i="9" s="1"/>
  <c r="K18" i="9"/>
  <c r="L18" i="9"/>
  <c r="J19" i="9"/>
  <c r="K19" i="9"/>
  <c r="L19" i="9"/>
  <c r="M19" i="9"/>
  <c r="J20" i="9"/>
  <c r="M20" i="9" s="1"/>
  <c r="K20" i="9"/>
  <c r="L20" i="9"/>
  <c r="J21" i="9"/>
  <c r="K21" i="9"/>
  <c r="L21" i="9"/>
  <c r="M21" i="9"/>
  <c r="J22" i="9"/>
  <c r="M22" i="9" s="1"/>
  <c r="K22" i="9"/>
  <c r="L22" i="9"/>
  <c r="J23" i="9"/>
  <c r="K23" i="9"/>
  <c r="L23" i="9"/>
  <c r="M23" i="9"/>
  <c r="J24" i="9"/>
  <c r="M24" i="9" s="1"/>
  <c r="K24" i="9"/>
  <c r="L24" i="9"/>
  <c r="C25" i="9"/>
  <c r="E25" i="9"/>
  <c r="K25" i="9" s="1"/>
  <c r="F25" i="9"/>
  <c r="L25" i="9"/>
  <c r="K26" i="9"/>
  <c r="L26" i="9"/>
  <c r="J27" i="9"/>
  <c r="K27" i="9"/>
  <c r="L27" i="9"/>
  <c r="L38" i="9" s="1"/>
  <c r="M27" i="9"/>
  <c r="K28" i="9"/>
  <c r="L28" i="9"/>
  <c r="J29" i="9"/>
  <c r="K29" i="9"/>
  <c r="L29" i="9"/>
  <c r="M29" i="9"/>
  <c r="K30" i="9"/>
  <c r="L30" i="9"/>
  <c r="J31" i="9"/>
  <c r="K31" i="9"/>
  <c r="L31" i="9"/>
  <c r="M31" i="9"/>
  <c r="K32" i="9"/>
  <c r="L32" i="9"/>
  <c r="J33" i="9"/>
  <c r="K33" i="9"/>
  <c r="L33" i="9"/>
  <c r="M33" i="9"/>
  <c r="K34" i="9"/>
  <c r="L34" i="9"/>
  <c r="J35" i="9"/>
  <c r="K35" i="9"/>
  <c r="L35" i="9"/>
  <c r="M35" i="9"/>
  <c r="K36" i="9"/>
  <c r="L36" i="9"/>
  <c r="J37" i="9"/>
  <c r="K37" i="9"/>
  <c r="L37" i="9"/>
  <c r="M37" i="9"/>
  <c r="C38" i="9"/>
  <c r="E38" i="9"/>
  <c r="F38" i="9"/>
  <c r="J39" i="9"/>
  <c r="M39" i="9" s="1"/>
  <c r="M51" i="9" s="1"/>
  <c r="K39" i="9"/>
  <c r="L39" i="9"/>
  <c r="J40" i="9"/>
  <c r="K40" i="9"/>
  <c r="L40" i="9"/>
  <c r="L51" i="9" s="1"/>
  <c r="M40" i="9"/>
  <c r="J41" i="9"/>
  <c r="M41" i="9" s="1"/>
  <c r="K41" i="9"/>
  <c r="L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C51" i="9"/>
  <c r="E51" i="9"/>
  <c r="F51" i="9"/>
  <c r="G51" i="9"/>
  <c r="K52" i="9"/>
  <c r="L52" i="9"/>
  <c r="M52" i="9"/>
  <c r="M64" i="9" s="1"/>
  <c r="K53" i="9"/>
  <c r="L53" i="9"/>
  <c r="M53" i="9"/>
  <c r="K54" i="9"/>
  <c r="L54" i="9"/>
  <c r="M54" i="9"/>
  <c r="K55" i="9"/>
  <c r="L55" i="9"/>
  <c r="L64" i="9" s="1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C64" i="9"/>
  <c r="E64" i="9"/>
  <c r="F64" i="9"/>
  <c r="G64" i="9"/>
  <c r="I67" i="9"/>
  <c r="P67" i="9" s="1"/>
  <c r="P79" i="9" s="1"/>
  <c r="M67" i="9"/>
  <c r="N67" i="9"/>
  <c r="O67" i="9"/>
  <c r="O79" i="9" s="1"/>
  <c r="R67" i="9"/>
  <c r="S67" i="9"/>
  <c r="T67" i="9"/>
  <c r="I68" i="9"/>
  <c r="M68" i="9"/>
  <c r="N68" i="9"/>
  <c r="O68" i="9"/>
  <c r="P68" i="9"/>
  <c r="Q68" i="9"/>
  <c r="R68" i="9"/>
  <c r="S68" i="9"/>
  <c r="T68" i="9"/>
  <c r="I69" i="9"/>
  <c r="M69" i="9"/>
  <c r="N69" i="9"/>
  <c r="O69" i="9"/>
  <c r="P69" i="9"/>
  <c r="Q69" i="9"/>
  <c r="R69" i="9"/>
  <c r="S69" i="9"/>
  <c r="T69" i="9"/>
  <c r="I70" i="9"/>
  <c r="T70" i="9" s="1"/>
  <c r="M70" i="9"/>
  <c r="N70" i="9"/>
  <c r="O70" i="9"/>
  <c r="P70" i="9"/>
  <c r="Q70" i="9"/>
  <c r="R70" i="9"/>
  <c r="S70" i="9"/>
  <c r="I71" i="9"/>
  <c r="Q71" i="9" s="1"/>
  <c r="M71" i="9"/>
  <c r="N71" i="9"/>
  <c r="O71" i="9"/>
  <c r="P71" i="9"/>
  <c r="R71" i="9"/>
  <c r="S71" i="9"/>
  <c r="T71" i="9"/>
  <c r="I72" i="9"/>
  <c r="P72" i="9" s="1"/>
  <c r="M72" i="9"/>
  <c r="N72" i="9"/>
  <c r="O72" i="9"/>
  <c r="R72" i="9"/>
  <c r="S72" i="9"/>
  <c r="T72" i="9"/>
  <c r="I73" i="9"/>
  <c r="P73" i="9" s="1"/>
  <c r="M73" i="9"/>
  <c r="N73" i="9"/>
  <c r="O73" i="9"/>
  <c r="R73" i="9"/>
  <c r="S73" i="9"/>
  <c r="I74" i="9"/>
  <c r="P74" i="9" s="1"/>
  <c r="M74" i="9"/>
  <c r="N74" i="9"/>
  <c r="O74" i="9"/>
  <c r="R74" i="9"/>
  <c r="S74" i="9"/>
  <c r="I75" i="9"/>
  <c r="Q75" i="9" s="1"/>
  <c r="M75" i="9"/>
  <c r="N75" i="9"/>
  <c r="O75" i="9"/>
  <c r="R75" i="9"/>
  <c r="S75" i="9"/>
  <c r="T75" i="9"/>
  <c r="I76" i="9"/>
  <c r="M76" i="9"/>
  <c r="N76" i="9"/>
  <c r="O76" i="9"/>
  <c r="P76" i="9"/>
  <c r="Q76" i="9"/>
  <c r="R76" i="9"/>
  <c r="S76" i="9"/>
  <c r="T76" i="9"/>
  <c r="I77" i="9"/>
  <c r="M77" i="9"/>
  <c r="N77" i="9"/>
  <c r="O77" i="9"/>
  <c r="P77" i="9"/>
  <c r="Q77" i="9"/>
  <c r="R77" i="9"/>
  <c r="S77" i="9"/>
  <c r="T77" i="9"/>
  <c r="I78" i="9"/>
  <c r="T78" i="9" s="1"/>
  <c r="M78" i="9"/>
  <c r="N78" i="9"/>
  <c r="O78" i="9"/>
  <c r="P78" i="9"/>
  <c r="Q78" i="9"/>
  <c r="R78" i="9"/>
  <c r="S78" i="9"/>
  <c r="C79" i="9"/>
  <c r="D79" i="9"/>
  <c r="E79" i="9"/>
  <c r="F79" i="9"/>
  <c r="I79" i="9"/>
  <c r="I80" i="9"/>
  <c r="P80" i="9" s="1"/>
  <c r="M80" i="9"/>
  <c r="N80" i="9"/>
  <c r="O80" i="9"/>
  <c r="R80" i="9"/>
  <c r="S80" i="9"/>
  <c r="T80" i="9"/>
  <c r="I81" i="9"/>
  <c r="M81" i="9"/>
  <c r="N81" i="9"/>
  <c r="O81" i="9"/>
  <c r="P81" i="9"/>
  <c r="Q81" i="9"/>
  <c r="R81" i="9"/>
  <c r="S81" i="9"/>
  <c r="T81" i="9"/>
  <c r="I82" i="9"/>
  <c r="M82" i="9"/>
  <c r="N82" i="9"/>
  <c r="O82" i="9"/>
  <c r="P82" i="9"/>
  <c r="Q82" i="9"/>
  <c r="R82" i="9"/>
  <c r="S82" i="9"/>
  <c r="T82" i="9"/>
  <c r="I83" i="9"/>
  <c r="M83" i="9"/>
  <c r="N83" i="9"/>
  <c r="O83" i="9"/>
  <c r="P83" i="9"/>
  <c r="Q83" i="9"/>
  <c r="R83" i="9"/>
  <c r="S83" i="9"/>
  <c r="T83" i="9"/>
  <c r="I84" i="9"/>
  <c r="Q84" i="9" s="1"/>
  <c r="M84" i="9"/>
  <c r="N84" i="9"/>
  <c r="O84" i="9"/>
  <c r="P84" i="9"/>
  <c r="R84" i="9"/>
  <c r="S84" i="9"/>
  <c r="I85" i="9"/>
  <c r="P85" i="9" s="1"/>
  <c r="M85" i="9"/>
  <c r="N85" i="9"/>
  <c r="O85" i="9"/>
  <c r="R85" i="9"/>
  <c r="S85" i="9"/>
  <c r="I86" i="9"/>
  <c r="P86" i="9" s="1"/>
  <c r="M86" i="9"/>
  <c r="N86" i="9"/>
  <c r="O86" i="9"/>
  <c r="R86" i="9"/>
  <c r="S86" i="9"/>
  <c r="T86" i="9"/>
  <c r="I87" i="9"/>
  <c r="P87" i="9" s="1"/>
  <c r="M87" i="9"/>
  <c r="N87" i="9"/>
  <c r="O87" i="9"/>
  <c r="R87" i="9"/>
  <c r="S87" i="9"/>
  <c r="T87" i="9"/>
  <c r="I88" i="9"/>
  <c r="P88" i="9" s="1"/>
  <c r="M88" i="9"/>
  <c r="N88" i="9"/>
  <c r="O88" i="9"/>
  <c r="R88" i="9"/>
  <c r="S88" i="9"/>
  <c r="I89" i="9"/>
  <c r="M89" i="9"/>
  <c r="N89" i="9"/>
  <c r="O89" i="9"/>
  <c r="P89" i="9"/>
  <c r="Q89" i="9"/>
  <c r="R89" i="9"/>
  <c r="S89" i="9"/>
  <c r="T89" i="9"/>
  <c r="I90" i="9"/>
  <c r="M90" i="9"/>
  <c r="N90" i="9"/>
  <c r="O90" i="9"/>
  <c r="P90" i="9"/>
  <c r="Q90" i="9"/>
  <c r="R90" i="9"/>
  <c r="S90" i="9"/>
  <c r="T90" i="9"/>
  <c r="I91" i="9"/>
  <c r="M91" i="9"/>
  <c r="N91" i="9"/>
  <c r="O91" i="9"/>
  <c r="P91" i="9"/>
  <c r="Q91" i="9"/>
  <c r="R91" i="9"/>
  <c r="S91" i="9"/>
  <c r="T91" i="9"/>
  <c r="E92" i="9"/>
  <c r="M92" i="9" s="1"/>
  <c r="F92" i="9"/>
  <c r="E105" i="9"/>
  <c r="F105" i="9"/>
  <c r="S79" i="11" l="1"/>
  <c r="S79" i="10"/>
  <c r="R79" i="10"/>
  <c r="R92" i="9"/>
  <c r="S79" i="9"/>
  <c r="R79" i="9"/>
  <c r="K38" i="9"/>
  <c r="M79" i="9"/>
  <c r="K64" i="9"/>
  <c r="K51" i="9"/>
  <c r="N79" i="9"/>
  <c r="K64" i="10"/>
  <c r="M79" i="10"/>
  <c r="K38" i="10"/>
  <c r="K51" i="10"/>
  <c r="K64" i="11"/>
  <c r="K51" i="11"/>
  <c r="K38" i="11"/>
  <c r="T82" i="11"/>
  <c r="T86" i="11"/>
  <c r="T90" i="11"/>
  <c r="J41" i="11"/>
  <c r="M41" i="11" s="1"/>
  <c r="T73" i="11"/>
  <c r="R74" i="11"/>
  <c r="R79" i="11" s="1"/>
  <c r="M90" i="11"/>
  <c r="E79" i="11"/>
  <c r="J26" i="11"/>
  <c r="M26" i="11" s="1"/>
  <c r="M38" i="11" s="1"/>
  <c r="J28" i="11"/>
  <c r="M28" i="11" s="1"/>
  <c r="J30" i="11"/>
  <c r="M30" i="11" s="1"/>
  <c r="J32" i="11"/>
  <c r="M32" i="11" s="1"/>
  <c r="J34" i="11"/>
  <c r="M34" i="11" s="1"/>
  <c r="J36" i="11"/>
  <c r="M36" i="11" s="1"/>
  <c r="T68" i="11"/>
  <c r="T74" i="11"/>
  <c r="E92" i="11"/>
  <c r="T67" i="11"/>
  <c r="M73" i="11"/>
  <c r="M79" i="11" s="1"/>
  <c r="Q72" i="11"/>
  <c r="Q78" i="11"/>
  <c r="I79" i="11"/>
  <c r="R81" i="11"/>
  <c r="P82" i="11"/>
  <c r="R85" i="11"/>
  <c r="P86" i="11"/>
  <c r="R89" i="11"/>
  <c r="P90" i="11"/>
  <c r="T87" i="11"/>
  <c r="J40" i="11"/>
  <c r="M40" i="11" s="1"/>
  <c r="P73" i="11"/>
  <c r="P67" i="11"/>
  <c r="P79" i="11" s="1"/>
  <c r="P83" i="11"/>
  <c r="P87" i="11"/>
  <c r="P91" i="11"/>
  <c r="T83" i="11"/>
  <c r="J27" i="11"/>
  <c r="M27" i="11" s="1"/>
  <c r="J29" i="11"/>
  <c r="M29" i="11" s="1"/>
  <c r="J31" i="11"/>
  <c r="M31" i="11" s="1"/>
  <c r="J33" i="11"/>
  <c r="M33" i="11" s="1"/>
  <c r="J35" i="11"/>
  <c r="M35" i="11" s="1"/>
  <c r="T67" i="10"/>
  <c r="T80" i="10"/>
  <c r="T68" i="10"/>
  <c r="T76" i="10"/>
  <c r="T69" i="10"/>
  <c r="J17" i="10"/>
  <c r="M17" i="10" s="1"/>
  <c r="J21" i="10"/>
  <c r="M21" i="10" s="1"/>
  <c r="T70" i="10"/>
  <c r="P75" i="10"/>
  <c r="P80" i="10"/>
  <c r="J31" i="10"/>
  <c r="M31" i="10" s="1"/>
  <c r="J37" i="10"/>
  <c r="M37" i="10" s="1"/>
  <c r="P89" i="10"/>
  <c r="Q68" i="10"/>
  <c r="P69" i="10"/>
  <c r="Q76" i="10"/>
  <c r="P77" i="10"/>
  <c r="Q81" i="10"/>
  <c r="P82" i="10"/>
  <c r="Q89" i="10"/>
  <c r="P90" i="10"/>
  <c r="T75" i="10"/>
  <c r="I79" i="10"/>
  <c r="T88" i="10"/>
  <c r="T81" i="10"/>
  <c r="T77" i="10"/>
  <c r="T82" i="10"/>
  <c r="J13" i="10"/>
  <c r="M13" i="10" s="1"/>
  <c r="M25" i="10" s="1"/>
  <c r="J15" i="10"/>
  <c r="M15" i="10" s="1"/>
  <c r="J19" i="10"/>
  <c r="M19" i="10" s="1"/>
  <c r="J23" i="10"/>
  <c r="M23" i="10" s="1"/>
  <c r="J40" i="10"/>
  <c r="M40" i="10" s="1"/>
  <c r="T78" i="10"/>
  <c r="T83" i="10"/>
  <c r="T91" i="10"/>
  <c r="P67" i="10"/>
  <c r="P79" i="10" s="1"/>
  <c r="P88" i="10"/>
  <c r="J27" i="10"/>
  <c r="M27" i="10" s="1"/>
  <c r="J29" i="10"/>
  <c r="M29" i="10" s="1"/>
  <c r="J33" i="10"/>
  <c r="M33" i="10" s="1"/>
  <c r="J35" i="10"/>
  <c r="M35" i="10" s="1"/>
  <c r="J14" i="10"/>
  <c r="M14" i="10" s="1"/>
  <c r="J16" i="10"/>
  <c r="M16" i="10" s="1"/>
  <c r="J18" i="10"/>
  <c r="M18" i="10" s="1"/>
  <c r="J20" i="10"/>
  <c r="M20" i="10" s="1"/>
  <c r="J22" i="10"/>
  <c r="M22" i="10" s="1"/>
  <c r="J24" i="10"/>
  <c r="M24" i="10" s="1"/>
  <c r="J39" i="10"/>
  <c r="M39" i="10" s="1"/>
  <c r="M51" i="10" s="1"/>
  <c r="Q88" i="9"/>
  <c r="Q80" i="9"/>
  <c r="Q67" i="9"/>
  <c r="Q87" i="9"/>
  <c r="P75" i="9"/>
  <c r="Q73" i="9"/>
  <c r="T88" i="9"/>
  <c r="T74" i="9"/>
  <c r="T79" i="9" s="1"/>
  <c r="T73" i="9"/>
  <c r="T85" i="9"/>
  <c r="T84" i="9"/>
  <c r="Q74" i="9"/>
  <c r="Q86" i="9"/>
  <c r="Q85" i="9"/>
  <c r="Q72" i="9"/>
  <c r="J36" i="9"/>
  <c r="M36" i="9" s="1"/>
  <c r="J34" i="9"/>
  <c r="M34" i="9" s="1"/>
  <c r="J32" i="9"/>
  <c r="M32" i="9" s="1"/>
  <c r="J30" i="9"/>
  <c r="M30" i="9" s="1"/>
  <c r="J28" i="9"/>
  <c r="M28" i="9" s="1"/>
  <c r="T79" i="11" l="1"/>
  <c r="T79" i="10"/>
  <c r="F92" i="8" l="1"/>
  <c r="E92" i="8"/>
  <c r="D92" i="8"/>
  <c r="C92" i="8"/>
  <c r="S91" i="8"/>
  <c r="R91" i="8"/>
  <c r="Q91" i="8"/>
  <c r="O91" i="8"/>
  <c r="N91" i="8"/>
  <c r="M91" i="8"/>
  <c r="I91" i="8"/>
  <c r="P91" i="8" s="1"/>
  <c r="S90" i="8"/>
  <c r="R90" i="8"/>
  <c r="O90" i="8"/>
  <c r="N90" i="8"/>
  <c r="M90" i="8"/>
  <c r="I90" i="8"/>
  <c r="Q90" i="8" s="1"/>
  <c r="S89" i="8"/>
  <c r="R89" i="8"/>
  <c r="O89" i="8"/>
  <c r="N89" i="8"/>
  <c r="M89" i="8"/>
  <c r="I89" i="8"/>
  <c r="S88" i="8"/>
  <c r="R88" i="8"/>
  <c r="O88" i="8"/>
  <c r="N88" i="8"/>
  <c r="M88" i="8"/>
  <c r="I88" i="8"/>
  <c r="S87" i="8"/>
  <c r="R87" i="8"/>
  <c r="Q87" i="8"/>
  <c r="P87" i="8"/>
  <c r="O87" i="8"/>
  <c r="N87" i="8"/>
  <c r="M87" i="8"/>
  <c r="I87" i="8"/>
  <c r="T87" i="8" s="1"/>
  <c r="S86" i="8"/>
  <c r="R86" i="8"/>
  <c r="Q86" i="8"/>
  <c r="P86" i="8"/>
  <c r="O86" i="8"/>
  <c r="N86" i="8"/>
  <c r="M86" i="8"/>
  <c r="I86" i="8"/>
  <c r="T86" i="8" s="1"/>
  <c r="S85" i="8"/>
  <c r="R85" i="8"/>
  <c r="Q85" i="8"/>
  <c r="P85" i="8"/>
  <c r="O85" i="8"/>
  <c r="N85" i="8"/>
  <c r="M85" i="8"/>
  <c r="I85" i="8"/>
  <c r="T85" i="8" s="1"/>
  <c r="S84" i="8"/>
  <c r="R84" i="8"/>
  <c r="Q84" i="8"/>
  <c r="P84" i="8"/>
  <c r="O84" i="8"/>
  <c r="N84" i="8"/>
  <c r="M84" i="8"/>
  <c r="I84" i="8"/>
  <c r="T84" i="8" s="1"/>
  <c r="S83" i="8"/>
  <c r="R83" i="8"/>
  <c r="Q83" i="8"/>
  <c r="P83" i="8"/>
  <c r="O83" i="8"/>
  <c r="N83" i="8"/>
  <c r="M83" i="8"/>
  <c r="I83" i="8"/>
  <c r="T83" i="8" s="1"/>
  <c r="S82" i="8"/>
  <c r="R82" i="8"/>
  <c r="O82" i="8"/>
  <c r="N82" i="8"/>
  <c r="M82" i="8"/>
  <c r="I82" i="8"/>
  <c r="Q82" i="8" s="1"/>
  <c r="S81" i="8"/>
  <c r="R81" i="8"/>
  <c r="O81" i="8"/>
  <c r="N81" i="8"/>
  <c r="M81" i="8"/>
  <c r="I81" i="8"/>
  <c r="T81" i="8" s="1"/>
  <c r="S80" i="8"/>
  <c r="R80" i="8"/>
  <c r="O80" i="8"/>
  <c r="N80" i="8"/>
  <c r="M80" i="8"/>
  <c r="I80" i="8"/>
  <c r="T80" i="8" s="1"/>
  <c r="F79" i="8"/>
  <c r="E79" i="8"/>
  <c r="D79" i="8"/>
  <c r="C79" i="8"/>
  <c r="S78" i="8"/>
  <c r="R78" i="8"/>
  <c r="Q78" i="8"/>
  <c r="P78" i="8"/>
  <c r="O78" i="8"/>
  <c r="N78" i="8"/>
  <c r="M78" i="8"/>
  <c r="I78" i="8"/>
  <c r="T78" i="8" s="1"/>
  <c r="S77" i="8"/>
  <c r="R77" i="8"/>
  <c r="O77" i="8"/>
  <c r="N77" i="8"/>
  <c r="M77" i="8"/>
  <c r="I77" i="8"/>
  <c r="Q77" i="8" s="1"/>
  <c r="T76" i="8"/>
  <c r="S76" i="8"/>
  <c r="R76" i="8"/>
  <c r="O76" i="8"/>
  <c r="N76" i="8"/>
  <c r="M76" i="8"/>
  <c r="I76" i="8"/>
  <c r="T75" i="8"/>
  <c r="S75" i="8"/>
  <c r="R75" i="8"/>
  <c r="O75" i="8"/>
  <c r="N75" i="8"/>
  <c r="M75" i="8"/>
  <c r="I75" i="8"/>
  <c r="S74" i="8"/>
  <c r="R74" i="8"/>
  <c r="O74" i="8"/>
  <c r="N74" i="8"/>
  <c r="M74" i="8"/>
  <c r="I74" i="8"/>
  <c r="T74" i="8" s="1"/>
  <c r="S73" i="8"/>
  <c r="R73" i="8"/>
  <c r="Q73" i="8"/>
  <c r="P73" i="8"/>
  <c r="O73" i="8"/>
  <c r="N73" i="8"/>
  <c r="M73" i="8"/>
  <c r="I73" i="8"/>
  <c r="T73" i="8" s="1"/>
  <c r="S72" i="8"/>
  <c r="R72" i="8"/>
  <c r="Q72" i="8"/>
  <c r="P72" i="8"/>
  <c r="O72" i="8"/>
  <c r="N72" i="8"/>
  <c r="M72" i="8"/>
  <c r="I72" i="8"/>
  <c r="T72" i="8" s="1"/>
  <c r="S71" i="8"/>
  <c r="R71" i="8"/>
  <c r="Q71" i="8"/>
  <c r="P71" i="8"/>
  <c r="O71" i="8"/>
  <c r="N71" i="8"/>
  <c r="M71" i="8"/>
  <c r="I71" i="8"/>
  <c r="T71" i="8" s="1"/>
  <c r="S70" i="8"/>
  <c r="R70" i="8"/>
  <c r="Q70" i="8"/>
  <c r="P70" i="8"/>
  <c r="O70" i="8"/>
  <c r="N70" i="8"/>
  <c r="M70" i="8"/>
  <c r="I70" i="8"/>
  <c r="T70" i="8" s="1"/>
  <c r="S69" i="8"/>
  <c r="R69" i="8"/>
  <c r="O69" i="8"/>
  <c r="N69" i="8"/>
  <c r="M69" i="8"/>
  <c r="I69" i="8"/>
  <c r="Q69" i="8" s="1"/>
  <c r="S68" i="8"/>
  <c r="R68" i="8"/>
  <c r="O68" i="8"/>
  <c r="N68" i="8"/>
  <c r="M68" i="8"/>
  <c r="I68" i="8"/>
  <c r="S67" i="8"/>
  <c r="R67" i="8"/>
  <c r="O67" i="8"/>
  <c r="O79" i="8" s="1"/>
  <c r="N67" i="8"/>
  <c r="N79" i="8" s="1"/>
  <c r="M67" i="8"/>
  <c r="I67" i="8"/>
  <c r="G64" i="8"/>
  <c r="F64" i="8"/>
  <c r="E64" i="8"/>
  <c r="C64" i="8"/>
  <c r="M63" i="8"/>
  <c r="L63" i="8"/>
  <c r="K63" i="8"/>
  <c r="M62" i="8"/>
  <c r="L62" i="8"/>
  <c r="K62" i="8"/>
  <c r="M61" i="8"/>
  <c r="L61" i="8"/>
  <c r="K61" i="8"/>
  <c r="M60" i="8"/>
  <c r="L60" i="8"/>
  <c r="K60" i="8"/>
  <c r="M59" i="8"/>
  <c r="L59" i="8"/>
  <c r="K59" i="8"/>
  <c r="M58" i="8"/>
  <c r="L58" i="8"/>
  <c r="K58" i="8"/>
  <c r="M57" i="8"/>
  <c r="L57" i="8"/>
  <c r="K57" i="8"/>
  <c r="M56" i="8"/>
  <c r="L56" i="8"/>
  <c r="K56" i="8"/>
  <c r="M55" i="8"/>
  <c r="L55" i="8"/>
  <c r="K55" i="8"/>
  <c r="M54" i="8"/>
  <c r="L54" i="8"/>
  <c r="K54" i="8"/>
  <c r="M53" i="8"/>
  <c r="L53" i="8"/>
  <c r="K53" i="8"/>
  <c r="M52" i="8"/>
  <c r="M64" i="8" s="1"/>
  <c r="L52" i="8"/>
  <c r="L64" i="8" s="1"/>
  <c r="K52" i="8"/>
  <c r="G51" i="8"/>
  <c r="F51" i="8"/>
  <c r="C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L41" i="8"/>
  <c r="K41" i="8"/>
  <c r="L40" i="8"/>
  <c r="K40" i="8"/>
  <c r="L39" i="8"/>
  <c r="L51" i="8" s="1"/>
  <c r="K39" i="8"/>
  <c r="F38" i="8"/>
  <c r="C38" i="8"/>
  <c r="L37" i="8"/>
  <c r="K37" i="8"/>
  <c r="L36" i="8"/>
  <c r="K36" i="8"/>
  <c r="L35" i="8"/>
  <c r="K35" i="8"/>
  <c r="L34" i="8"/>
  <c r="K34" i="8"/>
  <c r="J34" i="8"/>
  <c r="M34" i="8" s="1"/>
  <c r="L33" i="8"/>
  <c r="K33" i="8"/>
  <c r="L32" i="8"/>
  <c r="K32" i="8"/>
  <c r="L31" i="8"/>
  <c r="K31" i="8"/>
  <c r="L30" i="8"/>
  <c r="K30" i="8"/>
  <c r="J30" i="8"/>
  <c r="M30" i="8" s="1"/>
  <c r="L29" i="8"/>
  <c r="K29" i="8"/>
  <c r="L28" i="8"/>
  <c r="K28" i="8"/>
  <c r="L27" i="8"/>
  <c r="K27" i="8"/>
  <c r="L26" i="8"/>
  <c r="L38" i="8" s="1"/>
  <c r="K26" i="8"/>
  <c r="J26" i="8"/>
  <c r="M26" i="8" s="1"/>
  <c r="M38" i="8" s="1"/>
  <c r="L25" i="8"/>
  <c r="F25" i="8"/>
  <c r="E25" i="8"/>
  <c r="K25" i="8" s="1"/>
  <c r="C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J14" i="8"/>
  <c r="L13" i="8"/>
  <c r="K13" i="8"/>
  <c r="L11" i="8"/>
  <c r="M79" i="8" l="1"/>
  <c r="R79" i="8"/>
  <c r="K51" i="8"/>
  <c r="K38" i="8"/>
  <c r="Q68" i="8"/>
  <c r="P68" i="8"/>
  <c r="Q89" i="8"/>
  <c r="P89" i="8"/>
  <c r="K64" i="8"/>
  <c r="Q67" i="8"/>
  <c r="P67" i="8"/>
  <c r="P79" i="8" s="1"/>
  <c r="Q88" i="8"/>
  <c r="P88" i="8"/>
  <c r="J41" i="8"/>
  <c r="M41" i="8" s="1"/>
  <c r="J39" i="8"/>
  <c r="M39" i="8" s="1"/>
  <c r="M51" i="8" s="1"/>
  <c r="J24" i="8"/>
  <c r="M24" i="8" s="1"/>
  <c r="J22" i="8"/>
  <c r="M22" i="8" s="1"/>
  <c r="J20" i="8"/>
  <c r="M20" i="8" s="1"/>
  <c r="J18" i="8"/>
  <c r="M18" i="8" s="1"/>
  <c r="J37" i="8"/>
  <c r="M37" i="8" s="1"/>
  <c r="J35" i="8"/>
  <c r="M35" i="8" s="1"/>
  <c r="J33" i="8"/>
  <c r="M33" i="8" s="1"/>
  <c r="J31" i="8"/>
  <c r="M31" i="8" s="1"/>
  <c r="J29" i="8"/>
  <c r="M29" i="8" s="1"/>
  <c r="J27" i="8"/>
  <c r="M27" i="8" s="1"/>
  <c r="J40" i="8"/>
  <c r="M40" i="8" s="1"/>
  <c r="J23" i="8"/>
  <c r="M23" i="8" s="1"/>
  <c r="J21" i="8"/>
  <c r="M21" i="8" s="1"/>
  <c r="J19" i="8"/>
  <c r="M19" i="8" s="1"/>
  <c r="J17" i="8"/>
  <c r="M17" i="8" s="1"/>
  <c r="J15" i="8"/>
  <c r="M15" i="8" s="1"/>
  <c r="J13" i="8"/>
  <c r="M13" i="8" s="1"/>
  <c r="M25" i="8" s="1"/>
  <c r="Q76" i="8"/>
  <c r="P76" i="8"/>
  <c r="J16" i="8"/>
  <c r="M16" i="8" s="1"/>
  <c r="J28" i="8"/>
  <c r="M28" i="8" s="1"/>
  <c r="J36" i="8"/>
  <c r="M36" i="8" s="1"/>
  <c r="Q75" i="8"/>
  <c r="P75" i="8"/>
  <c r="I79" i="8"/>
  <c r="Q81" i="8"/>
  <c r="P81" i="8"/>
  <c r="Q80" i="8"/>
  <c r="P80" i="8"/>
  <c r="S79" i="8"/>
  <c r="T68" i="8"/>
  <c r="T89" i="8"/>
  <c r="J32" i="8"/>
  <c r="M32" i="8" s="1"/>
  <c r="T67" i="8"/>
  <c r="T88" i="8"/>
  <c r="T69" i="8"/>
  <c r="T77" i="8"/>
  <c r="T82" i="8"/>
  <c r="T90" i="8"/>
  <c r="P74" i="8"/>
  <c r="T91" i="8"/>
  <c r="Q74" i="8"/>
  <c r="P69" i="8"/>
  <c r="P77" i="8"/>
  <c r="P82" i="8"/>
  <c r="P90" i="8"/>
  <c r="T79" i="8" l="1"/>
  <c r="F92" i="7" l="1"/>
  <c r="E92" i="7"/>
  <c r="D92" i="7"/>
  <c r="C92" i="7"/>
  <c r="F92" i="6"/>
  <c r="E92" i="6"/>
  <c r="D92" i="6"/>
  <c r="C92" i="6"/>
  <c r="S91" i="7" l="1"/>
  <c r="O91" i="7"/>
  <c r="N91" i="7"/>
  <c r="I91" i="7"/>
  <c r="T91" i="7" s="1"/>
  <c r="M91" i="7"/>
  <c r="S90" i="7"/>
  <c r="Q90" i="7"/>
  <c r="P90" i="7"/>
  <c r="O90" i="7"/>
  <c r="N90" i="7"/>
  <c r="M90" i="7"/>
  <c r="I90" i="7"/>
  <c r="T90" i="7" s="1"/>
  <c r="R90" i="7"/>
  <c r="T89" i="7"/>
  <c r="S89" i="7"/>
  <c r="Q89" i="7"/>
  <c r="P89" i="7"/>
  <c r="O89" i="7"/>
  <c r="N89" i="7"/>
  <c r="I89" i="7"/>
  <c r="M89" i="7"/>
  <c r="S88" i="7"/>
  <c r="Q88" i="7"/>
  <c r="O88" i="7"/>
  <c r="N88" i="7"/>
  <c r="I88" i="7"/>
  <c r="T88" i="7" s="1"/>
  <c r="M88" i="7"/>
  <c r="S87" i="7"/>
  <c r="Q87" i="7"/>
  <c r="P87" i="7"/>
  <c r="O87" i="7"/>
  <c r="N87" i="7"/>
  <c r="M87" i="7"/>
  <c r="I87" i="7"/>
  <c r="T87" i="7" s="1"/>
  <c r="R87" i="7"/>
  <c r="T86" i="7"/>
  <c r="S86" i="7"/>
  <c r="Q86" i="7"/>
  <c r="P86" i="7"/>
  <c r="O86" i="7"/>
  <c r="N86" i="7"/>
  <c r="I86" i="7"/>
  <c r="M86" i="7"/>
  <c r="S85" i="7"/>
  <c r="Q85" i="7"/>
  <c r="O85" i="7"/>
  <c r="N85" i="7"/>
  <c r="I85" i="7"/>
  <c r="T85" i="7" s="1"/>
  <c r="M85" i="7"/>
  <c r="S84" i="7"/>
  <c r="Q84" i="7"/>
  <c r="P84" i="7"/>
  <c r="O84" i="7"/>
  <c r="N84" i="7"/>
  <c r="M84" i="7"/>
  <c r="I84" i="7"/>
  <c r="T84" i="7" s="1"/>
  <c r="R84" i="7"/>
  <c r="T83" i="7"/>
  <c r="S83" i="7"/>
  <c r="Q83" i="7"/>
  <c r="P83" i="7"/>
  <c r="O83" i="7"/>
  <c r="N83" i="7"/>
  <c r="I83" i="7"/>
  <c r="M83" i="7"/>
  <c r="S82" i="7"/>
  <c r="Q82" i="7"/>
  <c r="O82" i="7"/>
  <c r="N82" i="7"/>
  <c r="I82" i="7"/>
  <c r="T82" i="7" s="1"/>
  <c r="M82" i="7"/>
  <c r="S81" i="7"/>
  <c r="Q81" i="7"/>
  <c r="P81" i="7"/>
  <c r="O81" i="7"/>
  <c r="N81" i="7"/>
  <c r="M81" i="7"/>
  <c r="I81" i="7"/>
  <c r="T81" i="7" s="1"/>
  <c r="R81" i="7"/>
  <c r="T80" i="7"/>
  <c r="S80" i="7"/>
  <c r="Q80" i="7"/>
  <c r="P80" i="7"/>
  <c r="O80" i="7"/>
  <c r="N80" i="7"/>
  <c r="I80" i="7"/>
  <c r="M80" i="7"/>
  <c r="N79" i="7"/>
  <c r="F79" i="7"/>
  <c r="D79" i="7"/>
  <c r="C79" i="7"/>
  <c r="S78" i="7"/>
  <c r="Q78" i="7"/>
  <c r="O78" i="7"/>
  <c r="N78" i="7"/>
  <c r="I78" i="7"/>
  <c r="T78" i="7" s="1"/>
  <c r="M78" i="7"/>
  <c r="S77" i="7"/>
  <c r="Q77" i="7"/>
  <c r="P77" i="7"/>
  <c r="O77" i="7"/>
  <c r="N77" i="7"/>
  <c r="M77" i="7"/>
  <c r="I77" i="7"/>
  <c r="T77" i="7" s="1"/>
  <c r="R77" i="7"/>
  <c r="T76" i="7"/>
  <c r="S76" i="7"/>
  <c r="Q76" i="7"/>
  <c r="P76" i="7"/>
  <c r="O76" i="7"/>
  <c r="N76" i="7"/>
  <c r="I76" i="7"/>
  <c r="M76" i="7"/>
  <c r="S75" i="7"/>
  <c r="Q75" i="7"/>
  <c r="O75" i="7"/>
  <c r="N75" i="7"/>
  <c r="I75" i="7"/>
  <c r="T75" i="7" s="1"/>
  <c r="M75" i="7"/>
  <c r="S74" i="7"/>
  <c r="Q74" i="7"/>
  <c r="P74" i="7"/>
  <c r="O74" i="7"/>
  <c r="N74" i="7"/>
  <c r="M74" i="7"/>
  <c r="I74" i="7"/>
  <c r="T74" i="7" s="1"/>
  <c r="R74" i="7"/>
  <c r="T73" i="7"/>
  <c r="S73" i="7"/>
  <c r="Q73" i="7"/>
  <c r="O73" i="7"/>
  <c r="N73" i="7"/>
  <c r="I73" i="7"/>
  <c r="P73" i="7" s="1"/>
  <c r="M73" i="7"/>
  <c r="S72" i="7"/>
  <c r="Q72" i="7"/>
  <c r="O72" i="7"/>
  <c r="N72" i="7"/>
  <c r="I72" i="7"/>
  <c r="T72" i="7" s="1"/>
  <c r="M72" i="7"/>
  <c r="S71" i="7"/>
  <c r="Q71" i="7"/>
  <c r="P71" i="7"/>
  <c r="O71" i="7"/>
  <c r="N71" i="7"/>
  <c r="M71" i="7"/>
  <c r="I71" i="7"/>
  <c r="T71" i="7" s="1"/>
  <c r="R71" i="7"/>
  <c r="T70" i="7"/>
  <c r="S70" i="7"/>
  <c r="Q70" i="7"/>
  <c r="O70" i="7"/>
  <c r="N70" i="7"/>
  <c r="I70" i="7"/>
  <c r="P70" i="7" s="1"/>
  <c r="M70" i="7"/>
  <c r="S69" i="7"/>
  <c r="Q69" i="7"/>
  <c r="O69" i="7"/>
  <c r="N69" i="7"/>
  <c r="I69" i="7"/>
  <c r="T69" i="7" s="1"/>
  <c r="M69" i="7"/>
  <c r="S68" i="7"/>
  <c r="Q68" i="7"/>
  <c r="P68" i="7"/>
  <c r="O68" i="7"/>
  <c r="N68" i="7"/>
  <c r="M68" i="7"/>
  <c r="I68" i="7"/>
  <c r="T68" i="7" s="1"/>
  <c r="R68" i="7"/>
  <c r="T67" i="7"/>
  <c r="S67" i="7"/>
  <c r="S79" i="7" s="1"/>
  <c r="Q67" i="7"/>
  <c r="O67" i="7"/>
  <c r="O79" i="7" s="1"/>
  <c r="N67" i="7"/>
  <c r="I67" i="7"/>
  <c r="P67" i="7" s="1"/>
  <c r="P79" i="7" s="1"/>
  <c r="E79" i="7"/>
  <c r="L64" i="7"/>
  <c r="G64" i="7"/>
  <c r="F64" i="7"/>
  <c r="E64" i="7"/>
  <c r="C64" i="7"/>
  <c r="M63" i="7"/>
  <c r="L63" i="7"/>
  <c r="K63" i="7"/>
  <c r="M62" i="7"/>
  <c r="L62" i="7"/>
  <c r="K62" i="7"/>
  <c r="M61" i="7"/>
  <c r="L61" i="7"/>
  <c r="K61" i="7"/>
  <c r="M60" i="7"/>
  <c r="L60" i="7"/>
  <c r="K60" i="7"/>
  <c r="M59" i="7"/>
  <c r="L59" i="7"/>
  <c r="K59" i="7"/>
  <c r="M58" i="7"/>
  <c r="L58" i="7"/>
  <c r="K58" i="7"/>
  <c r="M57" i="7"/>
  <c r="L57" i="7"/>
  <c r="K57" i="7"/>
  <c r="M56" i="7"/>
  <c r="L56" i="7"/>
  <c r="K56" i="7"/>
  <c r="M55" i="7"/>
  <c r="L55" i="7"/>
  <c r="K55" i="7"/>
  <c r="M54" i="7"/>
  <c r="L54" i="7"/>
  <c r="K54" i="7"/>
  <c r="M53" i="7"/>
  <c r="L53" i="7"/>
  <c r="K53" i="7"/>
  <c r="M52" i="7"/>
  <c r="M64" i="7" s="1"/>
  <c r="L52" i="7"/>
  <c r="K52" i="7"/>
  <c r="G51" i="7"/>
  <c r="F51" i="7"/>
  <c r="E51" i="7"/>
  <c r="C51" i="7"/>
  <c r="M50" i="7"/>
  <c r="L50" i="7"/>
  <c r="K50" i="7"/>
  <c r="M49" i="7"/>
  <c r="L49" i="7"/>
  <c r="K49" i="7"/>
  <c r="M48" i="7"/>
  <c r="L48" i="7"/>
  <c r="K48" i="7"/>
  <c r="M47" i="7"/>
  <c r="L47" i="7"/>
  <c r="K47" i="7"/>
  <c r="M46" i="7"/>
  <c r="L46" i="7"/>
  <c r="K46" i="7"/>
  <c r="M45" i="7"/>
  <c r="L45" i="7"/>
  <c r="K45" i="7"/>
  <c r="M44" i="7"/>
  <c r="L44" i="7"/>
  <c r="K44" i="7"/>
  <c r="M43" i="7"/>
  <c r="L43" i="7"/>
  <c r="K43" i="7"/>
  <c r="M42" i="7"/>
  <c r="L42" i="7"/>
  <c r="K42" i="7"/>
  <c r="L41" i="7"/>
  <c r="K41" i="7"/>
  <c r="L40" i="7"/>
  <c r="K40" i="7"/>
  <c r="L39" i="7"/>
  <c r="L51" i="7" s="1"/>
  <c r="F4" i="7" s="1"/>
  <c r="G4" i="7" s="1"/>
  <c r="K39" i="7"/>
  <c r="F38" i="7"/>
  <c r="E38" i="7"/>
  <c r="C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L38" i="7" s="1"/>
  <c r="K26" i="7"/>
  <c r="F25" i="7"/>
  <c r="E25" i="7"/>
  <c r="K25" i="7" s="1"/>
  <c r="C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L25" i="7" s="1"/>
  <c r="K13" i="7"/>
  <c r="L11" i="7"/>
  <c r="J40" i="7" s="1"/>
  <c r="M40" i="7" s="1"/>
  <c r="G5" i="7"/>
  <c r="F5" i="7"/>
  <c r="E5" i="7"/>
  <c r="L13" i="6"/>
  <c r="I10" i="4"/>
  <c r="E25" i="6"/>
  <c r="K25" i="6" s="1"/>
  <c r="E38" i="6"/>
  <c r="E51" i="6"/>
  <c r="K18" i="6"/>
  <c r="K19" i="6"/>
  <c r="K20" i="6"/>
  <c r="K26" i="6"/>
  <c r="K28" i="6"/>
  <c r="K34" i="6"/>
  <c r="K36" i="6"/>
  <c r="K43" i="6"/>
  <c r="K44" i="6"/>
  <c r="I80" i="6"/>
  <c r="T80" i="6" s="1"/>
  <c r="I81" i="6"/>
  <c r="I82" i="6"/>
  <c r="I83" i="6"/>
  <c r="I84" i="6"/>
  <c r="Q84" i="6" s="1"/>
  <c r="I85" i="6"/>
  <c r="I72" i="6"/>
  <c r="I73" i="6"/>
  <c r="I74" i="6"/>
  <c r="I75" i="6"/>
  <c r="I76" i="6"/>
  <c r="I77" i="6"/>
  <c r="T77" i="6" s="1"/>
  <c r="I78" i="6"/>
  <c r="I67" i="6"/>
  <c r="P67" i="6" s="1"/>
  <c r="I68" i="6"/>
  <c r="I69" i="6"/>
  <c r="T69" i="6" s="1"/>
  <c r="I70" i="6"/>
  <c r="C45" i="3"/>
  <c r="C46" i="3"/>
  <c r="C47" i="3"/>
  <c r="C48" i="3"/>
  <c r="C49" i="3"/>
  <c r="C50" i="3"/>
  <c r="C51" i="3"/>
  <c r="C52" i="3"/>
  <c r="C53" i="3"/>
  <c r="C54" i="3"/>
  <c r="C55" i="3"/>
  <c r="C56" i="3"/>
  <c r="C61" i="3"/>
  <c r="C62" i="3"/>
  <c r="C63" i="3"/>
  <c r="C64" i="3"/>
  <c r="C65" i="3"/>
  <c r="C66" i="3"/>
  <c r="C67" i="3"/>
  <c r="C68" i="3"/>
  <c r="C69" i="3"/>
  <c r="C70" i="3"/>
  <c r="C71" i="3"/>
  <c r="C72" i="3"/>
  <c r="D79" i="6"/>
  <c r="C79" i="6"/>
  <c r="S91" i="6"/>
  <c r="P91" i="6"/>
  <c r="O91" i="6"/>
  <c r="N91" i="6"/>
  <c r="M91" i="6"/>
  <c r="I91" i="6"/>
  <c r="T91" i="6" s="1"/>
  <c r="R91" i="6"/>
  <c r="S90" i="6"/>
  <c r="Q90" i="6"/>
  <c r="P90" i="6"/>
  <c r="O90" i="6"/>
  <c r="N90" i="6"/>
  <c r="M90" i="6"/>
  <c r="I90" i="6"/>
  <c r="T90" i="6" s="1"/>
  <c r="R90" i="6"/>
  <c r="S89" i="6"/>
  <c r="R89" i="6"/>
  <c r="Q89" i="6"/>
  <c r="O89" i="6"/>
  <c r="N89" i="6"/>
  <c r="I89" i="6"/>
  <c r="P89" i="6" s="1"/>
  <c r="M89" i="6"/>
  <c r="T88" i="6"/>
  <c r="S88" i="6"/>
  <c r="O88" i="6"/>
  <c r="N88" i="6"/>
  <c r="I88" i="6"/>
  <c r="Q88" i="6" s="1"/>
  <c r="R88" i="6"/>
  <c r="S87" i="6"/>
  <c r="O87" i="6"/>
  <c r="N87" i="6"/>
  <c r="I87" i="6"/>
  <c r="T87" i="6" s="1"/>
  <c r="R87" i="6"/>
  <c r="S86" i="6"/>
  <c r="P86" i="6"/>
  <c r="O86" i="6"/>
  <c r="N86" i="6"/>
  <c r="I86" i="6"/>
  <c r="T86" i="6" s="1"/>
  <c r="R86" i="6"/>
  <c r="S85" i="6"/>
  <c r="O85" i="6"/>
  <c r="N85" i="6"/>
  <c r="P85" i="6"/>
  <c r="M85" i="6"/>
  <c r="S84" i="6"/>
  <c r="O84" i="6"/>
  <c r="N84" i="6"/>
  <c r="R84" i="6"/>
  <c r="T83" i="6"/>
  <c r="S83" i="6"/>
  <c r="Q83" i="6"/>
  <c r="P83" i="6"/>
  <c r="O83" i="6"/>
  <c r="N83" i="6"/>
  <c r="R83" i="6"/>
  <c r="T82" i="6"/>
  <c r="S82" i="6"/>
  <c r="Q82" i="6"/>
  <c r="P82" i="6"/>
  <c r="O82" i="6"/>
  <c r="N82" i="6"/>
  <c r="M82" i="6"/>
  <c r="T81" i="6"/>
  <c r="S81" i="6"/>
  <c r="Q81" i="6"/>
  <c r="P81" i="6"/>
  <c r="O81" i="6"/>
  <c r="N81" i="6"/>
  <c r="M81" i="6"/>
  <c r="S80" i="6"/>
  <c r="P80" i="6"/>
  <c r="O80" i="6"/>
  <c r="N80" i="6"/>
  <c r="M80" i="6"/>
  <c r="F25" i="6"/>
  <c r="C25" i="6"/>
  <c r="L24" i="6"/>
  <c r="K24" i="6"/>
  <c r="L23" i="6"/>
  <c r="K23" i="6"/>
  <c r="L22" i="6"/>
  <c r="K22" i="6"/>
  <c r="L21" i="6"/>
  <c r="K21" i="6"/>
  <c r="L20" i="6"/>
  <c r="L19" i="6"/>
  <c r="L18" i="6"/>
  <c r="L17" i="6"/>
  <c r="K17" i="6"/>
  <c r="L16" i="6"/>
  <c r="K16" i="6"/>
  <c r="L15" i="6"/>
  <c r="K15" i="6"/>
  <c r="L14" i="6"/>
  <c r="K14" i="6"/>
  <c r="K13" i="6"/>
  <c r="F38" i="6"/>
  <c r="C38" i="6"/>
  <c r="L37" i="6"/>
  <c r="K37" i="6"/>
  <c r="L36" i="6"/>
  <c r="L35" i="6"/>
  <c r="K35" i="6"/>
  <c r="L34" i="6"/>
  <c r="L33" i="6"/>
  <c r="K33" i="6"/>
  <c r="L32" i="6"/>
  <c r="K32" i="6"/>
  <c r="L31" i="6"/>
  <c r="K31" i="6"/>
  <c r="L30" i="6"/>
  <c r="K30" i="6"/>
  <c r="L29" i="6"/>
  <c r="K29" i="6"/>
  <c r="L28" i="6"/>
  <c r="L27" i="6"/>
  <c r="K27" i="6"/>
  <c r="L26" i="6"/>
  <c r="G51" i="6"/>
  <c r="F51" i="6"/>
  <c r="C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M43" i="6"/>
  <c r="L43" i="6"/>
  <c r="M42" i="6"/>
  <c r="L42" i="6"/>
  <c r="K42" i="6"/>
  <c r="L41" i="6"/>
  <c r="K41" i="6"/>
  <c r="L40" i="6"/>
  <c r="K40" i="6"/>
  <c r="L39" i="6"/>
  <c r="K39" i="6"/>
  <c r="G64" i="6"/>
  <c r="F64" i="6"/>
  <c r="C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M52" i="6"/>
  <c r="L52" i="6"/>
  <c r="K52" i="6"/>
  <c r="F79" i="6"/>
  <c r="S78" i="6"/>
  <c r="O78" i="6"/>
  <c r="N78" i="6"/>
  <c r="T78" i="6"/>
  <c r="M78" i="6"/>
  <c r="S77" i="6"/>
  <c r="O77" i="6"/>
  <c r="N77" i="6"/>
  <c r="R77" i="6"/>
  <c r="S76" i="6"/>
  <c r="O76" i="6"/>
  <c r="N76" i="6"/>
  <c r="T76" i="6"/>
  <c r="M76" i="6"/>
  <c r="S75" i="6"/>
  <c r="O75" i="6"/>
  <c r="N75" i="6"/>
  <c r="T75" i="6"/>
  <c r="M75" i="6"/>
  <c r="S74" i="6"/>
  <c r="O74" i="6"/>
  <c r="N74" i="6"/>
  <c r="T74" i="6"/>
  <c r="R74" i="6"/>
  <c r="S73" i="6"/>
  <c r="O73" i="6"/>
  <c r="N73" i="6"/>
  <c r="T73" i="6"/>
  <c r="M73" i="6"/>
  <c r="S72" i="6"/>
  <c r="O72" i="6"/>
  <c r="N72" i="6"/>
  <c r="T72" i="6"/>
  <c r="M72" i="6"/>
  <c r="S71" i="6"/>
  <c r="O71" i="6"/>
  <c r="N71" i="6"/>
  <c r="I71" i="6"/>
  <c r="T71" i="6" s="1"/>
  <c r="M71" i="6"/>
  <c r="T70" i="6"/>
  <c r="S70" i="6"/>
  <c r="Q70" i="6"/>
  <c r="P70" i="6"/>
  <c r="O70" i="6"/>
  <c r="N70" i="6"/>
  <c r="M70" i="6"/>
  <c r="S69" i="6"/>
  <c r="Q69" i="6"/>
  <c r="P69" i="6"/>
  <c r="O69" i="6"/>
  <c r="N69" i="6"/>
  <c r="R69" i="6"/>
  <c r="T68" i="6"/>
  <c r="S68" i="6"/>
  <c r="Q68" i="6"/>
  <c r="P68" i="6"/>
  <c r="O68" i="6"/>
  <c r="N68" i="6"/>
  <c r="M68" i="6"/>
  <c r="S67" i="6"/>
  <c r="O67" i="6"/>
  <c r="N67" i="6"/>
  <c r="M67" i="6"/>
  <c r="L11" i="6"/>
  <c r="J24" i="6" s="1"/>
  <c r="M24" i="6" s="1"/>
  <c r="K64" i="7" l="1"/>
  <c r="K51" i="7"/>
  <c r="F3" i="7"/>
  <c r="G3" i="7" s="1"/>
  <c r="K38" i="7"/>
  <c r="T79" i="7"/>
  <c r="J13" i="7"/>
  <c r="M13" i="7" s="1"/>
  <c r="M25" i="7" s="1"/>
  <c r="J16" i="7"/>
  <c r="M16" i="7" s="1"/>
  <c r="J19" i="7"/>
  <c r="M19" i="7" s="1"/>
  <c r="J22" i="7"/>
  <c r="M22" i="7" s="1"/>
  <c r="J26" i="7"/>
  <c r="M26" i="7" s="1"/>
  <c r="M38" i="7" s="1"/>
  <c r="J29" i="7"/>
  <c r="M29" i="7" s="1"/>
  <c r="J32" i="7"/>
  <c r="M32" i="7" s="1"/>
  <c r="J35" i="7"/>
  <c r="M35" i="7" s="1"/>
  <c r="J39" i="7"/>
  <c r="M39" i="7" s="1"/>
  <c r="M51" i="7" s="1"/>
  <c r="H3" i="7" s="1"/>
  <c r="I3" i="7" s="1"/>
  <c r="R67" i="7"/>
  <c r="P69" i="7"/>
  <c r="R70" i="7"/>
  <c r="P72" i="7"/>
  <c r="R73" i="7"/>
  <c r="P75" i="7"/>
  <c r="R76" i="7"/>
  <c r="P78" i="7"/>
  <c r="R80" i="7"/>
  <c r="P82" i="7"/>
  <c r="R83" i="7"/>
  <c r="P85" i="7"/>
  <c r="R86" i="7"/>
  <c r="P88" i="7"/>
  <c r="R89" i="7"/>
  <c r="P91" i="7"/>
  <c r="M67" i="7"/>
  <c r="M79" i="7" s="1"/>
  <c r="Q91" i="7"/>
  <c r="J15" i="7"/>
  <c r="M15" i="7" s="1"/>
  <c r="J18" i="7"/>
  <c r="M18" i="7" s="1"/>
  <c r="J21" i="7"/>
  <c r="M21" i="7" s="1"/>
  <c r="J24" i="7"/>
  <c r="M24" i="7" s="1"/>
  <c r="J28" i="7"/>
  <c r="M28" i="7" s="1"/>
  <c r="J31" i="7"/>
  <c r="M31" i="7" s="1"/>
  <c r="J34" i="7"/>
  <c r="M34" i="7" s="1"/>
  <c r="J37" i="7"/>
  <c r="M37" i="7" s="1"/>
  <c r="J41" i="7"/>
  <c r="M41" i="7" s="1"/>
  <c r="R69" i="7"/>
  <c r="R72" i="7"/>
  <c r="R75" i="7"/>
  <c r="R78" i="7"/>
  <c r="R82" i="7"/>
  <c r="R85" i="7"/>
  <c r="R88" i="7"/>
  <c r="R91" i="7"/>
  <c r="I79" i="7"/>
  <c r="J14" i="7"/>
  <c r="M14" i="7" s="1"/>
  <c r="J17" i="7"/>
  <c r="M17" i="7" s="1"/>
  <c r="J20" i="7"/>
  <c r="M20" i="7" s="1"/>
  <c r="J23" i="7"/>
  <c r="M23" i="7" s="1"/>
  <c r="J27" i="7"/>
  <c r="M27" i="7" s="1"/>
  <c r="J30" i="7"/>
  <c r="M30" i="7" s="1"/>
  <c r="J33" i="7"/>
  <c r="M33" i="7" s="1"/>
  <c r="J36" i="7"/>
  <c r="M36" i="7" s="1"/>
  <c r="Q80" i="6"/>
  <c r="P87" i="6"/>
  <c r="Q87" i="6"/>
  <c r="Q86" i="6"/>
  <c r="Q85" i="6"/>
  <c r="Q71" i="6"/>
  <c r="Q67" i="6"/>
  <c r="T67" i="6"/>
  <c r="T79" i="6" s="1"/>
  <c r="R80" i="6"/>
  <c r="R81" i="6"/>
  <c r="M86" i="6"/>
  <c r="M87" i="6"/>
  <c r="M83" i="6"/>
  <c r="R85" i="6"/>
  <c r="R68" i="6"/>
  <c r="E79" i="6"/>
  <c r="M84" i="6"/>
  <c r="T85" i="6"/>
  <c r="T89" i="6"/>
  <c r="R82" i="6"/>
  <c r="Q91" i="6"/>
  <c r="T84" i="6"/>
  <c r="P84" i="6"/>
  <c r="P88" i="6"/>
  <c r="M88" i="6"/>
  <c r="R67" i="6"/>
  <c r="M77" i="6"/>
  <c r="O79" i="6"/>
  <c r="R78" i="6"/>
  <c r="L64" i="6"/>
  <c r="R76" i="6"/>
  <c r="M64" i="6"/>
  <c r="R73" i="6"/>
  <c r="P72" i="6"/>
  <c r="R72" i="6"/>
  <c r="J13" i="6"/>
  <c r="M13" i="6" s="1"/>
  <c r="Q72" i="6"/>
  <c r="P73" i="6"/>
  <c r="J21" i="6"/>
  <c r="M21" i="6" s="1"/>
  <c r="R71" i="6"/>
  <c r="Q73" i="6"/>
  <c r="Q77" i="6"/>
  <c r="E64" i="6"/>
  <c r="M69" i="6"/>
  <c r="M74" i="6"/>
  <c r="R75" i="6"/>
  <c r="K53" i="6"/>
  <c r="K64" i="6" s="1"/>
  <c r="K51" i="6"/>
  <c r="L25" i="6"/>
  <c r="J28" i="6"/>
  <c r="M28" i="6" s="1"/>
  <c r="L51" i="6"/>
  <c r="S79" i="6"/>
  <c r="J40" i="6"/>
  <c r="M40" i="6" s="1"/>
  <c r="J26" i="6"/>
  <c r="M26" i="6" s="1"/>
  <c r="P76" i="6"/>
  <c r="K38" i="6"/>
  <c r="J36" i="6"/>
  <c r="M36" i="6" s="1"/>
  <c r="N79" i="6"/>
  <c r="Q76" i="6"/>
  <c r="P77" i="6"/>
  <c r="L38" i="6"/>
  <c r="J34" i="6"/>
  <c r="M34" i="6" s="1"/>
  <c r="J33" i="6"/>
  <c r="M33" i="6" s="1"/>
  <c r="J18" i="6"/>
  <c r="M18" i="6" s="1"/>
  <c r="P74" i="6"/>
  <c r="P78" i="6"/>
  <c r="J30" i="6"/>
  <c r="M30" i="6" s="1"/>
  <c r="J15" i="6"/>
  <c r="M15" i="6" s="1"/>
  <c r="J23" i="6"/>
  <c r="M23" i="6" s="1"/>
  <c r="Q78" i="6"/>
  <c r="I79" i="6"/>
  <c r="J39" i="6"/>
  <c r="M39" i="6" s="1"/>
  <c r="J27" i="6"/>
  <c r="M27" i="6" s="1"/>
  <c r="J35" i="6"/>
  <c r="M35" i="6" s="1"/>
  <c r="J20" i="6"/>
  <c r="M20" i="6" s="1"/>
  <c r="Q74" i="6"/>
  <c r="R70" i="6"/>
  <c r="P71" i="6"/>
  <c r="P75" i="6"/>
  <c r="J32" i="6"/>
  <c r="M32" i="6" s="1"/>
  <c r="J17" i="6"/>
  <c r="M17" i="6" s="1"/>
  <c r="Q75" i="6"/>
  <c r="J41" i="6"/>
  <c r="M41" i="6" s="1"/>
  <c r="J29" i="6"/>
  <c r="M29" i="6" s="1"/>
  <c r="J37" i="6"/>
  <c r="M37" i="6" s="1"/>
  <c r="J14" i="6"/>
  <c r="M14" i="6" s="1"/>
  <c r="J22" i="6"/>
  <c r="M22" i="6" s="1"/>
  <c r="J19" i="6"/>
  <c r="M19" i="6" s="1"/>
  <c r="J31" i="6"/>
  <c r="M31" i="6" s="1"/>
  <c r="J16" i="6"/>
  <c r="M16" i="6" s="1"/>
  <c r="R79" i="7" l="1"/>
  <c r="M79" i="6"/>
  <c r="R79" i="6"/>
  <c r="M38" i="6"/>
  <c r="M51" i="6"/>
  <c r="P79" i="6"/>
  <c r="M25" i="6"/>
  <c r="D21" i="3" l="1"/>
  <c r="D20" i="3"/>
  <c r="B69" i="5"/>
  <c r="G67" i="5"/>
  <c r="F67" i="5"/>
  <c r="E67" i="5"/>
  <c r="G66" i="5"/>
  <c r="F66" i="5"/>
  <c r="E66" i="5"/>
  <c r="G65" i="5"/>
  <c r="F65" i="5"/>
  <c r="E65" i="5"/>
  <c r="G64" i="5"/>
  <c r="F64" i="5"/>
  <c r="E64" i="5"/>
  <c r="H63" i="5"/>
  <c r="G63" i="5"/>
  <c r="F63" i="5"/>
  <c r="E63" i="5"/>
  <c r="G62" i="5"/>
  <c r="F62" i="5"/>
  <c r="E62" i="5"/>
  <c r="G61" i="5"/>
  <c r="F61" i="5"/>
  <c r="E61" i="5"/>
  <c r="H60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H55" i="5"/>
  <c r="G55" i="5"/>
  <c r="F55" i="5"/>
  <c r="E55" i="5"/>
  <c r="G54" i="5"/>
  <c r="F54" i="5"/>
  <c r="E54" i="5"/>
  <c r="G53" i="5"/>
  <c r="F53" i="5"/>
  <c r="E53" i="5"/>
  <c r="H52" i="5"/>
  <c r="G52" i="5"/>
  <c r="F52" i="5"/>
  <c r="E52" i="5"/>
  <c r="G51" i="5"/>
  <c r="F51" i="5"/>
  <c r="E51" i="5"/>
  <c r="G50" i="5"/>
  <c r="F50" i="5"/>
  <c r="E50" i="5"/>
  <c r="G49" i="5"/>
  <c r="F49" i="5"/>
  <c r="E49" i="5"/>
  <c r="G48" i="5"/>
  <c r="F48" i="5"/>
  <c r="E48" i="5"/>
  <c r="H47" i="5"/>
  <c r="G47" i="5"/>
  <c r="F47" i="5"/>
  <c r="E47" i="5"/>
  <c r="G46" i="5"/>
  <c r="F46" i="5"/>
  <c r="E46" i="5"/>
  <c r="G45" i="5"/>
  <c r="F45" i="5"/>
  <c r="E45" i="5"/>
  <c r="H44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H39" i="5"/>
  <c r="G39" i="5"/>
  <c r="F39" i="5"/>
  <c r="E39" i="5"/>
  <c r="H38" i="5"/>
  <c r="G38" i="5"/>
  <c r="F38" i="5"/>
  <c r="E38" i="5"/>
  <c r="G37" i="5"/>
  <c r="F37" i="5"/>
  <c r="E37" i="5"/>
  <c r="H36" i="5"/>
  <c r="G36" i="5"/>
  <c r="F36" i="5"/>
  <c r="E36" i="5"/>
  <c r="G35" i="5"/>
  <c r="F35" i="5"/>
  <c r="E35" i="5"/>
  <c r="G34" i="5"/>
  <c r="F34" i="5"/>
  <c r="E34" i="5"/>
  <c r="G33" i="5"/>
  <c r="F33" i="5"/>
  <c r="E33" i="5"/>
  <c r="H32" i="5"/>
  <c r="G32" i="5"/>
  <c r="F32" i="5"/>
  <c r="E32" i="5"/>
  <c r="C69" i="5"/>
  <c r="H31" i="5"/>
  <c r="F31" i="5"/>
  <c r="D31" i="5"/>
  <c r="G31" i="5" s="1"/>
  <c r="H30" i="5"/>
  <c r="F30" i="5"/>
  <c r="D30" i="5"/>
  <c r="G30" i="5" s="1"/>
  <c r="F29" i="5"/>
  <c r="D29" i="5"/>
  <c r="E29" i="5" s="1"/>
  <c r="H28" i="5"/>
  <c r="F28" i="5"/>
  <c r="D28" i="5"/>
  <c r="E28" i="5" s="1"/>
  <c r="F27" i="5"/>
  <c r="D27" i="5"/>
  <c r="G27" i="5" s="1"/>
  <c r="F26" i="5"/>
  <c r="D26" i="5"/>
  <c r="G26" i="5" s="1"/>
  <c r="H25" i="5"/>
  <c r="F25" i="5"/>
  <c r="D25" i="5"/>
  <c r="E25" i="5" s="1"/>
  <c r="H24" i="5"/>
  <c r="F24" i="5"/>
  <c r="D24" i="5"/>
  <c r="G24" i="5" s="1"/>
  <c r="H23" i="5"/>
  <c r="F23" i="5"/>
  <c r="D23" i="5"/>
  <c r="G23" i="5" s="1"/>
  <c r="H22" i="5"/>
  <c r="F22" i="5"/>
  <c r="D22" i="5"/>
  <c r="G22" i="5" s="1"/>
  <c r="H21" i="5"/>
  <c r="F21" i="5"/>
  <c r="D21" i="5"/>
  <c r="E21" i="5" s="1"/>
  <c r="H20" i="5"/>
  <c r="F20" i="5"/>
  <c r="D20" i="5"/>
  <c r="E20" i="5" s="1"/>
  <c r="F19" i="5"/>
  <c r="D19" i="5"/>
  <c r="G19" i="5" s="1"/>
  <c r="F18" i="5"/>
  <c r="D18" i="5"/>
  <c r="G18" i="5" s="1"/>
  <c r="H17" i="5"/>
  <c r="G17" i="5"/>
  <c r="F17" i="5"/>
  <c r="D17" i="5"/>
  <c r="E17" i="5" s="1"/>
  <c r="H16" i="5"/>
  <c r="F16" i="5"/>
  <c r="D16" i="5"/>
  <c r="G16" i="5" s="1"/>
  <c r="H15" i="5"/>
  <c r="F15" i="5"/>
  <c r="D15" i="5"/>
  <c r="G15" i="5" s="1"/>
  <c r="H14" i="5"/>
  <c r="G14" i="5"/>
  <c r="F14" i="5"/>
  <c r="E14" i="5"/>
  <c r="D14" i="5"/>
  <c r="H13" i="5"/>
  <c r="F13" i="5"/>
  <c r="D13" i="5"/>
  <c r="G13" i="5" s="1"/>
  <c r="H12" i="5"/>
  <c r="F12" i="5"/>
  <c r="D12" i="5"/>
  <c r="E12" i="5" s="1"/>
  <c r="F11" i="5"/>
  <c r="D11" i="5"/>
  <c r="E11" i="5" s="1"/>
  <c r="F10" i="5"/>
  <c r="D10" i="5"/>
  <c r="G10" i="5" s="1"/>
  <c r="H9" i="5"/>
  <c r="F9" i="5"/>
  <c r="D9" i="5"/>
  <c r="E9" i="5" s="1"/>
  <c r="H8" i="5"/>
  <c r="F8" i="5"/>
  <c r="D8" i="5"/>
  <c r="D5" i="5"/>
  <c r="H66" i="5"/>
  <c r="I81" i="4"/>
  <c r="I80" i="4"/>
  <c r="I79" i="4"/>
  <c r="I78" i="4"/>
  <c r="I77" i="4"/>
  <c r="I76" i="4"/>
  <c r="I75" i="4"/>
  <c r="I74" i="4"/>
  <c r="I73" i="4"/>
  <c r="I72" i="4"/>
  <c r="I71" i="4"/>
  <c r="I70" i="4"/>
  <c r="H70" i="4"/>
  <c r="I66" i="4"/>
  <c r="I65" i="4"/>
  <c r="I64" i="4"/>
  <c r="I63" i="4"/>
  <c r="I62" i="4"/>
  <c r="I61" i="4"/>
  <c r="I60" i="4"/>
  <c r="I59" i="4"/>
  <c r="I58" i="4"/>
  <c r="I57" i="4"/>
  <c r="I56" i="4"/>
  <c r="I55" i="4"/>
  <c r="H55" i="4"/>
  <c r="I51" i="4"/>
  <c r="I50" i="4"/>
  <c r="I49" i="4"/>
  <c r="I48" i="4"/>
  <c r="I47" i="4"/>
  <c r="I46" i="4"/>
  <c r="I45" i="4"/>
  <c r="I44" i="4"/>
  <c r="I43" i="4"/>
  <c r="I42" i="4"/>
  <c r="I41" i="4"/>
  <c r="I40" i="4"/>
  <c r="H40" i="4"/>
  <c r="I36" i="4"/>
  <c r="I35" i="4"/>
  <c r="I34" i="4"/>
  <c r="I33" i="4"/>
  <c r="I32" i="4"/>
  <c r="I31" i="4"/>
  <c r="I30" i="4"/>
  <c r="I29" i="4"/>
  <c r="I28" i="4"/>
  <c r="I27" i="4"/>
  <c r="I26" i="4"/>
  <c r="I25" i="4"/>
  <c r="H25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H10" i="4"/>
  <c r="I3" i="4"/>
  <c r="D3" i="4"/>
  <c r="E3" i="4" s="1"/>
  <c r="E22" i="5" l="1"/>
  <c r="G29" i="5"/>
  <c r="E30" i="5"/>
  <c r="G20" i="5"/>
  <c r="E31" i="5"/>
  <c r="G21" i="5"/>
  <c r="E23" i="5"/>
  <c r="G25" i="5"/>
  <c r="G28" i="5"/>
  <c r="G9" i="5"/>
  <c r="G12" i="5"/>
  <c r="D69" i="5"/>
  <c r="E15" i="5"/>
  <c r="E8" i="5"/>
  <c r="E16" i="5"/>
  <c r="E24" i="5"/>
  <c r="H33" i="5"/>
  <c r="H41" i="5"/>
  <c r="H49" i="5"/>
  <c r="H57" i="5"/>
  <c r="H65" i="5"/>
  <c r="E27" i="5"/>
  <c r="G11" i="5"/>
  <c r="H54" i="5"/>
  <c r="H62" i="5"/>
  <c r="E19" i="5"/>
  <c r="E13" i="5"/>
  <c r="H46" i="5"/>
  <c r="G8" i="5"/>
  <c r="E10" i="5"/>
  <c r="H11" i="5"/>
  <c r="E18" i="5"/>
  <c r="H19" i="5"/>
  <c r="E26" i="5"/>
  <c r="H27" i="5"/>
  <c r="H35" i="5"/>
  <c r="H43" i="5"/>
  <c r="H51" i="5"/>
  <c r="H59" i="5"/>
  <c r="H67" i="5"/>
  <c r="H40" i="5"/>
  <c r="H48" i="5"/>
  <c r="H56" i="5"/>
  <c r="H64" i="5"/>
  <c r="H29" i="5"/>
  <c r="H37" i="5"/>
  <c r="H45" i="5"/>
  <c r="H53" i="5"/>
  <c r="H61" i="5"/>
  <c r="H10" i="5"/>
  <c r="H18" i="5"/>
  <c r="H26" i="5"/>
  <c r="H34" i="5"/>
  <c r="H42" i="5"/>
  <c r="H50" i="5"/>
  <c r="H58" i="5"/>
  <c r="I67" i="4"/>
  <c r="I22" i="4"/>
  <c r="I82" i="4"/>
  <c r="I52" i="4"/>
  <c r="I37" i="4"/>
  <c r="J22" i="4"/>
  <c r="F3" i="4" l="1"/>
  <c r="G3" i="4" s="1"/>
  <c r="S14" i="3" l="1"/>
  <c r="S15" i="3"/>
  <c r="S16" i="3"/>
  <c r="S19" i="3"/>
  <c r="S20" i="3"/>
  <c r="S13" i="3"/>
  <c r="R14" i="3"/>
  <c r="R15" i="3"/>
  <c r="R16" i="3"/>
  <c r="R17" i="3"/>
  <c r="R18" i="3"/>
  <c r="R19" i="3"/>
  <c r="R20" i="3"/>
  <c r="R21" i="3"/>
  <c r="R22" i="3"/>
  <c r="R23" i="3"/>
  <c r="R24" i="3"/>
  <c r="R13" i="3"/>
  <c r="B57" i="3"/>
  <c r="D57" i="3"/>
  <c r="E57" i="3"/>
  <c r="F57" i="3"/>
  <c r="G57" i="3"/>
  <c r="B41" i="3"/>
  <c r="E41" i="3"/>
  <c r="F41" i="3"/>
  <c r="B73" i="3"/>
  <c r="D73" i="3"/>
  <c r="E73" i="3"/>
  <c r="B89" i="3"/>
  <c r="D89" i="3"/>
  <c r="E89" i="3"/>
  <c r="J89" i="3"/>
  <c r="B25" i="3"/>
  <c r="C25" i="3"/>
  <c r="E25" i="3"/>
  <c r="D5" i="3"/>
  <c r="K88" i="3"/>
  <c r="J88" i="3"/>
  <c r="C88" i="3"/>
  <c r="K87" i="3"/>
  <c r="J87" i="3"/>
  <c r="C87" i="3"/>
  <c r="K86" i="3"/>
  <c r="J86" i="3"/>
  <c r="C86" i="3"/>
  <c r="K85" i="3"/>
  <c r="J85" i="3"/>
  <c r="C85" i="3"/>
  <c r="K84" i="3"/>
  <c r="J84" i="3"/>
  <c r="I84" i="3"/>
  <c r="L84" i="3" s="1"/>
  <c r="C84" i="3"/>
  <c r="K83" i="3"/>
  <c r="J83" i="3"/>
  <c r="C83" i="3"/>
  <c r="K82" i="3"/>
  <c r="J82" i="3"/>
  <c r="C82" i="3"/>
  <c r="K81" i="3"/>
  <c r="J81" i="3"/>
  <c r="C81" i="3"/>
  <c r="K80" i="3"/>
  <c r="J80" i="3"/>
  <c r="C80" i="3"/>
  <c r="K79" i="3"/>
  <c r="J79" i="3"/>
  <c r="C79" i="3"/>
  <c r="K78" i="3"/>
  <c r="J78" i="3"/>
  <c r="C78" i="3"/>
  <c r="K77" i="3"/>
  <c r="K89" i="3" s="1"/>
  <c r="J77" i="3"/>
  <c r="C77" i="3"/>
  <c r="K72" i="3"/>
  <c r="J72" i="3"/>
  <c r="K71" i="3"/>
  <c r="J71" i="3"/>
  <c r="K70" i="3"/>
  <c r="J70" i="3"/>
  <c r="I70" i="3"/>
  <c r="L70" i="3" s="1"/>
  <c r="K69" i="3"/>
  <c r="J69" i="3"/>
  <c r="K68" i="3"/>
  <c r="J68" i="3"/>
  <c r="I68" i="3"/>
  <c r="L68" i="3" s="1"/>
  <c r="K67" i="3"/>
  <c r="J67" i="3"/>
  <c r="K66" i="3"/>
  <c r="J66" i="3"/>
  <c r="K65" i="3"/>
  <c r="J65" i="3"/>
  <c r="K64" i="3"/>
  <c r="J64" i="3"/>
  <c r="K63" i="3"/>
  <c r="J63" i="3"/>
  <c r="J73" i="3" s="1"/>
  <c r="K62" i="3"/>
  <c r="J62" i="3"/>
  <c r="K61" i="3"/>
  <c r="J61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K47" i="3"/>
  <c r="J47" i="3"/>
  <c r="K46" i="3"/>
  <c r="J46" i="3"/>
  <c r="K45" i="3"/>
  <c r="J45" i="3"/>
  <c r="J57" i="3" s="1"/>
  <c r="E3" i="3" s="1"/>
  <c r="L40" i="3"/>
  <c r="K40" i="3"/>
  <c r="J40" i="3"/>
  <c r="D40" i="3"/>
  <c r="L39" i="3"/>
  <c r="K39" i="3"/>
  <c r="D39" i="3"/>
  <c r="J39" i="3" s="1"/>
  <c r="L38" i="3"/>
  <c r="K38" i="3"/>
  <c r="D38" i="3"/>
  <c r="J38" i="3" s="1"/>
  <c r="L37" i="3"/>
  <c r="K37" i="3"/>
  <c r="D37" i="3"/>
  <c r="J37" i="3" s="1"/>
  <c r="L36" i="3"/>
  <c r="K36" i="3"/>
  <c r="D36" i="3"/>
  <c r="J36" i="3" s="1"/>
  <c r="L35" i="3"/>
  <c r="K35" i="3"/>
  <c r="D35" i="3"/>
  <c r="J35" i="3" s="1"/>
  <c r="L34" i="3"/>
  <c r="K34" i="3"/>
  <c r="D34" i="3"/>
  <c r="J34" i="3" s="1"/>
  <c r="L33" i="3"/>
  <c r="K33" i="3"/>
  <c r="D33" i="3"/>
  <c r="J33" i="3" s="1"/>
  <c r="L32" i="3"/>
  <c r="K32" i="3"/>
  <c r="D32" i="3"/>
  <c r="J32" i="3" s="1"/>
  <c r="L31" i="3"/>
  <c r="K31" i="3"/>
  <c r="D31" i="3"/>
  <c r="J31" i="3" s="1"/>
  <c r="L30" i="3"/>
  <c r="K30" i="3"/>
  <c r="D30" i="3"/>
  <c r="J30" i="3" s="1"/>
  <c r="L29" i="3"/>
  <c r="L41" i="3" s="1"/>
  <c r="K29" i="3"/>
  <c r="D29" i="3"/>
  <c r="Q24" i="3"/>
  <c r="N24" i="3"/>
  <c r="M24" i="3"/>
  <c r="H24" i="3"/>
  <c r="S24" i="3" s="1"/>
  <c r="D24" i="3"/>
  <c r="L24" i="3" s="1"/>
  <c r="N23" i="3"/>
  <c r="M23" i="3"/>
  <c r="H23" i="3"/>
  <c r="O23" i="3" s="1"/>
  <c r="D23" i="3"/>
  <c r="L23" i="3" s="1"/>
  <c r="N22" i="3"/>
  <c r="M22" i="3"/>
  <c r="H22" i="3"/>
  <c r="O22" i="3" s="1"/>
  <c r="D22" i="3"/>
  <c r="Q22" i="3" s="1"/>
  <c r="P21" i="3"/>
  <c r="N21" i="3"/>
  <c r="M21" i="3"/>
  <c r="H21" i="3"/>
  <c r="S21" i="3" s="1"/>
  <c r="Q21" i="3"/>
  <c r="P20" i="3"/>
  <c r="N20" i="3"/>
  <c r="H20" i="3"/>
  <c r="N19" i="3"/>
  <c r="M19" i="3"/>
  <c r="H19" i="3"/>
  <c r="O19" i="3" s="1"/>
  <c r="D19" i="3"/>
  <c r="L19" i="3" s="1"/>
  <c r="P18" i="3"/>
  <c r="N18" i="3"/>
  <c r="M18" i="3"/>
  <c r="H18" i="3"/>
  <c r="O18" i="3" s="1"/>
  <c r="D18" i="3"/>
  <c r="Q18" i="3" s="1"/>
  <c r="O17" i="3"/>
  <c r="N17" i="3"/>
  <c r="M17" i="3"/>
  <c r="H17" i="3"/>
  <c r="H25" i="3" s="1"/>
  <c r="D17" i="3"/>
  <c r="Q17" i="3" s="1"/>
  <c r="P16" i="3"/>
  <c r="O16" i="3"/>
  <c r="N16" i="3"/>
  <c r="M16" i="3"/>
  <c r="D16" i="3"/>
  <c r="Q16" i="3" s="1"/>
  <c r="P15" i="3"/>
  <c r="O15" i="3"/>
  <c r="N15" i="3"/>
  <c r="M15" i="3"/>
  <c r="D15" i="3"/>
  <c r="L15" i="3" s="1"/>
  <c r="P14" i="3"/>
  <c r="O14" i="3"/>
  <c r="N14" i="3"/>
  <c r="M14" i="3"/>
  <c r="D14" i="3"/>
  <c r="L14" i="3" s="1"/>
  <c r="Q13" i="3"/>
  <c r="P13" i="3"/>
  <c r="O13" i="3"/>
  <c r="N13" i="3"/>
  <c r="N25" i="3" s="1"/>
  <c r="M13" i="3"/>
  <c r="D13" i="3"/>
  <c r="L13" i="3" s="1"/>
  <c r="K11" i="3"/>
  <c r="I85" i="3" s="1"/>
  <c r="L85" i="3" s="1"/>
  <c r="F5" i="3"/>
  <c r="E5" i="3"/>
  <c r="K41" i="3" l="1"/>
  <c r="K73" i="3"/>
  <c r="K57" i="3"/>
  <c r="D41" i="3"/>
  <c r="L17" i="3"/>
  <c r="L16" i="3"/>
  <c r="P23" i="3"/>
  <c r="I82" i="3"/>
  <c r="L82" i="3" s="1"/>
  <c r="S18" i="3"/>
  <c r="S17" i="3"/>
  <c r="S25" i="3" s="1"/>
  <c r="P17" i="3"/>
  <c r="L21" i="3"/>
  <c r="I45" i="3"/>
  <c r="L45" i="3" s="1"/>
  <c r="P22" i="3"/>
  <c r="I62" i="3"/>
  <c r="L62" i="3" s="1"/>
  <c r="I67" i="3"/>
  <c r="L67" i="3" s="1"/>
  <c r="Q15" i="3"/>
  <c r="P19" i="3"/>
  <c r="I81" i="3"/>
  <c r="L81" i="3" s="1"/>
  <c r="O21" i="3"/>
  <c r="P24" i="3"/>
  <c r="F3" i="3"/>
  <c r="R25" i="3"/>
  <c r="E4" i="3"/>
  <c r="F4" i="3" s="1"/>
  <c r="Q14" i="3"/>
  <c r="Q19" i="3"/>
  <c r="O20" i="3"/>
  <c r="O25" i="3" s="1"/>
  <c r="S22" i="3"/>
  <c r="Q23" i="3"/>
  <c r="O24" i="3"/>
  <c r="I65" i="3"/>
  <c r="L65" i="3" s="1"/>
  <c r="I79" i="3"/>
  <c r="L79" i="3" s="1"/>
  <c r="I87" i="3"/>
  <c r="L87" i="3" s="1"/>
  <c r="L18" i="3"/>
  <c r="L22" i="3"/>
  <c r="S23" i="3"/>
  <c r="J29" i="3"/>
  <c r="J41" i="3" s="1"/>
  <c r="I47" i="3"/>
  <c r="L47" i="3" s="1"/>
  <c r="I64" i="3"/>
  <c r="L64" i="3" s="1"/>
  <c r="I72" i="3"/>
  <c r="L72" i="3" s="1"/>
  <c r="I78" i="3"/>
  <c r="L78" i="3" s="1"/>
  <c r="I86" i="3"/>
  <c r="L86" i="3" s="1"/>
  <c r="I61" i="3"/>
  <c r="L61" i="3" s="1"/>
  <c r="I69" i="3"/>
  <c r="L69" i="3" s="1"/>
  <c r="I83" i="3"/>
  <c r="L83" i="3" s="1"/>
  <c r="I66" i="3"/>
  <c r="L66" i="3" s="1"/>
  <c r="I80" i="3"/>
  <c r="L80" i="3" s="1"/>
  <c r="I88" i="3"/>
  <c r="L88" i="3" s="1"/>
  <c r="I46" i="3"/>
  <c r="L46" i="3" s="1"/>
  <c r="L57" i="3" s="1"/>
  <c r="I63" i="3"/>
  <c r="L63" i="3" s="1"/>
  <c r="I71" i="3"/>
  <c r="L71" i="3" s="1"/>
  <c r="I77" i="3"/>
  <c r="L77" i="3" s="1"/>
  <c r="L89" i="3" l="1"/>
  <c r="G3" i="3" s="1"/>
  <c r="H3" i="3" s="1"/>
  <c r="L73" i="3"/>
  <c r="M20" i="3" l="1"/>
  <c r="M25" i="3" s="1"/>
  <c r="Q20" i="3" l="1"/>
  <c r="Q25" i="3" s="1"/>
  <c r="D25" i="3"/>
  <c r="L20" i="3"/>
  <c r="L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966B7DDA-CD2F-463E-A9A4-8C6E9E05C0C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45F5D843-FAB1-4A4B-86E5-48970904868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A49B4EAD-F60F-402F-8C18-4110EC46853E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6C3739BA-1683-4F42-97EA-B737170AD980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D719ED9A-D0C3-4724-BB65-459C55692B8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7D1CB02E-59F4-4424-B3A7-286BD43E4A3A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770C1300-8E72-4205-9E9B-D96E445DD6DB}">
      <text>
        <r>
          <rPr>
            <b/>
            <sz val="9"/>
            <color rgb="FF000000"/>
            <rFont val="Tahoma"/>
            <family val="2"/>
          </rPr>
          <t>Chang, Chia Chyi @ Singapore: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Inout 0 if not applicable</t>
        </r>
      </text>
    </comment>
    <comment ref="M66" authorId="1" shapeId="0" xr:uid="{A6A8BFE0-827F-4073-83C6-6F2051C1B4CA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A72C60A8-413C-44A2-9F9F-AAE44239A464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9DEED8B5-0275-4447-A6DF-0CC7A95571EC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2100A9BE-9240-4205-B118-783092D81D76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5E3B06C9-4308-4B1B-BD36-5E69E1313ACE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E2" authorId="0" shapeId="0" xr:uid="{98786814-F2BF-4F5A-9A1C-CE72EE5E09B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F2" authorId="0" shapeId="0" xr:uid="{DE06AC3B-281C-4EF9-A5FC-10C301C527B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G2" authorId="0" shapeId="0" xr:uid="{13D2D9D8-B270-4D8F-949A-7C4D3BC3388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H2" authorId="0" shapeId="0" xr:uid="{FC889DAB-20A6-48DD-B516-4AC7E1C4DB91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I2" authorId="0" shapeId="0" xr:uid="{26A5A823-BD2F-4520-92B3-FED622B9C3B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J2" authorId="0" shapeId="0" xr:uid="{8AFBEC64-71FE-4CD6-8CB5-A503AE918948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L12" authorId="1" shapeId="0" xr:uid="{0587E9E4-1670-4767-A573-462F283C3D9A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M12" authorId="1" shapeId="0" xr:uid="{488898D1-3A65-4CB6-8341-1BF1C10C1792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Q12" authorId="1" shapeId="0" xr:uid="{1BC8A2D4-B196-4FEB-B0AF-7AB6BD1BE843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R12" authorId="1" shapeId="0" xr:uid="{D47613B5-EB4D-4BA1-9A6B-B80731B5DE7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S12" authorId="1" shapeId="0" xr:uid="{F088E8EE-D0E1-46EE-8078-809BCF0A819B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  <comment ref="C28" authorId="0" shapeId="0" xr:uid="{FA10605E-D1CB-435A-BFCD-E1AFA26EAAA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C44" authorId="0" shapeId="0" xr:uid="{428E687F-FFE2-46C0-BE69-A0D886E4DA5B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C60" authorId="0" shapeId="0" xr:uid="{C6FB385D-C5C2-4285-84F7-F856AF0CC55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C76" authorId="0" shapeId="0" xr:uid="{FCE1380E-CEA0-47B4-BA83-0504837C65AD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Imran, Iffah @ Singapore</author>
  </authors>
  <commentList>
    <comment ref="E7" authorId="0" shapeId="0" xr:uid="{47458272-F158-4CE9-A43C-F975AD316E3E}">
      <text>
        <r>
          <rPr>
            <b/>
            <sz val="9"/>
            <color rgb="FF000000"/>
            <rFont val="Tahoma"/>
            <family val="2"/>
          </rPr>
          <t>Imran, Iffah @ Singapore: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EUI uses Total Energy consumption (column D)</t>
        </r>
      </text>
    </comment>
    <comment ref="F7" authorId="0" shapeId="0" xr:uid="{9672AB22-776C-4470-A710-6E6365E1D1AE}">
      <text>
        <r>
          <rPr>
            <b/>
            <sz val="9"/>
            <color rgb="FF000000"/>
            <rFont val="Tahoma"/>
            <family val="2"/>
          </rPr>
          <t>Imran, Iffah @ Singapore: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EEI uses energy usage without server room (column B)</t>
        </r>
      </text>
    </comment>
    <comment ref="G7" authorId="0" shapeId="0" xr:uid="{B7B458B0-48B6-43E2-811C-6A42CE9F0E6D}">
      <text>
        <r>
          <rPr>
            <b/>
            <sz val="9"/>
            <color rgb="FF000000"/>
            <rFont val="Tahoma"/>
            <family val="2"/>
          </rPr>
          <t xml:space="preserve">Imran, Iffah @ Singapore: Electricity Grid Emission Factor from EMA = 0.4057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https://www.ema.gov.sg/singapore-energy-statistics/Ch02/index2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</authors>
  <commentList>
    <comment ref="D2" authorId="0" shapeId="0" xr:uid="{B0972C68-6255-4781-AA35-18CF3EEE6A4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E2" authorId="0" shapeId="0" xr:uid="{0D41E7C7-7097-4129-A610-BA8902BBF085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F2" authorId="0" shapeId="0" xr:uid="{3B3F0AD0-E28C-45B9-93A3-E6C23583A258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EF27C3CF-EC91-4C6E-BD88-DE1504F8A15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8D21ED5A-B5D6-4769-BE07-A85C70AAB9CE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I2" authorId="0" shapeId="0" xr:uid="{6DA69737-C6AA-4009-B00C-9D6DBA3A5179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987B324F-20B0-4EEA-BA5D-8702A93A5038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F7E50965-DD68-4DE6-BFD1-30A68C58654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E09B5D37-A89F-4081-8B41-67B36C8239C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D2F3EAF2-CA8A-4003-84B8-E24EDD03F289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E8B138AC-0D73-471C-8069-7D891F1679E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EE448840-DDF1-4407-B773-D6EC3A54F52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C790074F-F18B-4000-807A-813B26D3772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304B5B39-83D0-4789-BF6A-089B43AE62F6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73E7D82A-3739-4A27-B207-955A35EFAFF4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8B46D504-123B-4ED6-A393-C0EA6670EC06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E2271969-A661-4735-B43E-F96FD313EEA9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FEB0A1AC-4903-4E8A-AAEC-E9B40431E0FD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966B7DDA-CD2F-463E-A9A4-8C6E9E05C0C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45F5D843-FAB1-4A4B-86E5-48970904868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A49B4EAD-F60F-402F-8C18-4110EC46853E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6C3739BA-1683-4F42-97EA-B737170AD980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D719ED9A-D0C3-4724-BB65-459C55692B8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7D1CB02E-59F4-4424-B3A7-286BD43E4A3A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D139542E-2A9A-480A-88C9-9FD212E3AC91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A6A8BFE0-827F-4073-83C6-6F2051C1B4CA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A72C60A8-413C-44A2-9F9F-AAE44239A464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9DEED8B5-0275-4447-A6DF-0CC7A95571EC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2100A9BE-9240-4205-B118-783092D81D76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5E3B06C9-4308-4B1B-BD36-5E69E1313ACE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338A1C0F-EBDA-45DF-B237-7F3118516DBD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E84E0ABB-CDEA-4802-9EFA-ED97BB74253C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007FEF69-AAB2-4296-A542-0AEBB5554B4C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14CA67F3-7F92-4BF8-BF37-1D16C4FD3E5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3DA493A7-139A-43E1-9D82-7C79E961275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BD9BFAD1-EFA2-433A-AD3A-991FC9C418E9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A2D125C8-7AAD-4718-B02B-3CBEF5AF38B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09AF1120-2938-4E5B-8177-C6189D429AC5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AC5806D7-44E1-4791-9F0C-14351BFE7601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9D40DFE7-4BDC-4352-9F2F-4732151DC970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6243283A-712A-45CA-B517-900F19344565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6198485D-672B-4031-95A7-7E3843D8A30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A4202EDC-82F7-4F9F-8C4D-F9EEFC27E86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A8B7C342-AC06-4E94-B5D2-41EDD475918B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6F80BD81-B369-4A2B-9CB3-97C0AC4D0D9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98E25B05-7BFE-4578-B605-9D1CDFBCCB2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64D90003-57B5-4697-9169-E5A9137F0BE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C42AEB24-CC0E-40C2-96AA-807563058C3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3CE6A5CD-246D-4EF4-B493-7C155DDAE44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D4F71A0B-A357-4DF0-B463-619FDB3C8934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19CEE77A-D2F2-4AA5-AD73-6208FF51777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E156CB98-DB56-446F-B164-C69837DC8D33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92697653-4A09-4AD7-B686-8E94CA6C50B6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8F8411D4-024B-4B5E-ABF0-B26AD0ABABF9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A060BF12-DEAB-4E09-A287-C9D52171812A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50147ECE-1151-4E60-8ED3-5C46E1BCD089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AA4547BD-6892-4F3A-9C5D-6D0F5126EBBA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B20A1C67-423F-4423-9591-DEC2D60BEFD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F37E4A2B-1380-4CA3-82AD-14FED3EFC50B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F836D17A-4812-4856-A8AF-9A4FD9D9EC1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FBFA9B55-64E6-46EB-BB33-56667A4A4157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BAB81229-904F-4B72-A5D1-407720EDC62A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74BDDBAA-5999-45A2-9089-9B3C5E6C719D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7BC9EA5A-EAF3-4FA3-B8F0-606BC49C2072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8F5ABACA-3B98-433B-A741-5237291AA022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59B0AE18-B05A-4163-BE24-E412B76168FF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A629B6F9-6CBE-4158-83F6-80F86F7C4BD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9F85A0AA-EDB2-4815-990A-7C733CE7BCD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596EADF5-55C1-422E-A2F5-FFB7FA67C111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2B708A08-C86D-4836-920F-F49D3CFA0DE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F7260B86-EA20-4CD2-AB2A-443B019206E1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FC536CE2-4D31-4E1C-9CE5-1A906BEF0684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B5B06432-F6CC-462D-A914-9CBFA3B881C1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71836EE0-3C0C-4FCC-B30E-5979C1F2BA8E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B4D0BCF7-1359-4B24-881E-51608D9D4092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637CEB27-0EFA-4F7F-928E-057B0E483AC2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B3F59CBC-547A-4DA9-86B0-8D865D3DAF7C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FAC09779-7214-4F9D-A951-0A3F33CB588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A4589AEA-82F3-4999-83D9-A64983442AC2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8E89B2AF-E5F9-48EB-91E4-B9BD4BB0F3C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3950897B-BA38-4ACF-B792-16DE9FABF56F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D887E2A1-1C76-4C9A-AB0C-DA48DA80D41C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0166D60F-474E-42A1-AB05-11FB033ACADB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89E91B18-AE80-4466-93EE-10FCAC3D6E83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083B444B-3AF1-4455-B34A-70E816FE0714}">
      <text>
        <r>
          <rPr>
            <b/>
            <sz val="9"/>
            <color rgb="FF000000"/>
            <rFont val="Tahoma"/>
            <family val="2"/>
          </rPr>
          <t>Chang, Chia Chyi @ Singapore: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Inout 0 if not applicable</t>
        </r>
      </text>
    </comment>
    <comment ref="M66" authorId="1" shapeId="0" xr:uid="{F47D1691-CC47-45A3-879A-BF0E4FA1EAA1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5D74134A-5135-46AA-8CCD-D8D462C78948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1D58221D-692C-443B-9625-BDB33B0B74B5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8C0514FC-4AC3-4BFB-9481-61BA1A55E713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7424D1A7-6A7A-4CBC-916E-D6C6569043B9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Chang, Chia Chyi @ Singapore</author>
    <author>Imran, Iffah @ Singapore</author>
  </authors>
  <commentList>
    <comment ref="F2" authorId="0" shapeId="0" xr:uid="{C2E636EE-E9F0-4543-962C-F0F124082A2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G2" authorId="0" shapeId="0" xr:uid="{C50DB82A-B5A7-4C6E-A6E1-AAF4C3BD91B5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H2" authorId="0" shapeId="0" xr:uid="{B220EB91-2088-4D65-A5A9-8AF01464019E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the average 2018-2020 values (GreenGov Guideline)</t>
        </r>
      </text>
    </comment>
    <comment ref="I2" authorId="0" shapeId="0" xr:uid="{FBC2D444-BD26-4F42-8D6F-A4343ED6E3ED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10% 
savings</t>
        </r>
      </text>
    </comment>
    <comment ref="J2" authorId="0" shapeId="0" xr:uid="{EE21CD97-3147-423B-B5F2-7060361DBA79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Baseline is derived from 2022 values (GreenGov Guidelines)</t>
        </r>
      </text>
    </comment>
    <comment ref="K2" authorId="0" shapeId="0" xr:uid="{F8F5398A-5ADC-4305-8087-45EF9C8D30D6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2030 target: 30% 
savings</t>
        </r>
      </text>
    </comment>
    <comment ref="D12" authorId="0" shapeId="0" xr:uid="{47623E69-0265-4771-BE9E-E208212672F8}">
      <text>
        <r>
          <rPr>
            <b/>
            <sz val="9"/>
            <color indexed="81"/>
            <rFont val="Tahoma"/>
            <family val="2"/>
          </rPr>
          <t>Chang, Chia Chyi @ Singapore:</t>
        </r>
        <r>
          <rPr>
            <sz val="9"/>
            <color indexed="81"/>
            <rFont val="Tahoma"/>
            <family val="2"/>
          </rPr>
          <t xml:space="preserve">
Inout 0 if not applicable</t>
        </r>
      </text>
    </comment>
    <comment ref="M66" authorId="1" shapeId="0" xr:uid="{C5010219-3B5B-4B99-A0C0-FCB015ED96BE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EUI uses Total Energy consumption (column D)</t>
        </r>
      </text>
    </comment>
    <comment ref="N66" authorId="1" shapeId="0" xr:uid="{8422E43D-57DA-415E-A674-85395F661B1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EEI uses energy usage without server room (column B)</t>
        </r>
      </text>
    </comment>
    <comment ref="R66" authorId="1" shapeId="0" xr:uid="{822E85F5-0F47-4D4A-9339-59254D174A40}">
      <text>
        <r>
          <rPr>
            <b/>
            <sz val="9"/>
            <color indexed="81"/>
            <rFont val="Tahoma"/>
            <family val="2"/>
          </rPr>
          <t>Imran, Iffah @ Singapore: Electricity Grid Emission Factor from EMA (Sep 2021)</t>
        </r>
      </text>
    </comment>
    <comment ref="S66" authorId="1" shapeId="0" xr:uid="{E24BA067-EE4A-44A2-9A43-B1322F0965F4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Water supply</t>
        </r>
      </text>
    </comment>
    <comment ref="T66" authorId="1" shapeId="0" xr:uid="{494D88EC-8840-4B60-B85F-ED87B8549500}">
      <text>
        <r>
          <rPr>
            <b/>
            <sz val="9"/>
            <color indexed="81"/>
            <rFont val="Tahoma"/>
            <family val="2"/>
          </rPr>
          <t>Imran, Iffah @ Singapore:</t>
        </r>
        <r>
          <rPr>
            <sz val="9"/>
            <color indexed="81"/>
            <rFont val="Tahoma"/>
            <family val="2"/>
          </rPr>
          <t xml:space="preserve">
UK Govt DEFRA GHG Conversion Factors (2022) - Waste disposal</t>
        </r>
      </text>
    </comment>
  </commentList>
</comments>
</file>

<file path=xl/sharedStrings.xml><?xml version="1.0" encoding="utf-8"?>
<sst xmlns="http://schemas.openxmlformats.org/spreadsheetml/2006/main" count="706" uniqueCount="76">
  <si>
    <t>Estate Name</t>
  </si>
  <si>
    <t>E&amp;S Incentives in Contract</t>
  </si>
  <si>
    <t>Contract period</t>
  </si>
  <si>
    <t>Energy Utilisation Index (EUI) = kwh/m2/yr</t>
  </si>
  <si>
    <t>WDI</t>
  </si>
  <si>
    <t>GFA (m2)</t>
  </si>
  <si>
    <t>No of Staffs</t>
  </si>
  <si>
    <t>No of Visitors</t>
  </si>
  <si>
    <t>No of Working days</t>
  </si>
  <si>
    <t>EUI</t>
  </si>
  <si>
    <t>WEI</t>
  </si>
  <si>
    <t>No.</t>
  </si>
  <si>
    <t>Month</t>
  </si>
  <si>
    <t>Sustainability Targets</t>
  </si>
  <si>
    <t>B.EUI</t>
  </si>
  <si>
    <t>2030.EUI</t>
  </si>
  <si>
    <t>B.WEI</t>
  </si>
  <si>
    <t>2030.WEI</t>
  </si>
  <si>
    <t>B.WDI</t>
  </si>
  <si>
    <t>2030.WDI</t>
  </si>
  <si>
    <t>Water Efficiency Index (WEI) = L/pax/day, where L = water usage per mth, pax = staff + 0.25*visitors per mth, day = working days per mth</t>
  </si>
  <si>
    <t>Waste Disposal Index (WDI) = kg/pax/day, where kg = waste per mth, pax = staff + visitors per mth, day = working days per mth</t>
  </si>
  <si>
    <t>NA</t>
  </si>
  <si>
    <t>EEI</t>
  </si>
  <si>
    <t>Total</t>
  </si>
  <si>
    <t>Carbon footprint (waste) 
(kgCO2e per unit)</t>
  </si>
  <si>
    <t>Carbon footprint (water)
(kgCO2e per unit)</t>
  </si>
  <si>
    <t>Carbon footprint (energy)
(kgCO2e per unit)</t>
  </si>
  <si>
    <t>Recycling rate (%)</t>
  </si>
  <si>
    <t>5 days x 52 weeks</t>
  </si>
  <si>
    <t>Energy Efficiency Index, EEI (excludes server room and AC) = [(Total energy consumption - data center consumption)/(NLA - data center area)] * (55/OH). Take OH = 60 hours.</t>
  </si>
  <si>
    <t>(EEI)</t>
  </si>
  <si>
    <t>(NLA-DCA area)</t>
  </si>
  <si>
    <t>DCA area</t>
  </si>
  <si>
    <t>Annual Total</t>
  </si>
  <si>
    <t>Energy usage without server room (TBEC-DCEC) (kwh/mth)</t>
  </si>
  <si>
    <t>Total building energy consumption (TBEC) (kWh/month)</t>
  </si>
  <si>
    <t>Total water consumption (m3/mth)</t>
  </si>
  <si>
    <t>Total waste disposed (kg/mth)</t>
  </si>
  <si>
    <t>Total waste recycled (kg/mth)</t>
  </si>
  <si>
    <t>Total waste (kg/mth)</t>
  </si>
  <si>
    <t>Data center/ server rooms energy consumption (DCEC) (kwh/mth)</t>
  </si>
  <si>
    <t>Energy usage (kwh/mth)</t>
  </si>
  <si>
    <t>Water usage (m2/mth)</t>
  </si>
  <si>
    <t>Waste usage (kg/mth)</t>
  </si>
  <si>
    <t>Remarks</t>
  </si>
  <si>
    <t>50% of 2177</t>
  </si>
  <si>
    <t>visitors include visitors to canteen</t>
  </si>
  <si>
    <t>75% of 2177</t>
  </si>
  <si>
    <t>Client Y</t>
  </si>
  <si>
    <t>Baseline values (2018-2020)</t>
  </si>
  <si>
    <t>Consumption (kWh)</t>
  </si>
  <si>
    <t>Req to calculate EEI</t>
  </si>
  <si>
    <t>Scope 3</t>
  </si>
  <si>
    <t>Total energy consumption 
(kWh/month)</t>
  </si>
  <si>
    <t>Baseline consumption (based on years 2018-2020) (kWh)</t>
  </si>
  <si>
    <t>Office premises</t>
  </si>
  <si>
    <t>Data ICT</t>
  </si>
  <si>
    <t>Total (2018)</t>
  </si>
  <si>
    <t>Total (2019)</t>
  </si>
  <si>
    <t>Total (2020)</t>
  </si>
  <si>
    <t>Total (2021)</t>
  </si>
  <si>
    <t>Total (2022)</t>
  </si>
  <si>
    <t>Total (2023)</t>
  </si>
  <si>
    <t>Sustainability Targets (GreenGov)</t>
  </si>
  <si>
    <t>Property Name</t>
  </si>
  <si>
    <t>Total (2024)</t>
  </si>
  <si>
    <t>SGX Centre 1</t>
  </si>
  <si>
    <r>
      <t xml:space="preserve">Total building energy consumption </t>
    </r>
    <r>
      <rPr>
        <b/>
        <i/>
        <u/>
        <sz val="11"/>
        <color theme="1"/>
        <rFont val="Calibri"/>
        <family val="2"/>
        <scheme val="minor"/>
      </rPr>
      <t>excluding tenants</t>
    </r>
    <r>
      <rPr>
        <b/>
        <sz val="11"/>
        <color theme="1"/>
        <rFont val="Calibri"/>
        <family val="2"/>
        <scheme val="minor"/>
      </rPr>
      <t xml:space="preserve"> (TBEC) (kWh/month)</t>
    </r>
  </si>
  <si>
    <t>SGX Centre 2</t>
  </si>
  <si>
    <t>Tampines Plaza 1</t>
  </si>
  <si>
    <t>Tampines Plaza 2</t>
  </si>
  <si>
    <t>Stamford Court</t>
  </si>
  <si>
    <t>SingaporeLand Tower</t>
  </si>
  <si>
    <t>UIC Buildng</t>
  </si>
  <si>
    <t>The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</si>
</sst>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"/>
    <numFmt numFmtId="167" formatCode="#,##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u/>
      <sz val="11"/>
      <color theme="1"/>
      <name val="Calibri"/>
      <family val="2"/>
      <scheme val="minor"/>
    </font>
    <font>
      <sz val="10"/>
      <color rgb="FF6A8759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7" fontId="0" fillId="0" borderId="28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" fontId="0" fillId="4" borderId="27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165" fontId="0" fillId="4" borderId="17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7" fontId="0" fillId="0" borderId="32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vertical="center"/>
    </xf>
    <xf numFmtId="0" fontId="0" fillId="4" borderId="31" xfId="0" applyFill="1" applyBorder="1" applyAlignment="1">
      <alignment vertical="center"/>
    </xf>
    <xf numFmtId="166" fontId="1" fillId="9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0" fillId="0" borderId="0" xfId="0" applyNumberFormat="1" applyAlignment="1">
      <alignment vertical="center"/>
    </xf>
    <xf numFmtId="166" fontId="1" fillId="5" borderId="11" xfId="0" applyNumberFormat="1" applyFont="1" applyFill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4" borderId="27" xfId="0" applyNumberFormat="1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4" borderId="27" xfId="0" applyNumberFormat="1" applyFill="1" applyBorder="1" applyAlignment="1">
      <alignment vertical="center"/>
    </xf>
    <xf numFmtId="166" fontId="2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166" fontId="1" fillId="6" borderId="11" xfId="0" applyNumberFormat="1" applyFont="1" applyFill="1" applyBorder="1" applyAlignment="1">
      <alignment horizontal="center" vertical="center" wrapText="1"/>
    </xf>
    <xf numFmtId="166" fontId="1" fillId="10" borderId="11" xfId="0" applyNumberFormat="1" applyFont="1" applyFill="1" applyBorder="1" applyAlignment="1">
      <alignment horizontal="center" vertical="center" wrapText="1"/>
    </xf>
    <xf numFmtId="167" fontId="0" fillId="4" borderId="27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4" fontId="0" fillId="4" borderId="2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0" xfId="0" applyNumberFormat="1" applyAlignment="1">
      <alignment horizontal="center" vertical="center"/>
    </xf>
    <xf numFmtId="0" fontId="10" fillId="0" borderId="0" xfId="0" applyFont="1"/>
    <xf numFmtId="0" fontId="1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Consumption</a:t>
            </a:r>
            <a:r>
              <a:rPr lang="en-US" baseline="0"/>
              <a:t> from 2018 to 2022 (to date)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259441252967402E-2"/>
          <c:y val="0.10870735292056731"/>
          <c:w val="0.89772911092874097"/>
          <c:h val="0.495358002480520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'Sample 1_Electrical analysis'!$D$7</c:f>
              <c:strCache>
                <c:ptCount val="1"/>
                <c:pt idx="0">
                  <c:v>Total energy consumption 
(kWh/month)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'Sample 1_Electrical analysis'!$A$8:$A$43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</c:numCache>
            </c:numRef>
          </c:cat>
          <c:val>
            <c:numRef>
              <c:f>'Sample 1_Electrical analysis'!$D$8:$D$67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307262</c:v>
                </c:pt>
                <c:pt idx="25">
                  <c:v>267960</c:v>
                </c:pt>
                <c:pt idx="26">
                  <c:v>301453</c:v>
                </c:pt>
                <c:pt idx="27">
                  <c:v>289012</c:v>
                </c:pt>
                <c:pt idx="28">
                  <c:v>182492</c:v>
                </c:pt>
                <c:pt idx="29">
                  <c:v>261071</c:v>
                </c:pt>
                <c:pt idx="30">
                  <c:v>250290</c:v>
                </c:pt>
                <c:pt idx="31">
                  <c:v>270590</c:v>
                </c:pt>
                <c:pt idx="32">
                  <c:v>262072</c:v>
                </c:pt>
                <c:pt idx="33">
                  <c:v>269375</c:v>
                </c:pt>
                <c:pt idx="34">
                  <c:v>272213</c:v>
                </c:pt>
                <c:pt idx="35">
                  <c:v>260250</c:v>
                </c:pt>
                <c:pt idx="36">
                  <c:v>329209</c:v>
                </c:pt>
                <c:pt idx="37">
                  <c:v>256242</c:v>
                </c:pt>
                <c:pt idx="38">
                  <c:v>281046</c:v>
                </c:pt>
                <c:pt idx="39">
                  <c:v>311247</c:v>
                </c:pt>
                <c:pt idx="40">
                  <c:v>305113</c:v>
                </c:pt>
                <c:pt idx="41">
                  <c:v>271440</c:v>
                </c:pt>
                <c:pt idx="42">
                  <c:v>324937</c:v>
                </c:pt>
                <c:pt idx="43">
                  <c:v>291858</c:v>
                </c:pt>
                <c:pt idx="44">
                  <c:v>299919</c:v>
                </c:pt>
                <c:pt idx="45">
                  <c:v>293881</c:v>
                </c:pt>
                <c:pt idx="46">
                  <c:v>283317</c:v>
                </c:pt>
                <c:pt idx="47">
                  <c:v>290275</c:v>
                </c:pt>
                <c:pt idx="48">
                  <c:v>357313</c:v>
                </c:pt>
                <c:pt idx="49">
                  <c:v>289694</c:v>
                </c:pt>
                <c:pt idx="50">
                  <c:v>287159</c:v>
                </c:pt>
                <c:pt idx="51">
                  <c:v>302303</c:v>
                </c:pt>
                <c:pt idx="52">
                  <c:v>304803</c:v>
                </c:pt>
                <c:pt idx="53">
                  <c:v>285659</c:v>
                </c:pt>
                <c:pt idx="54">
                  <c:v>303348</c:v>
                </c:pt>
                <c:pt idx="55">
                  <c:v>314869</c:v>
                </c:pt>
                <c:pt idx="56">
                  <c:v>271748</c:v>
                </c:pt>
                <c:pt idx="57">
                  <c:v>319222</c:v>
                </c:pt>
                <c:pt idx="58">
                  <c:v>289201</c:v>
                </c:pt>
                <c:pt idx="59">
                  <c:v>263923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8-4F4F-8C4D-FB45D355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64576"/>
        <c:axId val="1174666256"/>
      </c:barChart>
      <c:lineChart>
        <c:grouping val="standard"/>
        <c:varyColors val="0"/>
        <c:ser>
          <c:idx val="0"/>
          <c:order val="0"/>
          <c:tx>
            <c:strRef>
              <c:f>'Sample 1_Electrical analysis'!$B$7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'Sample 1_Electrical analysis'!$A$8:$A$67</c:f>
              <c:numCache>
                <c:formatCode>mmm\-yy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'Sample 1_Electrical analysis'!$B$8:$B$67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8-4F4F-8C4D-FB45D35528CC}"/>
            </c:ext>
          </c:extLst>
        </c:ser>
        <c:ser>
          <c:idx val="1"/>
          <c:order val="1"/>
          <c:tx>
            <c:strRef>
              <c:f>'Sample 1_Electrical analysis'!$C$7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'Sample 1_Electrical analysis'!$A$8:$A$67</c:f>
              <c:numCache>
                <c:formatCode>mmm\-yy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'Sample 1_Electrical analysis'!$C$8:$C$67</c:f>
              <c:numCache>
                <c:formatCode>General</c:formatCode>
                <c:ptCount val="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8-4F4F-8C4D-FB45D35528CC}"/>
            </c:ext>
          </c:extLst>
        </c:ser>
        <c:ser>
          <c:idx val="3"/>
          <c:order val="3"/>
          <c:tx>
            <c:strRef>
              <c:f>'Sample 1_Electrical analysis'!$H$7</c:f>
              <c:strCache>
                <c:ptCount val="1"/>
                <c:pt idx="0">
                  <c:v>Baseline consumption (based on years 2018-2020) (kWh)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'Sample 1_Electrical analysis'!$A$8:$A$67</c:f>
              <c:numCache>
                <c:formatCode>mmm\-yy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</c:numCache>
            </c:numRef>
          </c:cat>
          <c:val>
            <c:numRef>
              <c:f>'Sample 1_Electrical analysis'!$H$8:$H$67</c:f>
              <c:numCache>
                <c:formatCode>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8-4F4F-8C4D-FB45D355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664576"/>
        <c:axId val="1174666256"/>
      </c:lineChart>
      <c:dateAx>
        <c:axId val="1174664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6256"/>
        <c:crosses val="autoZero"/>
        <c:auto val="1"/>
        <c:lblOffset val="100"/>
        <c:baseTimeUnit val="months"/>
      </c:dateAx>
      <c:valAx>
        <c:axId val="11746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Consumption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32404092058094"/>
          <c:y val="0.71625585720328966"/>
          <c:w val="0.71686295981350334"/>
          <c:h val="0.26747220584470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5B-48B7-861A-D6C7094CE0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5B-48B7-861A-D6C7094CE0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1_Electrical analysis'!$B$70:$C$70</c:f>
              <c:strCache>
                <c:ptCount val="2"/>
                <c:pt idx="0">
                  <c:v>Office premises</c:v>
                </c:pt>
                <c:pt idx="1">
                  <c:v>Data ICT</c:v>
                </c:pt>
              </c:strCache>
            </c:strRef>
          </c:cat>
          <c:val>
            <c:numRef>
              <c:f>'Sample 1_Electrical analysis'!$B$69:$C$69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5B-48B7-861A-D6C7094CE0B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35B-48B7-861A-D6C7094CE0B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'Sample 1_Electrical analysis'!$B$70:$C$70</c:f>
              <c:strCache>
                <c:ptCount val="2"/>
                <c:pt idx="0">
                  <c:v>Office premises</c:v>
                </c:pt>
                <c:pt idx="1">
                  <c:v>Data ICT</c:v>
                </c:pt>
              </c:strCache>
            </c:strRef>
          </c:cat>
          <c:val>
            <c:numRef>
              <c:f>'Sample 1_Electrical analysis'!$B$69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5B-48B7-861A-D6C7094CE0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180297</xdr:colOff>
      <xdr:row>6</xdr:row>
      <xdr:rowOff>498690</xdr:rowOff>
    </xdr:from>
    <xdr:to>
      <xdr:col>23</xdr:col>
      <xdr:colOff>77962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77CD0-A042-4E76-B704-29618B9A3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1035050</xdr:colOff>
      <xdr:row>31</xdr:row>
      <xdr:rowOff>0</xdr:rowOff>
    </xdr:from>
    <xdr:to>
      <xdr:col>16</xdr:col>
      <xdr:colOff>123825</xdr:colOff>
      <xdr:row>45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C4AB1D-F52A-44B7-B6D4-6386E501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261B-3FFE-48F0-8457-E20D3BC45C04}">
  <dimension ref="A1:T105"/>
  <sheetViews>
    <sheetView topLeftCell="A12" zoomScaleNormal="100" workbookViewId="0">
      <selection activeCell="F21" sqref="F21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" style="119" customWidth="1"/>
    <col min="6" max="6" width="25.46484375" style="121" customWidth="1"/>
    <col min="7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2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2"/>
      <c r="F2" s="117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67</v>
      </c>
      <c r="D3" s="14"/>
      <c r="E3" s="118">
        <v>25083.820800000001</v>
      </c>
      <c r="F3" s="118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18"/>
      <c r="F4" s="118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18"/>
      <c r="F5" s="118"/>
      <c r="G5" s="14"/>
      <c r="H5" s="52"/>
      <c r="I5" s="52"/>
      <c r="J5" s="14"/>
      <c r="K5" s="14"/>
      <c r="L5" s="14"/>
      <c r="M5" s="14"/>
    </row>
    <row r="6" spans="2:14">
      <c r="C6" s="2"/>
      <c r="F6" s="119"/>
      <c r="G6" s="2"/>
    </row>
    <row r="7" spans="2:14">
      <c r="B7" s="43" t="s">
        <v>3</v>
      </c>
      <c r="C7" s="43"/>
      <c r="D7" s="43"/>
      <c r="E7" s="120"/>
      <c r="F7" s="120"/>
      <c r="G7" s="42"/>
      <c r="H7" s="42"/>
      <c r="I7" s="42"/>
    </row>
    <row r="8" spans="2:14">
      <c r="B8" s="43" t="s">
        <v>30</v>
      </c>
      <c r="C8" s="43"/>
      <c r="D8" s="43"/>
      <c r="E8" s="129"/>
      <c r="F8" s="120"/>
      <c r="G8" s="42"/>
      <c r="H8" s="42"/>
      <c r="I8" s="42"/>
    </row>
    <row r="9" spans="2:14">
      <c r="B9" s="43" t="s">
        <v>20</v>
      </c>
      <c r="C9" s="43"/>
      <c r="D9" s="43"/>
      <c r="E9" s="130"/>
      <c r="F9" s="120"/>
      <c r="G9" s="42"/>
      <c r="H9" s="42"/>
      <c r="I9" s="42"/>
    </row>
    <row r="10" spans="2:14">
      <c r="B10" s="43" t="s">
        <v>21</v>
      </c>
      <c r="C10" s="43"/>
      <c r="D10" s="43"/>
      <c r="E10" s="130"/>
      <c r="F10" s="120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98.25" customHeight="1">
      <c r="B12" s="21" t="s">
        <v>12</v>
      </c>
      <c r="C12" s="23" t="s">
        <v>35</v>
      </c>
      <c r="D12" s="23" t="s">
        <v>41</v>
      </c>
      <c r="E12" s="148" t="s">
        <v>36</v>
      </c>
      <c r="F12" s="122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18">
        <f ca="1">RANDBETWEEN(65000000,75000000)/100</f>
        <v>679431.21</v>
      </c>
      <c r="F13" s="118">
        <f ca="1">RANDBETWEEN(250000,420000)/100</f>
        <v>4046.32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27.086432143543295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118">
        <f t="shared" ref="E14:E24" ca="1" si="3">RANDBETWEEN(65000000,75000000)/100</f>
        <v>704826.52</v>
      </c>
      <c r="F14" s="118">
        <f t="shared" ref="F14:F24" ca="1" si="4">RANDBETWEEN(250000,420000)/100</f>
        <v>2860.07</v>
      </c>
      <c r="G14" s="14"/>
      <c r="H14" s="14"/>
      <c r="I14" s="14"/>
      <c r="J14" s="16">
        <f t="shared" si="0"/>
        <v>21.666666666666668</v>
      </c>
      <c r="K14" s="15">
        <f t="shared" ca="1" si="1"/>
        <v>28.098850076300973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118">
        <f t="shared" ca="1" si="3"/>
        <v>741746.04</v>
      </c>
      <c r="F15" s="118">
        <f t="shared" ca="1" si="4"/>
        <v>2508.02</v>
      </c>
      <c r="G15" s="14"/>
      <c r="H15" s="14"/>
      <c r="I15" s="14"/>
      <c r="J15" s="16">
        <f t="shared" si="0"/>
        <v>21.666666666666668</v>
      </c>
      <c r="K15" s="15">
        <f t="shared" ca="1" si="1"/>
        <v>29.570696024108098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118">
        <f t="shared" ca="1" si="3"/>
        <v>660587.34</v>
      </c>
      <c r="F16" s="118">
        <f t="shared" ca="1" si="4"/>
        <v>4128.8599999999997</v>
      </c>
      <c r="G16" s="14"/>
      <c r="H16" s="14"/>
      <c r="I16" s="14"/>
      <c r="J16" s="16">
        <f t="shared" si="0"/>
        <v>21.666666666666668</v>
      </c>
      <c r="K16" s="15">
        <f t="shared" ca="1" si="1"/>
        <v>26.335196111750246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118">
        <f t="shared" ca="1" si="3"/>
        <v>655369.75</v>
      </c>
      <c r="F17" s="118">
        <f t="shared" ca="1" si="4"/>
        <v>3310.68</v>
      </c>
      <c r="G17" s="14"/>
      <c r="H17" s="14"/>
      <c r="I17" s="14"/>
      <c r="J17" s="16">
        <f t="shared" si="0"/>
        <v>21.666666666666668</v>
      </c>
      <c r="K17" s="15">
        <f t="shared" ca="1" si="1"/>
        <v>26.127189921560912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118">
        <f t="shared" ca="1" si="3"/>
        <v>696392.1</v>
      </c>
      <c r="F18" s="118">
        <f t="shared" ca="1" si="4"/>
        <v>3618.55</v>
      </c>
      <c r="G18" s="14"/>
      <c r="H18" s="14"/>
      <c r="I18" s="14"/>
      <c r="J18" s="16">
        <f t="shared" si="0"/>
        <v>21.666666666666668</v>
      </c>
      <c r="K18" s="15">
        <f t="shared" ca="1" si="1"/>
        <v>27.762600664090215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118">
        <f t="shared" ca="1" si="3"/>
        <v>690216.11</v>
      </c>
      <c r="F19" s="118">
        <f t="shared" ca="1" si="4"/>
        <v>2625.54</v>
      </c>
      <c r="G19" s="14"/>
      <c r="H19" s="14"/>
      <c r="I19" s="14"/>
      <c r="J19" s="16">
        <f t="shared" si="0"/>
        <v>21.666666666666668</v>
      </c>
      <c r="K19" s="15">
        <f t="shared" ca="1" si="1"/>
        <v>27.516386578555046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118">
        <f t="shared" ca="1" si="3"/>
        <v>710065.11</v>
      </c>
      <c r="F20" s="118">
        <f t="shared" ca="1" si="4"/>
        <v>3844.8</v>
      </c>
      <c r="G20" s="14"/>
      <c r="H20" s="14"/>
      <c r="I20" s="14"/>
      <c r="J20" s="16">
        <f t="shared" si="0"/>
        <v>21.666666666666668</v>
      </c>
      <c r="K20" s="15">
        <f t="shared" ca="1" si="1"/>
        <v>28.307693459522721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118">
        <f t="shared" ca="1" si="3"/>
        <v>719489.06</v>
      </c>
      <c r="F21" s="118">
        <f t="shared" ca="1" si="4"/>
        <v>3487.02</v>
      </c>
      <c r="G21" s="14"/>
      <c r="H21" s="14"/>
      <c r="I21" s="14"/>
      <c r="J21" s="16">
        <f t="shared" si="0"/>
        <v>21.666666666666668</v>
      </c>
      <c r="K21" s="15">
        <f t="shared" ca="1" si="1"/>
        <v>28.683391806084025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118">
        <f t="shared" ca="1" si="3"/>
        <v>741567.44</v>
      </c>
      <c r="F22" s="118">
        <f t="shared" ca="1" si="4"/>
        <v>2635.02</v>
      </c>
      <c r="G22" s="14"/>
      <c r="H22" s="14"/>
      <c r="I22" s="14"/>
      <c r="J22" s="16">
        <f t="shared" si="0"/>
        <v>21.666666666666668</v>
      </c>
      <c r="K22" s="15">
        <f t="shared" ca="1" si="1"/>
        <v>29.563575896699113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118">
        <f t="shared" ca="1" si="3"/>
        <v>718889.37</v>
      </c>
      <c r="F23" s="118">
        <f t="shared" ca="1" si="4"/>
        <v>4115.79</v>
      </c>
      <c r="G23" s="14"/>
      <c r="H23" s="14"/>
      <c r="I23" s="14"/>
      <c r="J23" s="16">
        <f t="shared" si="0"/>
        <v>21.666666666666668</v>
      </c>
      <c r="K23" s="15">
        <f t="shared" ca="1" si="1"/>
        <v>28.659484363721813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18">
        <f t="shared" ca="1" si="3"/>
        <v>742230.48</v>
      </c>
      <c r="F24" s="118">
        <f t="shared" ca="1" si="4"/>
        <v>3791.37</v>
      </c>
      <c r="G24" s="9"/>
      <c r="H24" s="9"/>
      <c r="I24" s="9"/>
      <c r="J24" s="25">
        <f t="shared" si="0"/>
        <v>21.666666666666668</v>
      </c>
      <c r="K24" s="10">
        <f t="shared" ca="1" si="1"/>
        <v>29.590008871375765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24">
        <f ca="1">SUM(E13:E24)</f>
        <v>8460810.5299999993</v>
      </c>
      <c r="F25" s="124">
        <f ca="1">SUM(F13:F24)</f>
        <v>40972.04</v>
      </c>
      <c r="G25" s="93"/>
      <c r="H25" s="93"/>
      <c r="I25" s="93"/>
      <c r="J25" s="93"/>
      <c r="K25" s="93">
        <f ca="1">E25/E3</f>
        <v>337.30150591731223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18">
        <f ca="1">RANDBETWEEN(65000000,85000000)/100</f>
        <v>780921.59</v>
      </c>
      <c r="F26" s="118">
        <f ca="1">RANDBETWEEN(320000,650000)/100</f>
        <v>4491.8900000000003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31.132481619387104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18">
        <f t="shared" ref="E27:E37" ca="1" si="10">RANDBETWEEN(65000000,85000000)/100</f>
        <v>796230.88</v>
      </c>
      <c r="F27" s="118">
        <f t="shared" ref="F27:F37" ca="1" si="11">RANDBETWEEN(320000,650000)/100</f>
        <v>5272.76</v>
      </c>
      <c r="G27" s="14"/>
      <c r="H27" s="14"/>
      <c r="I27" s="14"/>
      <c r="J27" s="16">
        <f t="shared" si="6"/>
        <v>21.666666666666668</v>
      </c>
      <c r="K27" s="15">
        <f t="shared" ca="1" si="7"/>
        <v>31.742806901251662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18">
        <f t="shared" ca="1" si="10"/>
        <v>655827.03</v>
      </c>
      <c r="F28" s="118">
        <f t="shared" ca="1" si="11"/>
        <v>4879.95</v>
      </c>
      <c r="G28" s="14"/>
      <c r="H28" s="14"/>
      <c r="I28" s="14"/>
      <c r="J28" s="16">
        <f t="shared" si="6"/>
        <v>21.666666666666668</v>
      </c>
      <c r="K28" s="15">
        <f t="shared" ca="1" si="7"/>
        <v>26.145419999173331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18">
        <f t="shared" ca="1" si="10"/>
        <v>673469.21</v>
      </c>
      <c r="F29" s="118">
        <f t="shared" ca="1" si="11"/>
        <v>5746.49</v>
      </c>
      <c r="G29" s="14"/>
      <c r="H29" s="14"/>
      <c r="I29" s="14"/>
      <c r="J29" s="16">
        <f t="shared" si="6"/>
        <v>21.666666666666668</v>
      </c>
      <c r="K29" s="15">
        <f t="shared" ca="1" si="7"/>
        <v>26.848749055008394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18">
        <f t="shared" ca="1" si="10"/>
        <v>739273.1</v>
      </c>
      <c r="F30" s="118">
        <f t="shared" ca="1" si="11"/>
        <v>5250.92</v>
      </c>
      <c r="G30" s="14"/>
      <c r="H30" s="14"/>
      <c r="I30" s="14"/>
      <c r="J30" s="16">
        <f t="shared" si="6"/>
        <v>21.666666666666668</v>
      </c>
      <c r="K30" s="15">
        <f t="shared" ca="1" si="7"/>
        <v>29.472108969938102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18">
        <f t="shared" ca="1" si="10"/>
        <v>777971.86</v>
      </c>
      <c r="F31" s="118">
        <f t="shared" ca="1" si="11"/>
        <v>5412.46</v>
      </c>
      <c r="G31" s="14"/>
      <c r="H31" s="14"/>
      <c r="I31" s="14"/>
      <c r="J31" s="16">
        <f t="shared" si="6"/>
        <v>21.666666666666668</v>
      </c>
      <c r="K31" s="15">
        <f t="shared" ca="1" si="7"/>
        <v>31.014886695411249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18">
        <f t="shared" ca="1" si="10"/>
        <v>679338.95</v>
      </c>
      <c r="F32" s="118">
        <f t="shared" ca="1" si="11"/>
        <v>3576.58</v>
      </c>
      <c r="G32" s="14"/>
      <c r="H32" s="14"/>
      <c r="I32" s="14"/>
      <c r="J32" s="16">
        <f t="shared" si="6"/>
        <v>21.666666666666668</v>
      </c>
      <c r="K32" s="15">
        <f t="shared" ca="1" si="7"/>
        <v>27.082754075487571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18">
        <f t="shared" ca="1" si="10"/>
        <v>814263.6</v>
      </c>
      <c r="F33" s="118">
        <f t="shared" ca="1" si="11"/>
        <v>6139.13</v>
      </c>
      <c r="G33" s="14"/>
      <c r="H33" s="14"/>
      <c r="I33" s="14"/>
      <c r="J33" s="16">
        <f t="shared" si="6"/>
        <v>21.666666666666668</v>
      </c>
      <c r="K33" s="15">
        <f t="shared" ca="1" si="7"/>
        <v>32.461705355509473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18">
        <f t="shared" ca="1" si="10"/>
        <v>767147.14</v>
      </c>
      <c r="F34" s="118">
        <f t="shared" ca="1" si="11"/>
        <v>5443.21</v>
      </c>
      <c r="G34" s="14"/>
      <c r="H34" s="14"/>
      <c r="I34" s="14"/>
      <c r="J34" s="16">
        <f t="shared" si="6"/>
        <v>21.666666666666668</v>
      </c>
      <c r="K34" s="15">
        <f t="shared" ca="1" si="7"/>
        <v>30.58334478294471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18">
        <f t="shared" ca="1" si="10"/>
        <v>755917.21</v>
      </c>
      <c r="F35" s="118">
        <f t="shared" ca="1" si="11"/>
        <v>6406.35</v>
      </c>
      <c r="G35" s="14"/>
      <c r="H35" s="14"/>
      <c r="I35" s="14"/>
      <c r="J35" s="16">
        <f t="shared" si="6"/>
        <v>21.666666666666668</v>
      </c>
      <c r="K35" s="15">
        <f t="shared" ca="1" si="7"/>
        <v>30.135648632922777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18">
        <f t="shared" ca="1" si="10"/>
        <v>664748.48</v>
      </c>
      <c r="F36" s="118">
        <f t="shared" ca="1" si="11"/>
        <v>6057.62</v>
      </c>
      <c r="G36" s="14"/>
      <c r="H36" s="14"/>
      <c r="I36" s="14"/>
      <c r="J36" s="16">
        <f t="shared" si="6"/>
        <v>21.666666666666668</v>
      </c>
      <c r="K36" s="15">
        <f t="shared" ca="1" si="7"/>
        <v>26.501085512459088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18">
        <f t="shared" ca="1" si="10"/>
        <v>722899.56</v>
      </c>
      <c r="F37" s="118">
        <f t="shared" ca="1" si="11"/>
        <v>4422.03</v>
      </c>
      <c r="G37" s="9"/>
      <c r="H37" s="9"/>
      <c r="I37" s="9"/>
      <c r="J37" s="25">
        <f t="shared" si="6"/>
        <v>21.666666666666668</v>
      </c>
      <c r="K37" s="10">
        <f t="shared" ca="1" si="7"/>
        <v>28.819355941181019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24">
        <f ca="1">SUM(E26:E37)</f>
        <v>8828008.6099999994</v>
      </c>
      <c r="F38" s="124">
        <f ca="1">SUM(F26:F37)</f>
        <v>63099.39</v>
      </c>
      <c r="G38" s="93"/>
      <c r="H38" s="93"/>
      <c r="I38" s="93"/>
      <c r="J38" s="93"/>
      <c r="K38" s="96">
        <f ca="1">SUM(K26:K37)</f>
        <v>351.94034754067451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18">
        <f ca="1">RANDBETWEEN(60000000,75000000)/100</f>
        <v>624503.31999999995</v>
      </c>
      <c r="F39" s="118">
        <f ca="1">RANDBETWEEN(230000,520000)/100</f>
        <v>4723.93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24.896658486732608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18">
        <f t="shared" ref="E40:E50" ca="1" si="14">RANDBETWEEN(60000000,75000000)/100</f>
        <v>637795.17000000004</v>
      </c>
      <c r="F40" s="118">
        <f t="shared" ref="F40:F50" ca="1" si="15">RANDBETWEEN(230000,520000)/100</f>
        <v>5065.0200000000004</v>
      </c>
      <c r="G40" s="14"/>
      <c r="H40" s="14"/>
      <c r="I40" s="14"/>
      <c r="J40" s="16">
        <f>$L$11</f>
        <v>21.666666666666668</v>
      </c>
      <c r="K40" s="15">
        <f t="shared" ca="1" si="12"/>
        <v>25.426555829963512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18">
        <f t="shared" ca="1" si="14"/>
        <v>692770.1</v>
      </c>
      <c r="F41" s="118">
        <f t="shared" ca="1" si="15"/>
        <v>2702.26</v>
      </c>
      <c r="G41" s="14"/>
      <c r="H41" s="14"/>
      <c r="I41" s="14"/>
      <c r="J41" s="16">
        <f>$L$11</f>
        <v>21.666666666666668</v>
      </c>
      <c r="K41" s="15">
        <f t="shared" ca="1" si="12"/>
        <v>27.618204799166797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18">
        <f t="shared" ca="1" si="14"/>
        <v>626179.35</v>
      </c>
      <c r="F42" s="118">
        <f t="shared" ca="1" si="15"/>
        <v>4998.0600000000004</v>
      </c>
      <c r="G42" s="14"/>
      <c r="H42" s="14"/>
      <c r="I42" s="14"/>
      <c r="J42" s="28">
        <v>20</v>
      </c>
      <c r="K42" s="15">
        <f t="shared" ca="1" si="12"/>
        <v>24.963475659976009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18">
        <f t="shared" ca="1" si="14"/>
        <v>646257.63</v>
      </c>
      <c r="F43" s="118">
        <f t="shared" ca="1" si="15"/>
        <v>4770.76</v>
      </c>
      <c r="G43" s="14"/>
      <c r="H43" s="14"/>
      <c r="I43" s="14"/>
      <c r="J43" s="28">
        <v>18</v>
      </c>
      <c r="K43" s="15">
        <f t="shared" ca="1" si="12"/>
        <v>25.763923094204213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18">
        <f t="shared" ca="1" si="14"/>
        <v>600380.62</v>
      </c>
      <c r="F44" s="118">
        <f t="shared" ca="1" si="15"/>
        <v>3747.31</v>
      </c>
      <c r="G44" s="14"/>
      <c r="H44" s="18"/>
      <c r="I44" s="14"/>
      <c r="J44" s="28">
        <v>22</v>
      </c>
      <c r="K44" s="15">
        <f t="shared" ca="1" si="12"/>
        <v>23.934974850402373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18">
        <f t="shared" ca="1" si="14"/>
        <v>720437.57</v>
      </c>
      <c r="F45" s="118">
        <f t="shared" ca="1" si="15"/>
        <v>3990.79</v>
      </c>
      <c r="G45" s="14"/>
      <c r="H45" s="18"/>
      <c r="I45" s="14"/>
      <c r="J45" s="28">
        <v>21</v>
      </c>
      <c r="K45" s="15">
        <f t="shared" ca="1" si="12"/>
        <v>28.721205423377921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18">
        <f t="shared" ca="1" si="14"/>
        <v>699585.28</v>
      </c>
      <c r="F46" s="118">
        <f t="shared" ca="1" si="15"/>
        <v>4503.92</v>
      </c>
      <c r="G46" s="14"/>
      <c r="H46" s="18"/>
      <c r="I46" s="14"/>
      <c r="J46" s="28">
        <v>20</v>
      </c>
      <c r="K46" s="15">
        <f t="shared" ca="1" si="12"/>
        <v>27.889901047291808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18">
        <f t="shared" ca="1" si="14"/>
        <v>675472.78</v>
      </c>
      <c r="F47" s="118">
        <f t="shared" ca="1" si="15"/>
        <v>3524.81</v>
      </c>
      <c r="G47" s="14"/>
      <c r="H47" s="18"/>
      <c r="I47" s="14"/>
      <c r="J47" s="28">
        <v>22</v>
      </c>
      <c r="K47" s="15">
        <f t="shared" ca="1" si="12"/>
        <v>26.928624047577312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18">
        <f t="shared" ca="1" si="14"/>
        <v>655534.09</v>
      </c>
      <c r="F48" s="118">
        <f t="shared" ca="1" si="15"/>
        <v>4628.84</v>
      </c>
      <c r="G48" s="14"/>
      <c r="H48" s="18"/>
      <c r="I48" s="14"/>
      <c r="J48" s="28">
        <v>22</v>
      </c>
      <c r="K48" s="15">
        <f t="shared" ca="1" si="12"/>
        <v>26.133741555034547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18">
        <f t="shared" ca="1" si="14"/>
        <v>616731.63</v>
      </c>
      <c r="F49" s="118">
        <f t="shared" ca="1" si="15"/>
        <v>2392.11</v>
      </c>
      <c r="G49" s="14"/>
      <c r="H49" s="18"/>
      <c r="I49" s="14"/>
      <c r="J49" s="28">
        <v>21</v>
      </c>
      <c r="K49" s="15">
        <f t="shared" ca="1" si="12"/>
        <v>24.586829690634687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18">
        <f t="shared" ca="1" si="14"/>
        <v>661347.48</v>
      </c>
      <c r="F50" s="118">
        <f t="shared" ca="1" si="15"/>
        <v>4525.0200000000004</v>
      </c>
      <c r="G50" s="9"/>
      <c r="H50" s="27"/>
      <c r="I50" s="9"/>
      <c r="J50" s="26">
        <v>22</v>
      </c>
      <c r="K50" s="10">
        <f t="shared" ca="1" si="12"/>
        <v>26.365500107543422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26">
        <f ca="1">SUM(E39:E50)</f>
        <v>7856995.0199999996</v>
      </c>
      <c r="F51" s="126">
        <f ca="1">SUM(F39:F50)</f>
        <v>49572.83</v>
      </c>
      <c r="G51" s="98">
        <f t="shared" ref="G51" si="17">SUM(G39:G50)</f>
        <v>0</v>
      </c>
      <c r="H51" s="98"/>
      <c r="I51" s="99"/>
      <c r="J51" s="99"/>
      <c r="K51" s="99">
        <f ca="1">SUM(K39:K50)</f>
        <v>313.2295945919052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18">
        <f ca="1">RANDBETWEEN(38000000,62000000)/100</f>
        <v>400840.86</v>
      </c>
      <c r="F52" s="118">
        <f ca="1">RANDBETWEEN(190000,290000)/100</f>
        <v>2143.16</v>
      </c>
      <c r="G52" s="14"/>
      <c r="H52" s="18"/>
      <c r="I52" s="14"/>
      <c r="J52" s="28"/>
      <c r="K52" s="15">
        <f t="shared" ref="K52:K63" ca="1" si="18">E52/$E$3</f>
        <v>15.980055957025494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18">
        <f t="shared" ref="E53:E63" ca="1" si="20">RANDBETWEEN(38000000,62000000)/100</f>
        <v>580186.47</v>
      </c>
      <c r="F53" s="118">
        <f t="shared" ref="F53:F63" ca="1" si="21">RANDBETWEEN(190000,290000)/100</f>
        <v>2478.42</v>
      </c>
      <c r="G53" s="14"/>
      <c r="H53" s="18"/>
      <c r="I53" s="14"/>
      <c r="J53" s="28"/>
      <c r="K53" s="15">
        <f t="shared" ca="1" si="18"/>
        <v>23.129908103952008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18">
        <f t="shared" ca="1" si="20"/>
        <v>531349.91</v>
      </c>
      <c r="F54" s="118">
        <f t="shared" ca="1" si="21"/>
        <v>2779.94</v>
      </c>
      <c r="G54" s="14"/>
      <c r="H54" s="18"/>
      <c r="I54" s="14"/>
      <c r="J54" s="28"/>
      <c r="K54" s="15">
        <f t="shared" ca="1" si="18"/>
        <v>21.182973448765829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18">
        <f t="shared" ca="1" si="20"/>
        <v>577503.28</v>
      </c>
      <c r="F55" s="118">
        <f t="shared" ca="1" si="21"/>
        <v>2376.96</v>
      </c>
      <c r="G55" s="14"/>
      <c r="H55" s="18"/>
      <c r="I55" s="14"/>
      <c r="J55" s="28"/>
      <c r="K55" s="15">
        <f t="shared" ca="1" si="18"/>
        <v>23.022939152874191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18">
        <f t="shared" ca="1" si="20"/>
        <v>540255.49</v>
      </c>
      <c r="F56" s="118">
        <f t="shared" ca="1" si="21"/>
        <v>2629.76</v>
      </c>
      <c r="G56" s="14"/>
      <c r="H56" s="18"/>
      <c r="I56" s="14"/>
      <c r="J56" s="28"/>
      <c r="K56" s="15">
        <f t="shared" ca="1" si="18"/>
        <v>21.538006283317092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18">
        <f t="shared" ca="1" si="20"/>
        <v>406774.95</v>
      </c>
      <c r="F57" s="118">
        <f t="shared" ca="1" si="21"/>
        <v>2725.18</v>
      </c>
      <c r="G57" s="14"/>
      <c r="H57" s="18"/>
      <c r="I57" s="14"/>
      <c r="J57" s="28"/>
      <c r="K57" s="15">
        <f t="shared" ca="1" si="18"/>
        <v>16.216626376153986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18">
        <f t="shared" ca="1" si="20"/>
        <v>551179.91</v>
      </c>
      <c r="F58" s="118">
        <f t="shared" ca="1" si="21"/>
        <v>2029.01</v>
      </c>
      <c r="G58" s="14"/>
      <c r="H58" s="18"/>
      <c r="I58" s="14"/>
      <c r="J58" s="28"/>
      <c r="K58" s="15">
        <f t="shared" ca="1" si="18"/>
        <v>21.973522869370843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18">
        <f t="shared" ca="1" si="20"/>
        <v>536556.19999999995</v>
      </c>
      <c r="F59" s="118">
        <f t="shared" ca="1" si="21"/>
        <v>2363.46</v>
      </c>
      <c r="G59" s="14"/>
      <c r="H59" s="18"/>
      <c r="I59" s="14"/>
      <c r="J59" s="28"/>
      <c r="K59" s="15">
        <f t="shared" ca="1" si="18"/>
        <v>21.390529149371051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18">
        <f t="shared" ca="1" si="20"/>
        <v>594412.66</v>
      </c>
      <c r="F60" s="118">
        <f t="shared" ca="1" si="21"/>
        <v>2058.64</v>
      </c>
      <c r="G60" s="14"/>
      <c r="H60" s="18"/>
      <c r="I60" s="14"/>
      <c r="J60" s="28"/>
      <c r="K60" s="15">
        <f t="shared" ca="1" si="18"/>
        <v>23.697054158511609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18">
        <f t="shared" ca="1" si="20"/>
        <v>599836.77</v>
      </c>
      <c r="F61" s="118">
        <f t="shared" ca="1" si="21"/>
        <v>2010.37</v>
      </c>
      <c r="G61" s="14"/>
      <c r="H61" s="18"/>
      <c r="I61" s="14"/>
      <c r="J61" s="28"/>
      <c r="K61" s="15">
        <f t="shared" ca="1" si="18"/>
        <v>23.91329354417968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18">
        <f t="shared" ca="1" si="20"/>
        <v>393608.36</v>
      </c>
      <c r="F62" s="118">
        <f t="shared" ca="1" si="21"/>
        <v>2850.1</v>
      </c>
      <c r="G62" s="14"/>
      <c r="H62" s="18"/>
      <c r="I62" s="14"/>
      <c r="J62" s="28"/>
      <c r="K62" s="15">
        <f t="shared" ca="1" si="18"/>
        <v>15.69172269002974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18">
        <f t="shared" ca="1" si="20"/>
        <v>409421.87</v>
      </c>
      <c r="F63" s="118">
        <f t="shared" ca="1" si="21"/>
        <v>2180.27</v>
      </c>
      <c r="G63" s="9"/>
      <c r="H63" s="27"/>
      <c r="I63" s="9"/>
      <c r="J63" s="26"/>
      <c r="K63" s="10">
        <f t="shared" ca="1" si="18"/>
        <v>16.322149375265827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24">
        <f ca="1">SUM(E52:E63)</f>
        <v>6121926.7300000004</v>
      </c>
      <c r="F64" s="124">
        <f t="shared" ref="F64:G64" ca="1" si="23">SUM(F52:F63)</f>
        <v>28625.269999999997</v>
      </c>
      <c r="G64" s="92">
        <f t="shared" si="23"/>
        <v>0</v>
      </c>
      <c r="H64" s="93"/>
      <c r="I64" s="93"/>
      <c r="J64" s="93"/>
      <c r="K64" s="93">
        <f ca="1">SUM(K52:K63)</f>
        <v>244.05878110881736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E65" s="119"/>
      <c r="F65" s="119"/>
      <c r="M65" s="24"/>
    </row>
    <row r="66" spans="1:20" ht="57">
      <c r="B66" s="21" t="s">
        <v>12</v>
      </c>
      <c r="C66" s="23" t="s">
        <v>35</v>
      </c>
      <c r="D66" s="23" t="s">
        <v>41</v>
      </c>
      <c r="E66" s="131" t="s">
        <v>36</v>
      </c>
      <c r="F66" s="122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18">
        <f ca="1">RANDBETWEEN(35000000,47000000)/100</f>
        <v>417389.34</v>
      </c>
      <c r="F67" s="118">
        <f ca="1">RANDBETWEEN(110000,280000)/100</f>
        <v>2482.58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16.639783202405912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170294.85071999999</v>
      </c>
      <c r="S67" s="13">
        <f ca="1">F67*(1.3)</f>
        <v>3227.3539999999998</v>
      </c>
      <c r="T67" s="33">
        <f>(I67/1000)*0.561</f>
        <v>0</v>
      </c>
    </row>
    <row r="68" spans="1:20">
      <c r="B68" s="17">
        <v>44593</v>
      </c>
      <c r="C68" s="14"/>
      <c r="D68" s="14"/>
      <c r="E68" s="118">
        <f t="shared" ref="E68:E78" ca="1" si="28">RANDBETWEEN(35000000,47000000)/100</f>
        <v>458173.72</v>
      </c>
      <c r="F68" s="118">
        <f t="shared" ref="F68:F78" ca="1" si="29">RANDBETWEEN(110000,280000)/100</f>
        <v>2585.25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18.265706953224605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186934.87775999997</v>
      </c>
      <c r="S68" s="13">
        <f t="shared" ref="S68:S78" ca="1" si="33">F68*(1.3)</f>
        <v>3360.8250000000003</v>
      </c>
      <c r="T68" s="33">
        <f t="shared" ref="T68:T74" si="34">(I68/1000)*0.561</f>
        <v>0</v>
      </c>
    </row>
    <row r="69" spans="1:20" ht="16.5" customHeight="1">
      <c r="B69" s="17">
        <v>44621</v>
      </c>
      <c r="C69" s="14"/>
      <c r="D69" s="14"/>
      <c r="E69" s="118">
        <f t="shared" ca="1" si="28"/>
        <v>431228.85</v>
      </c>
      <c r="F69" s="118">
        <f t="shared" ca="1" si="29"/>
        <v>1196.74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17.191513742595383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175941.37079999998</v>
      </c>
      <c r="S69" s="13">
        <f t="shared" ca="1" si="33"/>
        <v>1555.7620000000002</v>
      </c>
      <c r="T69" s="33">
        <f t="shared" si="34"/>
        <v>0</v>
      </c>
    </row>
    <row r="70" spans="1:20">
      <c r="B70" s="17">
        <v>44652</v>
      </c>
      <c r="C70" s="14"/>
      <c r="D70" s="14"/>
      <c r="E70" s="118">
        <f t="shared" ca="1" si="28"/>
        <v>405652.47999999998</v>
      </c>
      <c r="F70" s="118">
        <f t="shared" ca="1" si="29"/>
        <v>1674.89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16.171877611244934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165506.21183999997</v>
      </c>
      <c r="S70" s="13">
        <f t="shared" ca="1" si="33"/>
        <v>2177.3570000000004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18">
        <f t="shared" ca="1" si="28"/>
        <v>460740.21</v>
      </c>
      <c r="F71" s="118">
        <f t="shared" ca="1" si="29"/>
        <v>2739.15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18.368023503022314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187982.00568</v>
      </c>
      <c r="S71" s="13">
        <f t="shared" ca="1" si="33"/>
        <v>3560.8950000000004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18">
        <f t="shared" ca="1" si="28"/>
        <v>432539.05</v>
      </c>
      <c r="F72" s="118">
        <f t="shared" ca="1" si="29"/>
        <v>1267.8800000000001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17.24374661455084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176475.93239999999</v>
      </c>
      <c r="S72" s="13">
        <f t="shared" ca="1" si="33"/>
        <v>1648.2440000000001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18">
        <f t="shared" ca="1" si="28"/>
        <v>465674.86</v>
      </c>
      <c r="F73" s="118">
        <f t="shared" ca="1" si="29"/>
        <v>2026.29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18.564749912421632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189995.34287999998</v>
      </c>
      <c r="S73" s="13">
        <f t="shared" ca="1" si="33"/>
        <v>2634.1770000000001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18">
        <f t="shared" ca="1" si="28"/>
        <v>389830.65</v>
      </c>
      <c r="F74" s="118">
        <f t="shared" ca="1" si="29"/>
        <v>1209.72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15.541119238102674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159050.90520000001</v>
      </c>
      <c r="S74" s="13">
        <f t="shared" ca="1" si="33"/>
        <v>1572.6360000000002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18">
        <f t="shared" ca="1" si="28"/>
        <v>376966.13</v>
      </c>
      <c r="F75" s="118">
        <f t="shared" ca="1" si="29"/>
        <v>1120.44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15.028257975754634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153802.18104</v>
      </c>
      <c r="S75" s="13">
        <f t="shared" ca="1" si="33"/>
        <v>1456.5720000000001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18">
        <f t="shared" ca="1" si="28"/>
        <v>444089.14</v>
      </c>
      <c r="F76" s="118">
        <f t="shared" ca="1" si="29"/>
        <v>1253.1300000000001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17.704206370346895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181188.36911999999</v>
      </c>
      <c r="S76" s="13">
        <f t="shared" ca="1" si="33"/>
        <v>1629.0690000000002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18">
        <f t="shared" ca="1" si="28"/>
        <v>449792.79</v>
      </c>
      <c r="F77" s="118">
        <f t="shared" ca="1" si="29"/>
        <v>2544.7199999999998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17.931589991266399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183515.45831999998</v>
      </c>
      <c r="S77" s="13">
        <f t="shared" ca="1" si="33"/>
        <v>3308.136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18">
        <f t="shared" ca="1" si="28"/>
        <v>357795.82</v>
      </c>
      <c r="F78" s="118">
        <f t="shared" ca="1" si="29"/>
        <v>1153.93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14.264007977604432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145980.69456</v>
      </c>
      <c r="S78" s="73">
        <f t="shared" ca="1" si="33"/>
        <v>1500.1090000000002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24">
        <f ca="1">SUM(E67:E78)</f>
        <v>5089873.04</v>
      </c>
      <c r="F79" s="124">
        <f ca="1">SUM(F67:F78)</f>
        <v>21254.720000000005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202.91458309254065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2076668.2003199996</v>
      </c>
      <c r="S79" s="93">
        <f t="shared" ref="S79:T79" ca="1" si="37">SUM(S67:S78)</f>
        <v>27631.135999999999</v>
      </c>
      <c r="T79" s="96">
        <f t="shared" si="37"/>
        <v>0</v>
      </c>
    </row>
    <row r="80" spans="1:20">
      <c r="B80" s="85">
        <v>44927</v>
      </c>
      <c r="C80" s="87"/>
      <c r="D80" s="87"/>
      <c r="E80" s="118">
        <f ca="1">RANDBETWEEN(40000000,47000000)/100</f>
        <v>441040.08</v>
      </c>
      <c r="F80" s="125">
        <f ca="1">RANDBETWEEN(200000,300000)/100</f>
        <v>2757</v>
      </c>
      <c r="G80" s="87"/>
      <c r="H80" s="87"/>
      <c r="I80" s="14">
        <f t="shared" ref="I80:I85" si="38">G80+H80</f>
        <v>0</v>
      </c>
      <c r="J80" s="87"/>
      <c r="K80" s="87"/>
      <c r="L80" s="109"/>
      <c r="M80" s="89">
        <f t="shared" ref="M80:M91" ca="1" si="39">E80/$E$3</f>
        <v>17.582651523327737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179944.35264</v>
      </c>
      <c r="S80" s="74">
        <f ca="1">F80*(1.3)</f>
        <v>3584.1</v>
      </c>
      <c r="T80" s="113">
        <f>(I80/1000)*0.561</f>
        <v>0</v>
      </c>
    </row>
    <row r="81" spans="1:20">
      <c r="B81" s="17">
        <v>44958</v>
      </c>
      <c r="C81" s="14"/>
      <c r="D81" s="14"/>
      <c r="E81" s="118">
        <f t="shared" ref="E81:E91" ca="1" si="43">RANDBETWEEN(40000000,47000000)/100</f>
        <v>452706.93</v>
      </c>
      <c r="F81" s="125">
        <f t="shared" ref="F81:F91" ca="1" si="44">RANDBETWEEN(200000,300000)/100</f>
        <v>2859.37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18.047766072383997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184704.42744</v>
      </c>
      <c r="S81" s="13">
        <f t="shared" ref="S81:S91" ca="1" si="47">F81*(1.3)</f>
        <v>3717.181</v>
      </c>
      <c r="T81" s="33">
        <f t="shared" ref="T81:T87" si="48">(I81/1000)*0.561</f>
        <v>0</v>
      </c>
    </row>
    <row r="82" spans="1:20" ht="16.5" customHeight="1">
      <c r="B82" s="17">
        <v>44986</v>
      </c>
      <c r="C82" s="14"/>
      <c r="D82" s="14"/>
      <c r="E82" s="118">
        <f t="shared" ca="1" si="43"/>
        <v>459305.03</v>
      </c>
      <c r="F82" s="125">
        <f t="shared" ca="1" si="44"/>
        <v>2519.91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18.310808136533968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187396.45224000001</v>
      </c>
      <c r="S82" s="13">
        <f t="shared" ca="1" si="47"/>
        <v>3275.8829999999998</v>
      </c>
      <c r="T82" s="33">
        <f t="shared" si="48"/>
        <v>0</v>
      </c>
    </row>
    <row r="83" spans="1:20">
      <c r="B83" s="17">
        <v>45017</v>
      </c>
      <c r="C83" s="14"/>
      <c r="D83" s="14"/>
      <c r="E83" s="118">
        <f t="shared" ca="1" si="43"/>
        <v>406226.34</v>
      </c>
      <c r="F83" s="125">
        <f t="shared" ca="1" si="44"/>
        <v>2153.91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16.194755306177278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165740.34672</v>
      </c>
      <c r="S83" s="13">
        <f t="shared" ca="1" si="47"/>
        <v>2800.0830000000001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118">
        <f t="shared" ca="1" si="43"/>
        <v>452992.69</v>
      </c>
      <c r="F84" s="125">
        <f t="shared" ca="1" si="44"/>
        <v>2946.21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18.059158276238364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184821.01751999999</v>
      </c>
      <c r="S84" s="13">
        <f t="shared" ca="1" si="47"/>
        <v>3830.0730000000003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118">
        <f t="shared" ca="1" si="43"/>
        <v>427066.66</v>
      </c>
      <c r="F85" s="125">
        <f t="shared" ca="1" si="44"/>
        <v>2716.92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17.02558248223492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174243.19727999996</v>
      </c>
      <c r="S85" s="13">
        <f t="shared" ca="1" si="47"/>
        <v>3531.9960000000001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118">
        <f t="shared" ca="1" si="43"/>
        <v>415624.68</v>
      </c>
      <c r="F86" s="125">
        <f t="shared" ca="1" si="44"/>
        <v>2798.63</v>
      </c>
      <c r="G86" s="14"/>
      <c r="H86" s="14"/>
      <c r="I86" s="14">
        <f t="shared" ref="I86:I91" si="49">G86+H86</f>
        <v>0</v>
      </c>
      <c r="J86" s="14"/>
      <c r="K86" s="14"/>
      <c r="L86" s="28"/>
      <c r="M86" s="15">
        <f t="shared" ca="1" si="39"/>
        <v>16.569432675902387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169574.86943999998</v>
      </c>
      <c r="S86" s="13">
        <f t="shared" ca="1" si="47"/>
        <v>3638.2190000000001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118">
        <f t="shared" ca="1" si="43"/>
        <v>454167.89</v>
      </c>
      <c r="F87" s="125">
        <f t="shared" ca="1" si="44"/>
        <v>2639.72</v>
      </c>
      <c r="G87" s="14"/>
      <c r="H87" s="14"/>
      <c r="I87" s="14">
        <f t="shared" si="49"/>
        <v>0</v>
      </c>
      <c r="J87" s="14"/>
      <c r="K87" s="14"/>
      <c r="L87" s="28"/>
      <c r="M87" s="15">
        <f t="shared" ca="1" si="39"/>
        <v>18.106009192985464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185300.49911999999</v>
      </c>
      <c r="S87" s="13">
        <f t="shared" ca="1" si="47"/>
        <v>3431.636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118">
        <f t="shared" ca="1" si="43"/>
        <v>402613.24</v>
      </c>
      <c r="F88" s="125">
        <f t="shared" ca="1" si="44"/>
        <v>2599.12</v>
      </c>
      <c r="G88" s="14"/>
      <c r="H88" s="14"/>
      <c r="I88" s="14">
        <f t="shared" si="49"/>
        <v>0</v>
      </c>
      <c r="J88" s="14"/>
      <c r="K88" s="14"/>
      <c r="L88" s="28"/>
      <c r="M88" s="15">
        <f t="shared" ca="1" si="39"/>
        <v>16.050714251634265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164266.20191999999</v>
      </c>
      <c r="S88" s="13">
        <f t="shared" ca="1" si="47"/>
        <v>3378.8559999999998</v>
      </c>
      <c r="T88" s="33">
        <f t="shared" ref="T88:T91" si="50">(I88/1000)*21.28</f>
        <v>0</v>
      </c>
    </row>
    <row r="89" spans="1:20" s="2" customFormat="1">
      <c r="B89" s="17">
        <v>45200</v>
      </c>
      <c r="C89" s="52"/>
      <c r="D89" s="14"/>
      <c r="E89" s="118">
        <f t="shared" ca="1" si="43"/>
        <v>469413.18</v>
      </c>
      <c r="F89" s="125">
        <f t="shared" ca="1" si="44"/>
        <v>2012.79</v>
      </c>
      <c r="G89" s="14"/>
      <c r="H89" s="14"/>
      <c r="I89" s="14">
        <f t="shared" si="49"/>
        <v>0</v>
      </c>
      <c r="J89" s="14"/>
      <c r="K89" s="14"/>
      <c r="L89" s="28"/>
      <c r="M89" s="15">
        <f t="shared" ca="1" si="39"/>
        <v>18.713783029417911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191520.57743999999</v>
      </c>
      <c r="S89" s="13">
        <f t="shared" ca="1" si="47"/>
        <v>2616.627</v>
      </c>
      <c r="T89" s="33">
        <f t="shared" si="50"/>
        <v>0</v>
      </c>
    </row>
    <row r="90" spans="1:20" s="2" customFormat="1">
      <c r="B90" s="17">
        <v>45231</v>
      </c>
      <c r="C90" s="52"/>
      <c r="D90" s="14"/>
      <c r="E90" s="118">
        <f t="shared" ca="1" si="43"/>
        <v>440026.93</v>
      </c>
      <c r="F90" s="125">
        <f t="shared" ca="1" si="44"/>
        <v>2215.85</v>
      </c>
      <c r="G90" s="14"/>
      <c r="H90" s="14"/>
      <c r="I90" s="14">
        <f t="shared" si="49"/>
        <v>0</v>
      </c>
      <c r="J90" s="14"/>
      <c r="K90" s="14"/>
      <c r="L90" s="28"/>
      <c r="M90" s="15">
        <f t="shared" ca="1" si="39"/>
        <v>17.542260946147405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179530.98744</v>
      </c>
      <c r="S90" s="13">
        <f t="shared" ca="1" si="47"/>
        <v>2880.605</v>
      </c>
      <c r="T90" s="33">
        <f t="shared" si="50"/>
        <v>0</v>
      </c>
    </row>
    <row r="91" spans="1:20" s="2" customFormat="1" ht="14.65" thickBot="1">
      <c r="B91" s="101">
        <v>45261</v>
      </c>
      <c r="C91" s="102"/>
      <c r="D91" s="103"/>
      <c r="E91" s="118">
        <f t="shared" ca="1" si="43"/>
        <v>469428.75</v>
      </c>
      <c r="F91" s="125">
        <f t="shared" ca="1" si="44"/>
        <v>2424.4899999999998</v>
      </c>
      <c r="G91" s="103"/>
      <c r="H91" s="103"/>
      <c r="I91" s="103">
        <f t="shared" si="49"/>
        <v>0</v>
      </c>
      <c r="J91" s="103"/>
      <c r="K91" s="103"/>
      <c r="L91" s="104"/>
      <c r="M91" s="105">
        <f t="shared" ca="1" si="39"/>
        <v>18.714403748251939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191526.93</v>
      </c>
      <c r="S91" s="73">
        <f t="shared" ca="1" si="47"/>
        <v>3151.837</v>
      </c>
      <c r="T91" s="108">
        <f t="shared" si="50"/>
        <v>0</v>
      </c>
    </row>
    <row r="92" spans="1:20" ht="14.65" thickBot="1">
      <c r="A92" s="91" t="s">
        <v>63</v>
      </c>
      <c r="B92" s="115"/>
      <c r="C92" s="93">
        <f>SUM(C80:C91)</f>
        <v>0</v>
      </c>
      <c r="D92" s="93">
        <f>SUM(D80:D91)</f>
        <v>0</v>
      </c>
      <c r="E92" s="124">
        <f ca="1">SUM(E80:E91)</f>
        <v>5290612.4000000004</v>
      </c>
      <c r="F92" s="124">
        <f ca="1">SUM(F80:F91)</f>
        <v>30643.919999999998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118">
        <f ca="1">RANDBETWEEN(25000000,28000000)/100</f>
        <v>265741.24</v>
      </c>
      <c r="F93" s="119">
        <f ca="1">RANDBETWEEN(150000,320000)/100</f>
        <v>3114.81</v>
      </c>
    </row>
    <row r="94" spans="1:20">
      <c r="B94" s="85">
        <v>45323</v>
      </c>
      <c r="E94" s="118">
        <f ca="1">RANDBETWEEN(25000000,28000000)/100</f>
        <v>255125.13</v>
      </c>
      <c r="F94" s="119">
        <f t="shared" ref="F94:F95" ca="1" si="51">RANDBETWEEN(150000,320000)/100</f>
        <v>2382.87</v>
      </c>
    </row>
    <row r="95" spans="1:20">
      <c r="B95" s="85">
        <v>45352</v>
      </c>
      <c r="F95" s="119">
        <f t="shared" ca="1" si="51"/>
        <v>2458.12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124"/>
      <c r="F105" s="128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17C8-220F-4601-87AB-779B1344BBA1}">
  <dimension ref="A1:S89"/>
  <sheetViews>
    <sheetView zoomScale="69" zoomScaleNormal="69" workbookViewId="0">
      <selection activeCell="I13" sqref="I13:I19"/>
    </sheetView>
  </sheetViews>
  <sheetFormatPr defaultColWidth="8.796875" defaultRowHeight="14.25"/>
  <cols>
    <col min="1" max="1" width="12" style="1" customWidth="1"/>
    <col min="2" max="2" width="25.46484375" style="1" customWidth="1"/>
    <col min="3" max="3" width="20.46484375" style="2" customWidth="1"/>
    <col min="4" max="4" width="21" style="2" customWidth="1"/>
    <col min="5" max="6" width="25.46484375" style="1" customWidth="1"/>
    <col min="7" max="8" width="20.46484375" style="1" customWidth="1"/>
    <col min="9" max="11" width="15.46484375" style="2" customWidth="1"/>
    <col min="12" max="12" width="21" style="2" customWidth="1"/>
    <col min="13" max="13" width="24.46484375" style="2" bestFit="1" customWidth="1"/>
    <col min="14" max="14" width="20" style="1" customWidth="1"/>
    <col min="15" max="15" width="22.796875" style="1" bestFit="1" customWidth="1"/>
    <col min="16" max="16" width="22" style="1" bestFit="1" customWidth="1"/>
    <col min="17" max="18" width="24.46484375" style="1" customWidth="1"/>
    <col min="19" max="19" width="24" style="1" customWidth="1"/>
    <col min="20" max="16384" width="8.796875" style="1"/>
  </cols>
  <sheetData>
    <row r="1" spans="1:19">
      <c r="A1" s="150" t="s">
        <v>11</v>
      </c>
      <c r="B1" s="150" t="s">
        <v>65</v>
      </c>
      <c r="C1" s="151" t="s">
        <v>2</v>
      </c>
      <c r="D1" s="150" t="s">
        <v>5</v>
      </c>
      <c r="E1" s="150" t="s">
        <v>13</v>
      </c>
      <c r="F1" s="150"/>
      <c r="G1" s="150"/>
      <c r="H1" s="150"/>
      <c r="I1" s="150"/>
      <c r="J1" s="150"/>
      <c r="K1" s="150"/>
      <c r="L1" s="149" t="s">
        <v>1</v>
      </c>
      <c r="M1" s="1"/>
    </row>
    <row r="2" spans="1:19">
      <c r="A2" s="150"/>
      <c r="B2" s="150"/>
      <c r="C2" s="151"/>
      <c r="D2" s="150"/>
      <c r="E2" s="60" t="s">
        <v>14</v>
      </c>
      <c r="F2" s="60" t="s">
        <v>15</v>
      </c>
      <c r="G2" s="60" t="s">
        <v>16</v>
      </c>
      <c r="H2" s="60" t="s">
        <v>17</v>
      </c>
      <c r="I2" s="60" t="s">
        <v>18</v>
      </c>
      <c r="J2" s="60" t="s">
        <v>19</v>
      </c>
      <c r="K2" s="60"/>
      <c r="L2" s="149"/>
      <c r="M2" s="1"/>
    </row>
    <row r="3" spans="1:19">
      <c r="A3" s="14">
        <v>1</v>
      </c>
      <c r="B3" s="14"/>
      <c r="C3" s="14"/>
      <c r="D3" s="14"/>
      <c r="E3" s="13" t="e">
        <f>AVERAGE(J57,J73,J89)</f>
        <v>#DIV/0!</v>
      </c>
      <c r="F3" s="29" t="e">
        <f>0.9*E3</f>
        <v>#DIV/0!</v>
      </c>
      <c r="G3" s="46">
        <f>AVERAGE(L57,L73,L89)</f>
        <v>22.472042193554543</v>
      </c>
      <c r="H3" s="46">
        <f>0.9*G3</f>
        <v>20.22483797419909</v>
      </c>
      <c r="I3" s="14"/>
      <c r="J3" s="45"/>
      <c r="K3" s="45"/>
      <c r="L3" s="14" t="s">
        <v>22</v>
      </c>
      <c r="M3" s="1"/>
    </row>
    <row r="4" spans="1:19">
      <c r="A4" s="14" t="s">
        <v>31</v>
      </c>
      <c r="B4" s="14" t="s">
        <v>32</v>
      </c>
      <c r="C4" s="14"/>
      <c r="D4" s="14"/>
      <c r="E4" s="13" t="e">
        <f>AVERAGE(K57,K73,K89)</f>
        <v>#DIV/0!</v>
      </c>
      <c r="F4" s="14" t="e">
        <f>0.9*E4</f>
        <v>#DIV/0!</v>
      </c>
      <c r="G4" s="14"/>
      <c r="H4" s="14"/>
      <c r="I4" s="14"/>
      <c r="J4" s="14"/>
      <c r="K4" s="14"/>
      <c r="L4" s="14"/>
      <c r="M4" s="1"/>
    </row>
    <row r="5" spans="1:19">
      <c r="A5" s="52"/>
      <c r="B5" s="14" t="s">
        <v>33</v>
      </c>
      <c r="C5" s="14"/>
      <c r="D5" s="14">
        <f>D3-D7</f>
        <v>0</v>
      </c>
      <c r="E5" s="14">
        <f>D3-D4</f>
        <v>0</v>
      </c>
      <c r="F5" s="14">
        <f>50/70</f>
        <v>0.7142857142857143</v>
      </c>
      <c r="G5" s="52"/>
      <c r="H5" s="52"/>
      <c r="I5" s="14"/>
      <c r="J5" s="14"/>
      <c r="K5" s="14"/>
      <c r="L5" s="14"/>
    </row>
    <row r="6" spans="1:19">
      <c r="B6" s="2"/>
      <c r="E6" s="2"/>
      <c r="F6" s="2"/>
    </row>
    <row r="7" spans="1:19">
      <c r="A7" s="43" t="s">
        <v>3</v>
      </c>
      <c r="B7" s="43"/>
      <c r="C7" s="43"/>
      <c r="D7" s="42"/>
      <c r="E7" s="42"/>
      <c r="F7" s="42"/>
      <c r="G7" s="42"/>
      <c r="H7" s="42"/>
    </row>
    <row r="8" spans="1:19">
      <c r="A8" s="43" t="s">
        <v>30</v>
      </c>
      <c r="B8" s="43"/>
      <c r="C8" s="43"/>
      <c r="D8" s="44"/>
      <c r="E8" s="42"/>
      <c r="F8" s="42"/>
      <c r="G8" s="42"/>
      <c r="H8" s="42"/>
    </row>
    <row r="9" spans="1:19">
      <c r="A9" s="43" t="s">
        <v>20</v>
      </c>
      <c r="B9" s="43"/>
      <c r="C9" s="43"/>
      <c r="D9" s="43"/>
      <c r="E9" s="42"/>
      <c r="F9" s="42"/>
      <c r="G9" s="42"/>
      <c r="H9" s="42"/>
    </row>
    <row r="10" spans="1:19">
      <c r="A10" s="43" t="s">
        <v>21</v>
      </c>
      <c r="B10" s="43"/>
      <c r="C10" s="43"/>
      <c r="D10" s="43"/>
      <c r="E10" s="42"/>
      <c r="F10" s="42"/>
      <c r="G10" s="42"/>
      <c r="H10" s="42"/>
      <c r="K10" s="2" t="s">
        <v>29</v>
      </c>
    </row>
    <row r="11" spans="1:19" ht="14.65" thickBot="1">
      <c r="A11" s="30"/>
      <c r="K11" s="2">
        <f>5*52/12</f>
        <v>21.666666666666668</v>
      </c>
    </row>
    <row r="12" spans="1:19" ht="57">
      <c r="A12" s="21" t="s">
        <v>12</v>
      </c>
      <c r="B12" s="23" t="s">
        <v>35</v>
      </c>
      <c r="C12" s="23" t="s">
        <v>41</v>
      </c>
      <c r="D12" s="23" t="s">
        <v>36</v>
      </c>
      <c r="E12" s="59" t="s">
        <v>37</v>
      </c>
      <c r="F12" s="47" t="s">
        <v>38</v>
      </c>
      <c r="G12" s="47" t="s">
        <v>39</v>
      </c>
      <c r="H12" s="48" t="s">
        <v>40</v>
      </c>
      <c r="I12" s="20" t="s">
        <v>6</v>
      </c>
      <c r="J12" s="20" t="s">
        <v>7</v>
      </c>
      <c r="K12" s="22" t="s">
        <v>8</v>
      </c>
      <c r="L12" s="41" t="s">
        <v>9</v>
      </c>
      <c r="M12" s="40" t="s">
        <v>23</v>
      </c>
      <c r="N12" s="39" t="s">
        <v>10</v>
      </c>
      <c r="O12" s="38" t="s">
        <v>4</v>
      </c>
      <c r="P12" s="37" t="s">
        <v>28</v>
      </c>
      <c r="Q12" s="49" t="s">
        <v>27</v>
      </c>
      <c r="R12" s="50" t="s">
        <v>26</v>
      </c>
      <c r="S12" s="51" t="s">
        <v>25</v>
      </c>
    </row>
    <row r="13" spans="1:19">
      <c r="A13" s="17">
        <v>44562</v>
      </c>
      <c r="B13" s="14">
        <v>90060</v>
      </c>
      <c r="C13" s="14">
        <v>119075</v>
      </c>
      <c r="D13" s="14">
        <f t="shared" ref="D13:D24" si="0">B13+C13</f>
        <v>209135</v>
      </c>
      <c r="E13" s="14">
        <v>14.700000000000001</v>
      </c>
      <c r="F13" s="14">
        <v>1718</v>
      </c>
      <c r="G13" s="14">
        <v>844.1</v>
      </c>
      <c r="H13" s="14">
        <v>2562.1</v>
      </c>
      <c r="I13" s="14"/>
      <c r="J13" s="14"/>
      <c r="K13" s="28">
        <v>21</v>
      </c>
      <c r="L13" s="15" t="e">
        <f t="shared" ref="L13:L24" si="1">D13/$D$3</f>
        <v>#DIV/0!</v>
      </c>
      <c r="M13" s="14" t="e">
        <f t="shared" ref="M13:M24" si="2">(B13/$D$4)*(55/60)</f>
        <v>#DIV/0!</v>
      </c>
      <c r="N13" s="13" t="e">
        <f t="shared" ref="N13:N24" si="3">E13*1000/(I13+0.25*J13)/K13</f>
        <v>#DIV/0!</v>
      </c>
      <c r="O13" s="35" t="e">
        <f>H13/(I13+J13)/K13</f>
        <v>#DIV/0!</v>
      </c>
      <c r="P13" s="36">
        <f>G13/H13*100</f>
        <v>32.945630537449752</v>
      </c>
      <c r="Q13" s="34">
        <f t="shared" ref="Q13:Q24" si="4">D13*0.408</f>
        <v>85327.08</v>
      </c>
      <c r="R13" s="13">
        <f>E13*(1.3)</f>
        <v>19.110000000000003</v>
      </c>
      <c r="S13" s="33">
        <f>(H13/1000)*0.561</f>
        <v>1.4373381000000001</v>
      </c>
    </row>
    <row r="14" spans="1:19">
      <c r="A14" s="17">
        <v>44593</v>
      </c>
      <c r="B14" s="14">
        <v>98562</v>
      </c>
      <c r="C14" s="14">
        <v>135820</v>
      </c>
      <c r="D14" s="14">
        <f t="shared" si="0"/>
        <v>234382</v>
      </c>
      <c r="E14" s="14">
        <v>21.3</v>
      </c>
      <c r="F14" s="14">
        <v>1418</v>
      </c>
      <c r="G14" s="14">
        <v>460</v>
      </c>
      <c r="H14" s="14">
        <v>1878</v>
      </c>
      <c r="I14" s="14"/>
      <c r="J14" s="14"/>
      <c r="K14" s="28">
        <v>16</v>
      </c>
      <c r="L14" s="15" t="e">
        <f t="shared" si="1"/>
        <v>#DIV/0!</v>
      </c>
      <c r="M14" s="14" t="e">
        <f t="shared" si="2"/>
        <v>#DIV/0!</v>
      </c>
      <c r="N14" s="13" t="e">
        <f t="shared" si="3"/>
        <v>#DIV/0!</v>
      </c>
      <c r="O14" s="35" t="e">
        <f t="shared" ref="O14:O24" si="5">H14/(I14+J14)/K14</f>
        <v>#DIV/0!</v>
      </c>
      <c r="P14" s="36">
        <f t="shared" ref="P14:P24" si="6">G14/H14*100</f>
        <v>24.494142705005327</v>
      </c>
      <c r="Q14" s="34">
        <f t="shared" si="4"/>
        <v>95627.856</v>
      </c>
      <c r="R14" s="13">
        <f t="shared" ref="R14:R24" si="7">E14*(1.3)</f>
        <v>27.69</v>
      </c>
      <c r="S14" s="33">
        <f t="shared" ref="S14:S20" si="8">(H14/1000)*0.561</f>
        <v>1.053558</v>
      </c>
    </row>
    <row r="15" spans="1:19" ht="16.5" customHeight="1">
      <c r="A15" s="17">
        <v>44621</v>
      </c>
      <c r="B15" s="14">
        <v>111376</v>
      </c>
      <c r="C15" s="14">
        <v>138625</v>
      </c>
      <c r="D15" s="14">
        <f t="shared" si="0"/>
        <v>250001</v>
      </c>
      <c r="E15" s="14">
        <v>92.1</v>
      </c>
      <c r="F15" s="14">
        <v>2143</v>
      </c>
      <c r="G15" s="14">
        <v>898.6</v>
      </c>
      <c r="H15" s="14">
        <v>3041.6</v>
      </c>
      <c r="I15" s="14"/>
      <c r="J15" s="14"/>
      <c r="K15" s="28">
        <v>23</v>
      </c>
      <c r="L15" s="15" t="e">
        <f t="shared" si="1"/>
        <v>#DIV/0!</v>
      </c>
      <c r="M15" s="14" t="e">
        <f t="shared" si="2"/>
        <v>#DIV/0!</v>
      </c>
      <c r="N15" s="13" t="e">
        <f t="shared" si="3"/>
        <v>#DIV/0!</v>
      </c>
      <c r="O15" s="35" t="e">
        <f t="shared" si="5"/>
        <v>#DIV/0!</v>
      </c>
      <c r="P15" s="36">
        <f t="shared" si="6"/>
        <v>29.54366123093109</v>
      </c>
      <c r="Q15" s="34">
        <f t="shared" si="4"/>
        <v>102000.408</v>
      </c>
      <c r="R15" s="13">
        <f t="shared" si="7"/>
        <v>119.72999999999999</v>
      </c>
      <c r="S15" s="33">
        <f t="shared" si="8"/>
        <v>1.7063376000000001</v>
      </c>
    </row>
    <row r="16" spans="1:19">
      <c r="A16" s="17">
        <v>44652</v>
      </c>
      <c r="B16" s="14">
        <v>108726</v>
      </c>
      <c r="C16" s="14">
        <v>133510</v>
      </c>
      <c r="D16" s="14">
        <f t="shared" si="0"/>
        <v>242236</v>
      </c>
      <c r="E16" s="14">
        <v>59.699999999999989</v>
      </c>
      <c r="F16" s="14">
        <v>2150</v>
      </c>
      <c r="G16" s="14">
        <v>764.4</v>
      </c>
      <c r="H16" s="14">
        <v>2914.4</v>
      </c>
      <c r="I16" s="14"/>
      <c r="J16" s="14"/>
      <c r="K16" s="28">
        <v>20</v>
      </c>
      <c r="L16" s="15" t="e">
        <f t="shared" si="1"/>
        <v>#DIV/0!</v>
      </c>
      <c r="M16" s="14" t="e">
        <f t="shared" si="2"/>
        <v>#DIV/0!</v>
      </c>
      <c r="N16" s="13" t="e">
        <f t="shared" si="3"/>
        <v>#DIV/0!</v>
      </c>
      <c r="O16" s="35" t="e">
        <f t="shared" si="5"/>
        <v>#DIV/0!</v>
      </c>
      <c r="P16" s="36">
        <f t="shared" si="6"/>
        <v>26.228383200658794</v>
      </c>
      <c r="Q16" s="34">
        <f t="shared" si="4"/>
        <v>98832.288</v>
      </c>
      <c r="R16" s="13">
        <f t="shared" si="7"/>
        <v>77.609999999999985</v>
      </c>
      <c r="S16" s="33">
        <f t="shared" si="8"/>
        <v>1.6349784000000003</v>
      </c>
    </row>
    <row r="17" spans="1:19" s="2" customFormat="1">
      <c r="A17" s="17">
        <v>44682</v>
      </c>
      <c r="B17" s="14">
        <v>110206</v>
      </c>
      <c r="C17" s="14">
        <v>146200</v>
      </c>
      <c r="D17" s="14">
        <f t="shared" si="0"/>
        <v>256406</v>
      </c>
      <c r="E17" s="14">
        <v>82.4</v>
      </c>
      <c r="F17" s="14">
        <v>2250.5</v>
      </c>
      <c r="G17" s="14">
        <v>891.9</v>
      </c>
      <c r="H17" s="14">
        <f>F17+G17</f>
        <v>3142.4</v>
      </c>
      <c r="I17" s="14"/>
      <c r="J17" s="14"/>
      <c r="K17" s="28">
        <v>19</v>
      </c>
      <c r="L17" s="15" t="e">
        <f t="shared" si="1"/>
        <v>#DIV/0!</v>
      </c>
      <c r="M17" s="14" t="e">
        <f t="shared" si="2"/>
        <v>#DIV/0!</v>
      </c>
      <c r="N17" s="13" t="e">
        <f t="shared" si="3"/>
        <v>#DIV/0!</v>
      </c>
      <c r="O17" s="35" t="e">
        <f t="shared" si="5"/>
        <v>#DIV/0!</v>
      </c>
      <c r="P17" s="36">
        <f t="shared" si="6"/>
        <v>28.382764765784113</v>
      </c>
      <c r="Q17" s="34">
        <f t="shared" si="4"/>
        <v>104613.64799999999</v>
      </c>
      <c r="R17" s="13">
        <f t="shared" si="7"/>
        <v>107.12</v>
      </c>
      <c r="S17" s="33">
        <f t="shared" si="8"/>
        <v>1.7628864000000004</v>
      </c>
    </row>
    <row r="18" spans="1:19" s="2" customFormat="1">
      <c r="A18" s="17">
        <v>44713</v>
      </c>
      <c r="B18" s="14">
        <v>108496</v>
      </c>
      <c r="C18" s="14">
        <v>130405</v>
      </c>
      <c r="D18" s="14">
        <f t="shared" si="0"/>
        <v>238901</v>
      </c>
      <c r="E18" s="14">
        <v>76</v>
      </c>
      <c r="F18" s="14">
        <v>2646.5</v>
      </c>
      <c r="G18" s="14">
        <v>774.4</v>
      </c>
      <c r="H18" s="14">
        <f t="shared" ref="H18:H24" si="9">F18+G18</f>
        <v>3420.9</v>
      </c>
      <c r="I18" s="14"/>
      <c r="J18" s="14"/>
      <c r="K18" s="28">
        <v>22</v>
      </c>
      <c r="L18" s="15" t="e">
        <f t="shared" si="1"/>
        <v>#DIV/0!</v>
      </c>
      <c r="M18" s="14" t="e">
        <f t="shared" si="2"/>
        <v>#DIV/0!</v>
      </c>
      <c r="N18" s="13" t="e">
        <f t="shared" si="3"/>
        <v>#DIV/0!</v>
      </c>
      <c r="O18" s="35" t="e">
        <f t="shared" si="5"/>
        <v>#DIV/0!</v>
      </c>
      <c r="P18" s="36">
        <f t="shared" si="6"/>
        <v>22.637317664941971</v>
      </c>
      <c r="Q18" s="34">
        <f t="shared" si="4"/>
        <v>97471.607999999993</v>
      </c>
      <c r="R18" s="13">
        <f t="shared" si="7"/>
        <v>98.8</v>
      </c>
      <c r="S18" s="33">
        <f t="shared" si="8"/>
        <v>1.9191249000000001</v>
      </c>
    </row>
    <row r="19" spans="1:19" s="2" customFormat="1">
      <c r="A19" s="17">
        <v>44743</v>
      </c>
      <c r="B19" s="14">
        <v>109940</v>
      </c>
      <c r="C19" s="14">
        <v>130645</v>
      </c>
      <c r="D19" s="14">
        <f t="shared" si="0"/>
        <v>240585</v>
      </c>
      <c r="E19" s="14">
        <v>118.1</v>
      </c>
      <c r="F19" s="14">
        <v>2675.5</v>
      </c>
      <c r="G19" s="14">
        <v>1315.4</v>
      </c>
      <c r="H19" s="14">
        <f t="shared" si="9"/>
        <v>3990.9</v>
      </c>
      <c r="I19" s="14"/>
      <c r="J19" s="14"/>
      <c r="K19" s="28">
        <v>20</v>
      </c>
      <c r="L19" s="15" t="e">
        <f t="shared" si="1"/>
        <v>#DIV/0!</v>
      </c>
      <c r="M19" s="14" t="e">
        <f t="shared" si="2"/>
        <v>#DIV/0!</v>
      </c>
      <c r="N19" s="13" t="e">
        <f t="shared" si="3"/>
        <v>#DIV/0!</v>
      </c>
      <c r="O19" s="35" t="e">
        <f t="shared" si="5"/>
        <v>#DIV/0!</v>
      </c>
      <c r="P19" s="36">
        <f t="shared" si="6"/>
        <v>32.959983963517004</v>
      </c>
      <c r="Q19" s="34">
        <f t="shared" si="4"/>
        <v>98158.68</v>
      </c>
      <c r="R19" s="13">
        <f t="shared" si="7"/>
        <v>153.53</v>
      </c>
      <c r="S19" s="33">
        <f t="shared" si="8"/>
        <v>2.2388949</v>
      </c>
    </row>
    <row r="20" spans="1:19" s="2" customFormat="1">
      <c r="A20" s="17">
        <v>44774</v>
      </c>
      <c r="B20" s="14">
        <v>116288</v>
      </c>
      <c r="C20" s="14">
        <v>142760</v>
      </c>
      <c r="D20" s="14">
        <f t="shared" si="0"/>
        <v>259048</v>
      </c>
      <c r="E20" s="14">
        <v>100.7</v>
      </c>
      <c r="F20" s="14"/>
      <c r="G20" s="14"/>
      <c r="H20" s="14">
        <f t="shared" si="9"/>
        <v>0</v>
      </c>
      <c r="I20" s="14"/>
      <c r="J20" s="14"/>
      <c r="K20" s="28">
        <v>22</v>
      </c>
      <c r="L20" s="15" t="e">
        <f t="shared" si="1"/>
        <v>#DIV/0!</v>
      </c>
      <c r="M20" s="14" t="e">
        <f t="shared" si="2"/>
        <v>#DIV/0!</v>
      </c>
      <c r="N20" s="13" t="e">
        <f t="shared" si="3"/>
        <v>#DIV/0!</v>
      </c>
      <c r="O20" s="35" t="e">
        <f t="shared" si="5"/>
        <v>#DIV/0!</v>
      </c>
      <c r="P20" s="36" t="e">
        <f t="shared" si="6"/>
        <v>#DIV/0!</v>
      </c>
      <c r="Q20" s="34">
        <f t="shared" si="4"/>
        <v>105691.58399999999</v>
      </c>
      <c r="R20" s="13">
        <f t="shared" si="7"/>
        <v>130.91</v>
      </c>
      <c r="S20" s="33">
        <f t="shared" si="8"/>
        <v>0</v>
      </c>
    </row>
    <row r="21" spans="1:19" s="2" customFormat="1">
      <c r="A21" s="17">
        <v>44805</v>
      </c>
      <c r="B21" s="14">
        <v>110206</v>
      </c>
      <c r="C21" s="14">
        <v>129695</v>
      </c>
      <c r="D21" s="14">
        <f t="shared" si="0"/>
        <v>239901</v>
      </c>
      <c r="E21" s="14"/>
      <c r="F21" s="14"/>
      <c r="G21" s="14"/>
      <c r="H21" s="14">
        <f t="shared" si="9"/>
        <v>0</v>
      </c>
      <c r="I21" s="14"/>
      <c r="J21" s="14"/>
      <c r="K21" s="28">
        <v>22</v>
      </c>
      <c r="L21" s="15" t="e">
        <f t="shared" si="1"/>
        <v>#DIV/0!</v>
      </c>
      <c r="M21" s="14" t="e">
        <f t="shared" si="2"/>
        <v>#DIV/0!</v>
      </c>
      <c r="N21" s="13" t="e">
        <f t="shared" si="3"/>
        <v>#DIV/0!</v>
      </c>
      <c r="O21" s="35" t="e">
        <f t="shared" si="5"/>
        <v>#DIV/0!</v>
      </c>
      <c r="P21" s="36" t="e">
        <f t="shared" si="6"/>
        <v>#DIV/0!</v>
      </c>
      <c r="Q21" s="34">
        <f t="shared" si="4"/>
        <v>97879.607999999993</v>
      </c>
      <c r="R21" s="13">
        <f t="shared" si="7"/>
        <v>0</v>
      </c>
      <c r="S21" s="33">
        <f t="shared" ref="S21:S24" si="10">(H21/1000)*21.28</f>
        <v>0</v>
      </c>
    </row>
    <row r="22" spans="1:19" s="2" customFormat="1">
      <c r="A22" s="17">
        <v>44835</v>
      </c>
      <c r="B22" s="52"/>
      <c r="C22" s="14"/>
      <c r="D22" s="14">
        <f t="shared" si="0"/>
        <v>0</v>
      </c>
      <c r="E22" s="14"/>
      <c r="F22" s="14"/>
      <c r="G22" s="14"/>
      <c r="H22" s="14">
        <f t="shared" si="9"/>
        <v>0</v>
      </c>
      <c r="I22" s="14"/>
      <c r="J22" s="14"/>
      <c r="K22" s="28">
        <v>20</v>
      </c>
      <c r="L22" s="15" t="e">
        <f t="shared" si="1"/>
        <v>#DIV/0!</v>
      </c>
      <c r="M22" s="14" t="e">
        <f t="shared" si="2"/>
        <v>#DIV/0!</v>
      </c>
      <c r="N22" s="13" t="e">
        <f t="shared" si="3"/>
        <v>#DIV/0!</v>
      </c>
      <c r="O22" s="35" t="e">
        <f t="shared" si="5"/>
        <v>#DIV/0!</v>
      </c>
      <c r="P22" s="36" t="e">
        <f t="shared" si="6"/>
        <v>#DIV/0!</v>
      </c>
      <c r="Q22" s="34">
        <f t="shared" si="4"/>
        <v>0</v>
      </c>
      <c r="R22" s="13">
        <f t="shared" si="7"/>
        <v>0</v>
      </c>
      <c r="S22" s="33">
        <f t="shared" si="10"/>
        <v>0</v>
      </c>
    </row>
    <row r="23" spans="1:19" s="2" customFormat="1">
      <c r="A23" s="17">
        <v>44866</v>
      </c>
      <c r="B23" s="52"/>
      <c r="C23" s="14"/>
      <c r="D23" s="14">
        <f t="shared" si="0"/>
        <v>0</v>
      </c>
      <c r="E23" s="14"/>
      <c r="F23" s="14"/>
      <c r="G23" s="14"/>
      <c r="H23" s="14">
        <f t="shared" si="9"/>
        <v>0</v>
      </c>
      <c r="I23" s="14"/>
      <c r="J23" s="14"/>
      <c r="K23" s="28">
        <v>22</v>
      </c>
      <c r="L23" s="15" t="e">
        <f t="shared" si="1"/>
        <v>#DIV/0!</v>
      </c>
      <c r="M23" s="14" t="e">
        <f t="shared" si="2"/>
        <v>#DIV/0!</v>
      </c>
      <c r="N23" s="13" t="e">
        <f t="shared" si="3"/>
        <v>#DIV/0!</v>
      </c>
      <c r="O23" s="35" t="e">
        <f t="shared" si="5"/>
        <v>#DIV/0!</v>
      </c>
      <c r="P23" s="36" t="e">
        <f t="shared" si="6"/>
        <v>#DIV/0!</v>
      </c>
      <c r="Q23" s="34">
        <f t="shared" si="4"/>
        <v>0</v>
      </c>
      <c r="R23" s="13">
        <f t="shared" si="7"/>
        <v>0</v>
      </c>
      <c r="S23" s="33">
        <f t="shared" si="10"/>
        <v>0</v>
      </c>
    </row>
    <row r="24" spans="1:19" s="2" customFormat="1" ht="14.65" thickBot="1">
      <c r="A24" s="11">
        <v>44896</v>
      </c>
      <c r="B24" s="53"/>
      <c r="C24" s="9"/>
      <c r="D24" s="9">
        <f t="shared" si="0"/>
        <v>0</v>
      </c>
      <c r="E24" s="9"/>
      <c r="F24" s="9"/>
      <c r="G24" s="9"/>
      <c r="H24" s="9">
        <f t="shared" si="9"/>
        <v>0</v>
      </c>
      <c r="I24" s="9"/>
      <c r="J24" s="9"/>
      <c r="K24" s="26">
        <v>21</v>
      </c>
      <c r="L24" s="10" t="e">
        <f t="shared" si="1"/>
        <v>#DIV/0!</v>
      </c>
      <c r="M24" s="9" t="e">
        <f t="shared" si="2"/>
        <v>#DIV/0!</v>
      </c>
      <c r="N24" s="8" t="e">
        <f t="shared" si="3"/>
        <v>#DIV/0!</v>
      </c>
      <c r="O24" s="32" t="e">
        <f t="shared" si="5"/>
        <v>#DIV/0!</v>
      </c>
      <c r="P24" s="36" t="e">
        <f t="shared" si="6"/>
        <v>#DIV/0!</v>
      </c>
      <c r="Q24" s="10">
        <f t="shared" si="4"/>
        <v>0</v>
      </c>
      <c r="R24" s="8">
        <f t="shared" si="7"/>
        <v>0</v>
      </c>
      <c r="S24" s="7">
        <f t="shared" si="10"/>
        <v>0</v>
      </c>
    </row>
    <row r="25" spans="1:19" s="2" customFormat="1" ht="14.65" thickBot="1">
      <c r="A25" s="31" t="s">
        <v>34</v>
      </c>
      <c r="B25" s="2">
        <f t="shared" ref="B25:C25" si="11">SUM(B13:B24)</f>
        <v>963860</v>
      </c>
      <c r="C25" s="2">
        <f t="shared" si="11"/>
        <v>1206735</v>
      </c>
      <c r="D25" s="2">
        <f>SUM(D13:D24)</f>
        <v>2170595</v>
      </c>
      <c r="E25" s="2">
        <f>SUM(E13:E24)</f>
        <v>565</v>
      </c>
      <c r="H25" s="2">
        <f>SUM(H13:H24)</f>
        <v>20950.300000000003</v>
      </c>
      <c r="L25" s="2" t="e">
        <f>SUM(L13:L24)</f>
        <v>#DIV/0!</v>
      </c>
      <c r="M25" s="2" t="e">
        <f>SUM(M13:M24)</f>
        <v>#DIV/0!</v>
      </c>
      <c r="N25" s="54" t="e">
        <f>AVERAGE(N13:N24)</f>
        <v>#DIV/0!</v>
      </c>
      <c r="O25" s="55" t="e">
        <f>AVERAGE(O13:O24)</f>
        <v>#DIV/0!</v>
      </c>
      <c r="Q25" s="2">
        <f>SUM(Q13:Q24)</f>
        <v>885602.76</v>
      </c>
      <c r="R25" s="2">
        <f t="shared" ref="R25:S25" si="12">SUM(R13:R24)</f>
        <v>734.5</v>
      </c>
      <c r="S25" s="2">
        <f t="shared" si="12"/>
        <v>11.753118300000001</v>
      </c>
    </row>
    <row r="26" spans="1:19" s="2" customFormat="1">
      <c r="A26" s="1"/>
      <c r="E26" s="1"/>
      <c r="F26" s="1"/>
      <c r="G26" s="1"/>
      <c r="H26" s="1"/>
      <c r="I26" s="1"/>
      <c r="J26" s="1"/>
    </row>
    <row r="27" spans="1:19" s="2" customFormat="1" ht="14.65" thickBot="1">
      <c r="A27" s="30"/>
      <c r="E27" s="1"/>
      <c r="F27" s="1"/>
      <c r="G27" s="1"/>
      <c r="H27" s="1"/>
      <c r="I27" s="1"/>
      <c r="J27" s="1"/>
      <c r="N27" s="24"/>
    </row>
    <row r="28" spans="1:19" s="2" customFormat="1" ht="57">
      <c r="A28" s="21" t="s">
        <v>12</v>
      </c>
      <c r="B28" s="23" t="s">
        <v>35</v>
      </c>
      <c r="C28" s="23" t="s">
        <v>41</v>
      </c>
      <c r="D28" s="23" t="s">
        <v>36</v>
      </c>
      <c r="E28" s="59" t="s">
        <v>37</v>
      </c>
      <c r="F28" s="47" t="s">
        <v>38</v>
      </c>
      <c r="G28" s="20" t="s">
        <v>6</v>
      </c>
      <c r="H28" s="20" t="s">
        <v>7</v>
      </c>
      <c r="I28" s="22" t="s">
        <v>8</v>
      </c>
      <c r="J28" s="21" t="s">
        <v>9</v>
      </c>
      <c r="K28" s="20" t="s">
        <v>23</v>
      </c>
      <c r="L28" s="20" t="s">
        <v>10</v>
      </c>
      <c r="M28" s="19" t="s">
        <v>4</v>
      </c>
    </row>
    <row r="29" spans="1:19" s="2" customFormat="1">
      <c r="A29" s="17">
        <v>44197</v>
      </c>
      <c r="B29" s="18">
        <v>111728</v>
      </c>
      <c r="C29" s="14">
        <v>147235</v>
      </c>
      <c r="D29" s="18">
        <f t="shared" ref="D29:D40" si="13">B29+C29</f>
        <v>258963</v>
      </c>
      <c r="E29" s="29">
        <v>49.4</v>
      </c>
      <c r="F29" s="14">
        <v>3037.9</v>
      </c>
      <c r="G29" s="18">
        <v>422</v>
      </c>
      <c r="H29" s="14"/>
      <c r="I29" s="28">
        <v>20</v>
      </c>
      <c r="J29" s="15" t="e">
        <f t="shared" ref="J29:J40" si="14">D29/$D$3</f>
        <v>#DIV/0!</v>
      </c>
      <c r="K29" s="14" t="e">
        <f t="shared" ref="K29:K40" si="15">(B29/$D$4)*(55/60)</f>
        <v>#DIV/0!</v>
      </c>
      <c r="L29" s="13">
        <f>E29*1000/(G29+0.25*H29)/I29</f>
        <v>5.8530805687203786</v>
      </c>
      <c r="M29" s="12"/>
    </row>
    <row r="30" spans="1:19" s="2" customFormat="1">
      <c r="A30" s="17">
        <v>44228</v>
      </c>
      <c r="B30" s="14">
        <v>103992</v>
      </c>
      <c r="C30" s="14">
        <v>141055</v>
      </c>
      <c r="D30" s="14">
        <f t="shared" si="13"/>
        <v>245047</v>
      </c>
      <c r="E30" s="14">
        <v>51.7</v>
      </c>
      <c r="F30" s="14">
        <v>3923.3</v>
      </c>
      <c r="G30" s="18">
        <v>429</v>
      </c>
      <c r="H30" s="14"/>
      <c r="I30" s="28">
        <v>19</v>
      </c>
      <c r="J30" s="15" t="e">
        <f t="shared" si="14"/>
        <v>#DIV/0!</v>
      </c>
      <c r="K30" s="14" t="e">
        <f t="shared" si="15"/>
        <v>#DIV/0!</v>
      </c>
      <c r="L30" s="13">
        <f t="shared" ref="L30:L40" si="16">E30*1000/(G30+0.25*H30)/I30</f>
        <v>6.3427800269905532</v>
      </c>
      <c r="M30" s="12"/>
    </row>
    <row r="31" spans="1:19" s="2" customFormat="1">
      <c r="A31" s="17">
        <v>44256</v>
      </c>
      <c r="B31" s="14">
        <v>123986</v>
      </c>
      <c r="C31" s="14">
        <v>163570</v>
      </c>
      <c r="D31" s="14">
        <f t="shared" si="13"/>
        <v>287556</v>
      </c>
      <c r="E31" s="14">
        <v>75.000000000000014</v>
      </c>
      <c r="F31" s="14">
        <v>3524</v>
      </c>
      <c r="G31" s="18">
        <v>415</v>
      </c>
      <c r="H31" s="14"/>
      <c r="I31" s="28">
        <v>22</v>
      </c>
      <c r="J31" s="15" t="e">
        <f t="shared" si="14"/>
        <v>#DIV/0!</v>
      </c>
      <c r="K31" s="14" t="e">
        <f t="shared" si="15"/>
        <v>#DIV/0!</v>
      </c>
      <c r="L31" s="13">
        <f t="shared" si="16"/>
        <v>8.2146768893756867</v>
      </c>
      <c r="M31" s="12"/>
    </row>
    <row r="32" spans="1:19" s="2" customFormat="1">
      <c r="A32" s="17">
        <v>44287</v>
      </c>
      <c r="B32" s="14">
        <v>112552</v>
      </c>
      <c r="C32" s="14">
        <v>137205</v>
      </c>
      <c r="D32" s="14">
        <f t="shared" si="13"/>
        <v>249757</v>
      </c>
      <c r="E32" s="14">
        <v>66.599999999999994</v>
      </c>
      <c r="F32" s="14">
        <v>3366.2</v>
      </c>
      <c r="G32" s="18">
        <v>478</v>
      </c>
      <c r="H32" s="14"/>
      <c r="I32" s="28">
        <v>21</v>
      </c>
      <c r="J32" s="15" t="e">
        <f t="shared" si="14"/>
        <v>#DIV/0!</v>
      </c>
      <c r="K32" s="14" t="e">
        <f t="shared" si="15"/>
        <v>#DIV/0!</v>
      </c>
      <c r="L32" s="13">
        <f t="shared" si="16"/>
        <v>6.6347878063359236</v>
      </c>
      <c r="M32" s="12"/>
    </row>
    <row r="33" spans="1:13" s="2" customFormat="1">
      <c r="A33" s="17">
        <v>44317</v>
      </c>
      <c r="B33" s="14">
        <v>96098</v>
      </c>
      <c r="C33" s="14">
        <v>147185</v>
      </c>
      <c r="D33" s="14">
        <f t="shared" si="13"/>
        <v>243283</v>
      </c>
      <c r="E33" s="14">
        <v>65</v>
      </c>
      <c r="F33" s="14">
        <v>1718.8</v>
      </c>
      <c r="G33" s="18">
        <v>201</v>
      </c>
      <c r="H33" s="14"/>
      <c r="I33" s="28">
        <v>19</v>
      </c>
      <c r="J33" s="15" t="e">
        <f t="shared" si="14"/>
        <v>#DIV/0!</v>
      </c>
      <c r="K33" s="14" t="e">
        <f t="shared" si="15"/>
        <v>#DIV/0!</v>
      </c>
      <c r="L33" s="13">
        <f t="shared" si="16"/>
        <v>17.020162346163914</v>
      </c>
      <c r="M33" s="12"/>
    </row>
    <row r="34" spans="1:13" s="2" customFormat="1">
      <c r="A34" s="17">
        <v>44348</v>
      </c>
      <c r="B34" s="14">
        <v>81288</v>
      </c>
      <c r="C34" s="14">
        <v>145295</v>
      </c>
      <c r="D34" s="14">
        <f t="shared" si="13"/>
        <v>226583</v>
      </c>
      <c r="E34" s="14">
        <v>66.899999999999991</v>
      </c>
      <c r="F34" s="14">
        <v>4526.3</v>
      </c>
      <c r="G34" s="18">
        <v>58</v>
      </c>
      <c r="H34" s="14"/>
      <c r="I34" s="28">
        <v>22</v>
      </c>
      <c r="J34" s="15" t="e">
        <f t="shared" si="14"/>
        <v>#DIV/0!</v>
      </c>
      <c r="K34" s="14" t="e">
        <f t="shared" si="15"/>
        <v>#DIV/0!</v>
      </c>
      <c r="L34" s="13">
        <f t="shared" si="16"/>
        <v>52.429467084639484</v>
      </c>
      <c r="M34" s="12"/>
    </row>
    <row r="35" spans="1:13" s="2" customFormat="1">
      <c r="A35" s="17">
        <v>44378</v>
      </c>
      <c r="B35" s="14">
        <v>84044</v>
      </c>
      <c r="C35" s="14">
        <v>142785</v>
      </c>
      <c r="D35" s="14">
        <f t="shared" si="13"/>
        <v>226829</v>
      </c>
      <c r="E35" s="14">
        <v>-25.099999999999998</v>
      </c>
      <c r="F35" s="14">
        <v>1290</v>
      </c>
      <c r="G35" s="18">
        <v>93</v>
      </c>
      <c r="H35" s="14"/>
      <c r="I35" s="28">
        <v>21</v>
      </c>
      <c r="J35" s="15" t="e">
        <f t="shared" si="14"/>
        <v>#DIV/0!</v>
      </c>
      <c r="K35" s="14" t="e">
        <f t="shared" si="15"/>
        <v>#DIV/0!</v>
      </c>
      <c r="L35" s="13">
        <f t="shared" si="16"/>
        <v>-12.852022529441884</v>
      </c>
      <c r="M35" s="12"/>
    </row>
    <row r="36" spans="1:13" s="2" customFormat="1">
      <c r="A36" s="17">
        <v>44409</v>
      </c>
      <c r="B36" s="14">
        <v>93438</v>
      </c>
      <c r="C36" s="14">
        <v>152340</v>
      </c>
      <c r="D36" s="14">
        <f t="shared" si="13"/>
        <v>245778</v>
      </c>
      <c r="E36" s="14">
        <v>23.300000000000004</v>
      </c>
      <c r="F36" s="14">
        <v>1534</v>
      </c>
      <c r="G36" s="18">
        <v>152</v>
      </c>
      <c r="H36" s="14"/>
      <c r="I36" s="28">
        <v>21</v>
      </c>
      <c r="J36" s="15" t="e">
        <f t="shared" si="14"/>
        <v>#DIV/0!</v>
      </c>
      <c r="K36" s="14" t="e">
        <f t="shared" si="15"/>
        <v>#DIV/0!</v>
      </c>
      <c r="L36" s="13">
        <f t="shared" si="16"/>
        <v>7.2994987468671688</v>
      </c>
      <c r="M36" s="12"/>
    </row>
    <row r="37" spans="1:13" s="2" customFormat="1">
      <c r="A37" s="17">
        <v>44440</v>
      </c>
      <c r="B37" s="14">
        <v>98944</v>
      </c>
      <c r="C37" s="14">
        <v>136910</v>
      </c>
      <c r="D37" s="14">
        <f t="shared" si="13"/>
        <v>235854</v>
      </c>
      <c r="E37" s="14">
        <v>42.1</v>
      </c>
      <c r="F37" s="14">
        <v>2546.6</v>
      </c>
      <c r="G37" s="18">
        <v>258</v>
      </c>
      <c r="H37" s="14"/>
      <c r="I37" s="28">
        <v>22</v>
      </c>
      <c r="J37" s="15" t="e">
        <f t="shared" si="14"/>
        <v>#DIV/0!</v>
      </c>
      <c r="K37" s="14" t="e">
        <f t="shared" si="15"/>
        <v>#DIV/0!</v>
      </c>
      <c r="L37" s="13">
        <f t="shared" si="16"/>
        <v>7.417195207892882</v>
      </c>
      <c r="M37" s="12"/>
    </row>
    <row r="38" spans="1:13" s="2" customFormat="1">
      <c r="A38" s="17">
        <v>44470</v>
      </c>
      <c r="B38" s="14">
        <v>84712</v>
      </c>
      <c r="C38" s="14">
        <v>139980</v>
      </c>
      <c r="D38" s="14">
        <f t="shared" si="13"/>
        <v>224692</v>
      </c>
      <c r="E38" s="14">
        <v>32.099999999999994</v>
      </c>
      <c r="F38" s="14">
        <v>1059.7</v>
      </c>
      <c r="G38" s="18">
        <v>76</v>
      </c>
      <c r="H38" s="14"/>
      <c r="I38" s="28">
        <v>21</v>
      </c>
      <c r="J38" s="15" t="e">
        <f t="shared" si="14"/>
        <v>#DIV/0!</v>
      </c>
      <c r="K38" s="14" t="e">
        <f t="shared" si="15"/>
        <v>#DIV/0!</v>
      </c>
      <c r="L38" s="13">
        <f t="shared" si="16"/>
        <v>20.112781954887215</v>
      </c>
      <c r="M38" s="12"/>
    </row>
    <row r="39" spans="1:13" s="2" customFormat="1">
      <c r="A39" s="17">
        <v>44501</v>
      </c>
      <c r="B39" s="14">
        <v>80026</v>
      </c>
      <c r="C39" s="14">
        <v>125850</v>
      </c>
      <c r="D39" s="14">
        <f t="shared" si="13"/>
        <v>205876</v>
      </c>
      <c r="E39" s="14">
        <v>21.500000000000007</v>
      </c>
      <c r="F39" s="14">
        <v>987.7</v>
      </c>
      <c r="G39" s="18">
        <v>85</v>
      </c>
      <c r="H39" s="14"/>
      <c r="I39" s="28">
        <v>21</v>
      </c>
      <c r="J39" s="15" t="e">
        <f t="shared" si="14"/>
        <v>#DIV/0!</v>
      </c>
      <c r="K39" s="14" t="e">
        <f t="shared" si="15"/>
        <v>#DIV/0!</v>
      </c>
      <c r="L39" s="13">
        <f t="shared" si="16"/>
        <v>12.044817927170872</v>
      </c>
      <c r="M39" s="12"/>
    </row>
    <row r="40" spans="1:13" s="2" customFormat="1" ht="14.65" thickBot="1">
      <c r="A40" s="11">
        <v>44531</v>
      </c>
      <c r="B40" s="9">
        <v>84322</v>
      </c>
      <c r="C40" s="9">
        <v>132295</v>
      </c>
      <c r="D40" s="9">
        <f t="shared" si="13"/>
        <v>216617</v>
      </c>
      <c r="E40" s="9">
        <v>28.700000000000003</v>
      </c>
      <c r="F40" s="9">
        <v>1006.8</v>
      </c>
      <c r="G40" s="27">
        <v>83</v>
      </c>
      <c r="H40" s="9"/>
      <c r="I40" s="26">
        <v>23</v>
      </c>
      <c r="J40" s="10" t="e">
        <f t="shared" si="14"/>
        <v>#DIV/0!</v>
      </c>
      <c r="K40" s="9" t="e">
        <f t="shared" si="15"/>
        <v>#DIV/0!</v>
      </c>
      <c r="L40" s="8">
        <f t="shared" si="16"/>
        <v>15.034049240440025</v>
      </c>
      <c r="M40" s="7"/>
    </row>
    <row r="41" spans="1:13" s="2" customFormat="1" ht="14.65" thickBot="1">
      <c r="A41" s="6" t="s">
        <v>24</v>
      </c>
      <c r="B41" s="5">
        <f>SUM(B29:B40)</f>
        <v>1155130</v>
      </c>
      <c r="D41" s="5">
        <f>SUM(D29:D40)</f>
        <v>2866835</v>
      </c>
      <c r="E41" s="5">
        <f t="shared" ref="E41:F41" si="17">SUM(E29:E40)</f>
        <v>497.2</v>
      </c>
      <c r="F41" s="5">
        <f t="shared" si="17"/>
        <v>28521.3</v>
      </c>
      <c r="J41" s="2" t="e">
        <f>SUM(J29:J40)</f>
        <v>#DIV/0!</v>
      </c>
      <c r="K41" s="2" t="e">
        <f>SUM(K29:K40)</f>
        <v>#DIV/0!</v>
      </c>
      <c r="L41" s="4">
        <f>AVERAGE(L29:L40)</f>
        <v>12.129272939170185</v>
      </c>
      <c r="M41" s="3"/>
    </row>
    <row r="42" spans="1:13" s="2" customFormat="1">
      <c r="L42" s="24"/>
    </row>
    <row r="43" spans="1:13" s="2" customFormat="1" ht="14.65" thickBot="1">
      <c r="A43" s="1"/>
      <c r="B43" s="1"/>
      <c r="E43" s="1"/>
      <c r="F43" s="1"/>
      <c r="G43" s="1"/>
      <c r="H43" s="1"/>
    </row>
    <row r="44" spans="1:13" s="2" customFormat="1" ht="57">
      <c r="A44" s="21" t="s">
        <v>12</v>
      </c>
      <c r="B44" s="23" t="s">
        <v>35</v>
      </c>
      <c r="C44" s="23" t="s">
        <v>41</v>
      </c>
      <c r="D44" s="23" t="s">
        <v>36</v>
      </c>
      <c r="E44" s="59" t="s">
        <v>37</v>
      </c>
      <c r="F44" s="47" t="s">
        <v>38</v>
      </c>
      <c r="G44" s="20" t="s">
        <v>6</v>
      </c>
      <c r="H44" s="20" t="s">
        <v>7</v>
      </c>
      <c r="I44" s="22" t="s">
        <v>8</v>
      </c>
      <c r="J44" s="21" t="s">
        <v>9</v>
      </c>
      <c r="K44" s="20" t="s">
        <v>23</v>
      </c>
      <c r="L44" s="20" t="s">
        <v>10</v>
      </c>
      <c r="M44" s="19" t="s">
        <v>4</v>
      </c>
    </row>
    <row r="45" spans="1:13" s="2" customFormat="1">
      <c r="A45" s="17">
        <v>43831</v>
      </c>
      <c r="B45" s="18">
        <v>138252</v>
      </c>
      <c r="C45" s="18">
        <f t="shared" ref="C45:C56" si="18">D45-B45</f>
        <v>169010</v>
      </c>
      <c r="D45" s="14">
        <v>307262</v>
      </c>
      <c r="E45" s="29">
        <v>139.00000000000003</v>
      </c>
      <c r="F45" s="14"/>
      <c r="G45" s="14">
        <v>1244</v>
      </c>
      <c r="H45" s="14"/>
      <c r="I45" s="16">
        <f>$K$11</f>
        <v>21.666666666666668</v>
      </c>
      <c r="J45" s="15" t="e">
        <f t="shared" ref="J45:J56" si="19">D45/$D$3</f>
        <v>#DIV/0!</v>
      </c>
      <c r="K45" s="14" t="e">
        <f t="shared" ref="K45:K56" si="20">(B45/$D$4)*(55/60)</f>
        <v>#DIV/0!</v>
      </c>
      <c r="L45" s="13">
        <f>E45*1000/(G45+0.25*H45)/I45</f>
        <v>5.1570615879297561</v>
      </c>
      <c r="M45" s="12"/>
    </row>
    <row r="46" spans="1:13" s="2" customFormat="1">
      <c r="A46" s="17">
        <v>43862</v>
      </c>
      <c r="B46" s="14">
        <v>121340</v>
      </c>
      <c r="C46" s="14">
        <f t="shared" si="18"/>
        <v>146620</v>
      </c>
      <c r="D46" s="14">
        <v>267960</v>
      </c>
      <c r="E46" s="14">
        <v>160.80000000000001</v>
      </c>
      <c r="F46" s="14"/>
      <c r="G46" s="14">
        <v>1244</v>
      </c>
      <c r="H46" s="14"/>
      <c r="I46" s="16">
        <f>$K$11</f>
        <v>21.666666666666668</v>
      </c>
      <c r="J46" s="15" t="e">
        <f t="shared" si="19"/>
        <v>#DIV/0!</v>
      </c>
      <c r="K46" s="14" t="e">
        <f t="shared" si="20"/>
        <v>#DIV/0!</v>
      </c>
      <c r="L46" s="13">
        <f t="shared" ref="L46:L56" si="21">E46*1000/(G46+0.25*H46)/I46</f>
        <v>5.9658669304971559</v>
      </c>
      <c r="M46" s="12"/>
    </row>
    <row r="47" spans="1:13" s="2" customFormat="1">
      <c r="A47" s="17">
        <v>43891</v>
      </c>
      <c r="B47" s="14">
        <v>134758</v>
      </c>
      <c r="C47" s="14">
        <f t="shared" si="18"/>
        <v>166695</v>
      </c>
      <c r="D47" s="14">
        <v>301453</v>
      </c>
      <c r="E47" s="14">
        <v>182.7</v>
      </c>
      <c r="F47" s="14"/>
      <c r="G47" s="14">
        <v>1244</v>
      </c>
      <c r="H47" s="14"/>
      <c r="I47" s="16">
        <f>$K$11</f>
        <v>21.666666666666668</v>
      </c>
      <c r="J47" s="15" t="e">
        <f t="shared" si="19"/>
        <v>#DIV/0!</v>
      </c>
      <c r="K47" s="14" t="e">
        <f t="shared" si="20"/>
        <v>#DIV/0!</v>
      </c>
      <c r="L47" s="13">
        <f t="shared" si="21"/>
        <v>6.7783823893148645</v>
      </c>
      <c r="M47" s="12"/>
    </row>
    <row r="48" spans="1:13" s="2" customFormat="1">
      <c r="A48" s="17">
        <v>43922</v>
      </c>
      <c r="B48" s="14">
        <v>130002</v>
      </c>
      <c r="C48" s="14">
        <f t="shared" si="18"/>
        <v>159010</v>
      </c>
      <c r="D48" s="14">
        <v>289012</v>
      </c>
      <c r="E48" s="14">
        <v>176.9</v>
      </c>
      <c r="F48" s="14"/>
      <c r="G48" s="14">
        <v>46</v>
      </c>
      <c r="H48" s="14"/>
      <c r="I48" s="28">
        <v>20</v>
      </c>
      <c r="J48" s="15" t="e">
        <f t="shared" si="19"/>
        <v>#DIV/0!</v>
      </c>
      <c r="K48" s="14" t="e">
        <f t="shared" si="20"/>
        <v>#DIV/0!</v>
      </c>
      <c r="L48" s="13">
        <f t="shared" si="21"/>
        <v>192.28260869565219</v>
      </c>
      <c r="M48" s="12"/>
    </row>
    <row r="49" spans="1:13">
      <c r="A49" s="17">
        <v>43952</v>
      </c>
      <c r="B49" s="14">
        <v>35072</v>
      </c>
      <c r="C49" s="14">
        <f t="shared" si="18"/>
        <v>147420</v>
      </c>
      <c r="D49" s="14">
        <v>182492</v>
      </c>
      <c r="E49" s="14">
        <v>177.4</v>
      </c>
      <c r="F49" s="14"/>
      <c r="G49" s="14">
        <v>24</v>
      </c>
      <c r="H49" s="14"/>
      <c r="I49" s="28">
        <v>18</v>
      </c>
      <c r="J49" s="15" t="e">
        <f t="shared" si="19"/>
        <v>#DIV/0!</v>
      </c>
      <c r="K49" s="14" t="e">
        <f t="shared" si="20"/>
        <v>#DIV/0!</v>
      </c>
      <c r="L49" s="13">
        <f t="shared" si="21"/>
        <v>410.64814814814815</v>
      </c>
      <c r="M49" s="12"/>
    </row>
    <row r="50" spans="1:13">
      <c r="A50" s="17">
        <v>43983</v>
      </c>
      <c r="B50" s="14">
        <v>95276</v>
      </c>
      <c r="C50" s="14">
        <f t="shared" si="18"/>
        <v>165795</v>
      </c>
      <c r="D50" s="14">
        <v>261071</v>
      </c>
      <c r="E50" s="14">
        <v>183.5</v>
      </c>
      <c r="F50" s="14"/>
      <c r="G50" s="18">
        <v>63</v>
      </c>
      <c r="H50" s="14"/>
      <c r="I50" s="28">
        <v>22</v>
      </c>
      <c r="J50" s="15" t="e">
        <f t="shared" si="19"/>
        <v>#DIV/0!</v>
      </c>
      <c r="K50" s="14" t="e">
        <f t="shared" si="20"/>
        <v>#DIV/0!</v>
      </c>
      <c r="L50" s="13">
        <f t="shared" si="21"/>
        <v>132.3953823953824</v>
      </c>
      <c r="M50" s="12"/>
    </row>
    <row r="51" spans="1:13">
      <c r="A51" s="17">
        <v>44013</v>
      </c>
      <c r="B51" s="14">
        <v>95260</v>
      </c>
      <c r="C51" s="14">
        <f t="shared" si="18"/>
        <v>155030</v>
      </c>
      <c r="D51" s="14">
        <v>250290</v>
      </c>
      <c r="E51" s="14">
        <v>-403</v>
      </c>
      <c r="F51" s="14"/>
      <c r="G51" s="18">
        <v>140</v>
      </c>
      <c r="H51" s="14"/>
      <c r="I51" s="28">
        <v>21</v>
      </c>
      <c r="J51" s="15" t="e">
        <f t="shared" si="19"/>
        <v>#DIV/0!</v>
      </c>
      <c r="K51" s="14" t="e">
        <f t="shared" si="20"/>
        <v>#DIV/0!</v>
      </c>
      <c r="L51" s="13">
        <f t="shared" si="21"/>
        <v>-137.07482993197277</v>
      </c>
      <c r="M51" s="12"/>
    </row>
    <row r="52" spans="1:13">
      <c r="A52" s="17">
        <v>44044</v>
      </c>
      <c r="B52" s="14">
        <v>105380</v>
      </c>
      <c r="C52" s="14">
        <f t="shared" si="18"/>
        <v>165210</v>
      </c>
      <c r="D52" s="14">
        <v>270590</v>
      </c>
      <c r="E52" s="14">
        <v>28.8</v>
      </c>
      <c r="F52" s="14"/>
      <c r="G52" s="18">
        <v>231</v>
      </c>
      <c r="H52" s="14"/>
      <c r="I52" s="28">
        <v>20</v>
      </c>
      <c r="J52" s="15" t="e">
        <f t="shared" si="19"/>
        <v>#DIV/0!</v>
      </c>
      <c r="K52" s="14" t="e">
        <f t="shared" si="20"/>
        <v>#DIV/0!</v>
      </c>
      <c r="L52" s="13">
        <f t="shared" si="21"/>
        <v>6.2337662337662341</v>
      </c>
      <c r="M52" s="12"/>
    </row>
    <row r="53" spans="1:13">
      <c r="A53" s="17">
        <v>44075</v>
      </c>
      <c r="B53" s="14">
        <v>110002</v>
      </c>
      <c r="C53" s="14">
        <f t="shared" si="18"/>
        <v>152070</v>
      </c>
      <c r="D53" s="14">
        <v>262072</v>
      </c>
      <c r="E53" s="14">
        <v>35.5</v>
      </c>
      <c r="F53" s="14"/>
      <c r="G53" s="18">
        <v>298</v>
      </c>
      <c r="H53" s="14"/>
      <c r="I53" s="28">
        <v>22</v>
      </c>
      <c r="J53" s="15" t="e">
        <f t="shared" si="19"/>
        <v>#DIV/0!</v>
      </c>
      <c r="K53" s="14" t="e">
        <f t="shared" si="20"/>
        <v>#DIV/0!</v>
      </c>
      <c r="L53" s="13">
        <f t="shared" si="21"/>
        <v>5.4148871262965219</v>
      </c>
      <c r="M53" s="12"/>
    </row>
    <row r="54" spans="1:13">
      <c r="A54" s="17">
        <v>44105</v>
      </c>
      <c r="B54" s="14">
        <v>116150</v>
      </c>
      <c r="C54" s="14">
        <f t="shared" si="18"/>
        <v>153225</v>
      </c>
      <c r="D54" s="14">
        <v>269375</v>
      </c>
      <c r="E54" s="14">
        <v>30.7</v>
      </c>
      <c r="F54" s="14"/>
      <c r="G54" s="18">
        <v>497</v>
      </c>
      <c r="H54" s="14"/>
      <c r="I54" s="28">
        <v>22</v>
      </c>
      <c r="J54" s="15" t="e">
        <f t="shared" si="19"/>
        <v>#DIV/0!</v>
      </c>
      <c r="K54" s="14" t="e">
        <f t="shared" si="20"/>
        <v>#DIV/0!</v>
      </c>
      <c r="L54" s="13">
        <f t="shared" si="21"/>
        <v>2.8077556246570334</v>
      </c>
      <c r="M54" s="12"/>
    </row>
    <row r="55" spans="1:13">
      <c r="A55" s="17">
        <v>44136</v>
      </c>
      <c r="B55" s="14">
        <v>116448</v>
      </c>
      <c r="C55" s="14">
        <f t="shared" si="18"/>
        <v>155765</v>
      </c>
      <c r="D55" s="14">
        <v>272213</v>
      </c>
      <c r="E55" s="14">
        <v>72.900000000000006</v>
      </c>
      <c r="F55" s="14"/>
      <c r="G55" s="18">
        <v>425</v>
      </c>
      <c r="H55" s="14"/>
      <c r="I55" s="28">
        <v>21</v>
      </c>
      <c r="J55" s="15" t="e">
        <f t="shared" si="19"/>
        <v>#DIV/0!</v>
      </c>
      <c r="K55" s="14" t="e">
        <f t="shared" si="20"/>
        <v>#DIV/0!</v>
      </c>
      <c r="L55" s="13">
        <f t="shared" si="21"/>
        <v>8.1680672268907557</v>
      </c>
      <c r="M55" s="12"/>
    </row>
    <row r="56" spans="1:13" ht="14.65" thickBot="1">
      <c r="A56" s="11">
        <v>44166</v>
      </c>
      <c r="B56" s="9">
        <v>110970</v>
      </c>
      <c r="C56" s="9">
        <f t="shared" si="18"/>
        <v>149280</v>
      </c>
      <c r="D56" s="9">
        <v>260250</v>
      </c>
      <c r="E56" s="9">
        <v>54.2</v>
      </c>
      <c r="F56" s="9"/>
      <c r="G56" s="27">
        <v>327</v>
      </c>
      <c r="H56" s="9"/>
      <c r="I56" s="26">
        <v>22</v>
      </c>
      <c r="J56" s="10" t="e">
        <f t="shared" si="19"/>
        <v>#DIV/0!</v>
      </c>
      <c r="K56" s="9" t="e">
        <f t="shared" si="20"/>
        <v>#DIV/0!</v>
      </c>
      <c r="L56" s="8">
        <f t="shared" si="21"/>
        <v>7.5340561579093697</v>
      </c>
      <c r="M56" s="7"/>
    </row>
    <row r="57" spans="1:13" ht="14.65" thickBot="1">
      <c r="A57" s="6" t="s">
        <v>24</v>
      </c>
      <c r="B57" s="5">
        <f>SUM(B45:B56)</f>
        <v>1308910</v>
      </c>
      <c r="D57" s="2">
        <f>SUM(D45:D56)</f>
        <v>3194040</v>
      </c>
      <c r="E57" s="5">
        <f>SUM(E45:E56)</f>
        <v>839.40000000000009</v>
      </c>
      <c r="F57" s="5">
        <f t="shared" ref="F57:G57" si="22">SUM(F45:F56)</f>
        <v>0</v>
      </c>
      <c r="G57" s="5">
        <f t="shared" si="22"/>
        <v>5783</v>
      </c>
      <c r="H57" s="2"/>
      <c r="J57" s="2" t="e">
        <f>SUM(J45:J56)</f>
        <v>#DIV/0!</v>
      </c>
      <c r="K57" s="2" t="e">
        <f>SUM(K45:K56)</f>
        <v>#DIV/0!</v>
      </c>
      <c r="L57" s="54">
        <f>AVERAGE(L45:L56)</f>
        <v>53.859262715372644</v>
      </c>
      <c r="M57" s="56"/>
    </row>
    <row r="58" spans="1:13">
      <c r="A58" s="2"/>
      <c r="B58" s="2"/>
      <c r="E58" s="2"/>
      <c r="F58" s="2"/>
      <c r="G58" s="2"/>
      <c r="H58" s="2"/>
      <c r="L58" s="24"/>
    </row>
    <row r="59" spans="1:13" ht="14.65" thickBot="1"/>
    <row r="60" spans="1:13" ht="57">
      <c r="A60" s="21" t="s">
        <v>12</v>
      </c>
      <c r="B60" s="23" t="s">
        <v>35</v>
      </c>
      <c r="C60" s="23" t="s">
        <v>41</v>
      </c>
      <c r="D60" s="23" t="s">
        <v>36</v>
      </c>
      <c r="E60" s="59" t="s">
        <v>37</v>
      </c>
      <c r="F60" s="47" t="s">
        <v>38</v>
      </c>
      <c r="G60" s="20" t="s">
        <v>6</v>
      </c>
      <c r="H60" s="20" t="s">
        <v>7</v>
      </c>
      <c r="I60" s="22" t="s">
        <v>8</v>
      </c>
      <c r="J60" s="21" t="s">
        <v>9</v>
      </c>
      <c r="K60" s="20" t="s">
        <v>23</v>
      </c>
      <c r="L60" s="20" t="s">
        <v>10</v>
      </c>
      <c r="M60" s="19" t="s">
        <v>4</v>
      </c>
    </row>
    <row r="61" spans="1:13">
      <c r="A61" s="17">
        <v>43466</v>
      </c>
      <c r="B61" s="18">
        <v>138794</v>
      </c>
      <c r="C61" s="18">
        <f t="shared" ref="C61:C72" si="23">D61-B61</f>
        <v>190415</v>
      </c>
      <c r="D61" s="14">
        <v>329209</v>
      </c>
      <c r="E61" s="13">
        <v>152.19999999999999</v>
      </c>
      <c r="F61" s="14"/>
      <c r="G61" s="14">
        <v>1124</v>
      </c>
      <c r="H61" s="14"/>
      <c r="I61" s="16">
        <f t="shared" ref="I61:I72" si="24">$K$11</f>
        <v>21.666666666666668</v>
      </c>
      <c r="J61" s="15" t="e">
        <f t="shared" ref="J61:J72" si="25">D61/$D$3</f>
        <v>#DIV/0!</v>
      </c>
      <c r="K61" s="14" t="e">
        <f t="shared" ref="K61:K72" si="26">(B61/$D$4)*(55/60)</f>
        <v>#DIV/0!</v>
      </c>
      <c r="L61" s="13">
        <f t="shared" ref="L61:L72" si="27">E61*1000/(G61+0.25*H61)/I61</f>
        <v>6.249657815494114</v>
      </c>
      <c r="M61" s="12"/>
    </row>
    <row r="62" spans="1:13">
      <c r="A62" s="17">
        <v>43497</v>
      </c>
      <c r="B62" s="14">
        <v>113702</v>
      </c>
      <c r="C62" s="14">
        <f t="shared" si="23"/>
        <v>142540</v>
      </c>
      <c r="D62" s="14">
        <v>256242</v>
      </c>
      <c r="E62" s="14">
        <v>156.10000000000002</v>
      </c>
      <c r="F62" s="14"/>
      <c r="G62" s="14">
        <v>1124</v>
      </c>
      <c r="H62" s="14"/>
      <c r="I62" s="16">
        <f t="shared" si="24"/>
        <v>21.666666666666668</v>
      </c>
      <c r="J62" s="15" t="e">
        <f t="shared" si="25"/>
        <v>#DIV/0!</v>
      </c>
      <c r="K62" s="14" t="e">
        <f t="shared" si="26"/>
        <v>#DIV/0!</v>
      </c>
      <c r="L62" s="13">
        <f t="shared" si="27"/>
        <v>6.4098001642485638</v>
      </c>
      <c r="M62" s="12"/>
    </row>
    <row r="63" spans="1:13">
      <c r="A63" s="17">
        <v>43525</v>
      </c>
      <c r="B63" s="14">
        <v>125166</v>
      </c>
      <c r="C63" s="14">
        <f t="shared" si="23"/>
        <v>155880</v>
      </c>
      <c r="D63" s="14">
        <v>281046</v>
      </c>
      <c r="E63" s="14">
        <v>183.4</v>
      </c>
      <c r="F63" s="14"/>
      <c r="G63" s="14">
        <v>1124</v>
      </c>
      <c r="H63" s="14"/>
      <c r="I63" s="16">
        <f t="shared" si="24"/>
        <v>21.666666666666668</v>
      </c>
      <c r="J63" s="15" t="e">
        <f t="shared" si="25"/>
        <v>#DIV/0!</v>
      </c>
      <c r="K63" s="14" t="e">
        <f t="shared" si="26"/>
        <v>#DIV/0!</v>
      </c>
      <c r="L63" s="13">
        <f t="shared" si="27"/>
        <v>7.5307966055297015</v>
      </c>
      <c r="M63" s="12"/>
    </row>
    <row r="64" spans="1:13">
      <c r="A64" s="17">
        <v>43556</v>
      </c>
      <c r="B64" s="14">
        <v>134832</v>
      </c>
      <c r="C64" s="14">
        <f t="shared" si="23"/>
        <v>176415</v>
      </c>
      <c r="D64" s="14">
        <v>311247</v>
      </c>
      <c r="E64" s="14">
        <v>161.19999999999999</v>
      </c>
      <c r="F64" s="14"/>
      <c r="G64" s="14">
        <v>1244</v>
      </c>
      <c r="H64" s="14"/>
      <c r="I64" s="16">
        <f t="shared" si="24"/>
        <v>21.666666666666668</v>
      </c>
      <c r="J64" s="15" t="e">
        <f t="shared" si="25"/>
        <v>#DIV/0!</v>
      </c>
      <c r="K64" s="14" t="e">
        <f t="shared" si="26"/>
        <v>#DIV/0!</v>
      </c>
      <c r="L64" s="13">
        <f t="shared" si="27"/>
        <v>5.980707395498392</v>
      </c>
      <c r="M64" s="12"/>
    </row>
    <row r="65" spans="1:13">
      <c r="A65" s="17">
        <v>43586</v>
      </c>
      <c r="B65" s="14">
        <v>133088</v>
      </c>
      <c r="C65" s="14">
        <f t="shared" si="23"/>
        <v>172025</v>
      </c>
      <c r="D65" s="14">
        <v>305113</v>
      </c>
      <c r="E65" s="14">
        <v>191.9</v>
      </c>
      <c r="F65" s="14"/>
      <c r="G65" s="14">
        <v>1244</v>
      </c>
      <c r="H65" s="14"/>
      <c r="I65" s="16">
        <f t="shared" si="24"/>
        <v>21.666666666666668</v>
      </c>
      <c r="J65" s="15" t="e">
        <f t="shared" si="25"/>
        <v>#DIV/0!</v>
      </c>
      <c r="K65" s="14" t="e">
        <f t="shared" si="26"/>
        <v>#DIV/0!</v>
      </c>
      <c r="L65" s="13">
        <f t="shared" si="27"/>
        <v>7.1197130843433092</v>
      </c>
      <c r="M65" s="12"/>
    </row>
    <row r="66" spans="1:13">
      <c r="A66" s="17">
        <v>43617</v>
      </c>
      <c r="B66" s="14">
        <v>118320</v>
      </c>
      <c r="C66" s="14">
        <f t="shared" si="23"/>
        <v>153120</v>
      </c>
      <c r="D66" s="14">
        <v>271440</v>
      </c>
      <c r="E66" s="14">
        <v>203.8</v>
      </c>
      <c r="F66" s="14"/>
      <c r="G66" s="14">
        <v>1244</v>
      </c>
      <c r="H66" s="14"/>
      <c r="I66" s="16">
        <f t="shared" si="24"/>
        <v>21.666666666666668</v>
      </c>
      <c r="J66" s="15" t="e">
        <f t="shared" si="25"/>
        <v>#DIV/0!</v>
      </c>
      <c r="K66" s="14" t="e">
        <f t="shared" si="26"/>
        <v>#DIV/0!</v>
      </c>
      <c r="L66" s="13">
        <f t="shared" si="27"/>
        <v>7.5612169181301017</v>
      </c>
      <c r="M66" s="12"/>
    </row>
    <row r="67" spans="1:13">
      <c r="A67" s="17">
        <v>43647</v>
      </c>
      <c r="B67" s="14">
        <v>144152</v>
      </c>
      <c r="C67" s="14">
        <f t="shared" si="23"/>
        <v>180785</v>
      </c>
      <c r="D67" s="14">
        <v>324937</v>
      </c>
      <c r="E67" s="14">
        <v>164.8</v>
      </c>
      <c r="F67" s="14"/>
      <c r="G67" s="14">
        <v>1244</v>
      </c>
      <c r="H67" s="14"/>
      <c r="I67" s="16">
        <f t="shared" si="24"/>
        <v>21.666666666666668</v>
      </c>
      <c r="J67" s="15" t="e">
        <f t="shared" si="25"/>
        <v>#DIV/0!</v>
      </c>
      <c r="K67" s="14" t="e">
        <f t="shared" si="26"/>
        <v>#DIV/0!</v>
      </c>
      <c r="L67" s="13">
        <f t="shared" si="27"/>
        <v>6.1142715805095227</v>
      </c>
      <c r="M67" s="12"/>
    </row>
    <row r="68" spans="1:13">
      <c r="A68" s="17">
        <v>43678</v>
      </c>
      <c r="B68" s="14">
        <v>129208</v>
      </c>
      <c r="C68" s="14">
        <f t="shared" si="23"/>
        <v>162650</v>
      </c>
      <c r="D68" s="14">
        <v>291858</v>
      </c>
      <c r="E68" s="14">
        <v>181.40000000000003</v>
      </c>
      <c r="F68" s="14"/>
      <c r="G68" s="14">
        <v>1244</v>
      </c>
      <c r="H68" s="14"/>
      <c r="I68" s="16">
        <f t="shared" si="24"/>
        <v>21.666666666666668</v>
      </c>
      <c r="J68" s="15" t="e">
        <f t="shared" si="25"/>
        <v>#DIV/0!</v>
      </c>
      <c r="K68" s="14" t="e">
        <f t="shared" si="26"/>
        <v>#DIV/0!</v>
      </c>
      <c r="L68" s="13">
        <f t="shared" si="27"/>
        <v>6.7301508780608472</v>
      </c>
      <c r="M68" s="12"/>
    </row>
    <row r="69" spans="1:13">
      <c r="A69" s="17">
        <v>43709</v>
      </c>
      <c r="B69" s="14">
        <v>133534</v>
      </c>
      <c r="C69" s="14">
        <f t="shared" si="23"/>
        <v>166385</v>
      </c>
      <c r="D69" s="14">
        <v>299919</v>
      </c>
      <c r="E69" s="14">
        <v>296</v>
      </c>
      <c r="F69" s="14"/>
      <c r="G69" s="14">
        <v>1244</v>
      </c>
      <c r="H69" s="14"/>
      <c r="I69" s="16">
        <f t="shared" si="24"/>
        <v>21.666666666666668</v>
      </c>
      <c r="J69" s="15" t="e">
        <f t="shared" si="25"/>
        <v>#DIV/0!</v>
      </c>
      <c r="K69" s="14" t="e">
        <f t="shared" si="26"/>
        <v>#DIV/0!</v>
      </c>
      <c r="L69" s="13">
        <f t="shared" si="27"/>
        <v>10.981944100915161</v>
      </c>
      <c r="M69" s="12"/>
    </row>
    <row r="70" spans="1:13">
      <c r="A70" s="17">
        <v>43739</v>
      </c>
      <c r="B70" s="14">
        <v>133444</v>
      </c>
      <c r="C70" s="14">
        <f t="shared" si="23"/>
        <v>160437</v>
      </c>
      <c r="D70" s="14">
        <v>293881</v>
      </c>
      <c r="E70" s="14">
        <v>231.1</v>
      </c>
      <c r="F70" s="14"/>
      <c r="G70" s="14">
        <v>1244</v>
      </c>
      <c r="H70" s="14"/>
      <c r="I70" s="16">
        <f t="shared" si="24"/>
        <v>21.666666666666668</v>
      </c>
      <c r="J70" s="15" t="e">
        <f t="shared" si="25"/>
        <v>#DIV/0!</v>
      </c>
      <c r="K70" s="14" t="e">
        <f t="shared" si="26"/>
        <v>#DIV/0!</v>
      </c>
      <c r="L70" s="13">
        <f t="shared" si="27"/>
        <v>8.5740786544645058</v>
      </c>
      <c r="M70" s="12"/>
    </row>
    <row r="71" spans="1:13">
      <c r="A71" s="17">
        <v>43770</v>
      </c>
      <c r="B71" s="14">
        <v>129542</v>
      </c>
      <c r="C71" s="14">
        <f t="shared" si="23"/>
        <v>153775</v>
      </c>
      <c r="D71" s="14">
        <v>283317</v>
      </c>
      <c r="E71" s="14">
        <v>100.50000000000001</v>
      </c>
      <c r="F71" s="14"/>
      <c r="G71" s="14">
        <v>1244</v>
      </c>
      <c r="H71" s="14"/>
      <c r="I71" s="16">
        <f t="shared" si="24"/>
        <v>21.666666666666668</v>
      </c>
      <c r="J71" s="15" t="e">
        <f t="shared" si="25"/>
        <v>#DIV/0!</v>
      </c>
      <c r="K71" s="14" t="e">
        <f t="shared" si="26"/>
        <v>#DIV/0!</v>
      </c>
      <c r="L71" s="13">
        <f t="shared" si="27"/>
        <v>3.728666831560723</v>
      </c>
      <c r="M71" s="12"/>
    </row>
    <row r="72" spans="1:13" ht="14.65" thickBot="1">
      <c r="A72" s="11">
        <v>43800</v>
      </c>
      <c r="B72" s="9">
        <v>127810</v>
      </c>
      <c r="C72" s="9">
        <f t="shared" si="23"/>
        <v>162465</v>
      </c>
      <c r="D72" s="9">
        <v>290275</v>
      </c>
      <c r="E72" s="9">
        <v>163.80000000000001</v>
      </c>
      <c r="F72" s="9"/>
      <c r="G72" s="9">
        <v>1244</v>
      </c>
      <c r="H72" s="9"/>
      <c r="I72" s="25">
        <f t="shared" si="24"/>
        <v>21.666666666666668</v>
      </c>
      <c r="J72" s="10" t="e">
        <f t="shared" si="25"/>
        <v>#DIV/0!</v>
      </c>
      <c r="K72" s="9" t="e">
        <f t="shared" si="26"/>
        <v>#DIV/0!</v>
      </c>
      <c r="L72" s="8">
        <f t="shared" si="27"/>
        <v>6.077170418006431</v>
      </c>
      <c r="M72" s="7"/>
    </row>
    <row r="73" spans="1:13" ht="14.65" thickBot="1">
      <c r="A73" s="6" t="s">
        <v>24</v>
      </c>
      <c r="B73" s="5">
        <f>SUM(B61:B72)</f>
        <v>1561592</v>
      </c>
      <c r="D73" s="2">
        <f>SUM(D61:D72)</f>
        <v>3538484</v>
      </c>
      <c r="E73" s="5">
        <f>SUM(E61:E72)</f>
        <v>2186.2000000000003</v>
      </c>
      <c r="F73" s="2"/>
      <c r="G73" s="2"/>
      <c r="H73" s="2"/>
      <c r="J73" s="57" t="e">
        <f>SUM(J61:J72)</f>
        <v>#DIV/0!</v>
      </c>
      <c r="K73" s="58" t="e">
        <f>SUM(K61:K72)</f>
        <v>#DIV/0!</v>
      </c>
      <c r="L73" s="54">
        <f>AVERAGE(L61:L72)</f>
        <v>6.9215145372301139</v>
      </c>
      <c r="M73" s="56"/>
    </row>
    <row r="74" spans="1:13">
      <c r="A74" s="2"/>
      <c r="B74" s="2"/>
      <c r="E74" s="2"/>
      <c r="F74" s="2"/>
      <c r="G74" s="2"/>
      <c r="H74" s="2"/>
      <c r="L74" s="24"/>
    </row>
    <row r="75" spans="1:13" ht="14.65" thickBot="1"/>
    <row r="76" spans="1:13" ht="57">
      <c r="A76" s="21" t="s">
        <v>12</v>
      </c>
      <c r="B76" s="23" t="s">
        <v>35</v>
      </c>
      <c r="C76" s="23" t="s">
        <v>41</v>
      </c>
      <c r="D76" s="23" t="s">
        <v>36</v>
      </c>
      <c r="E76" s="59" t="s">
        <v>37</v>
      </c>
      <c r="F76" s="47" t="s">
        <v>38</v>
      </c>
      <c r="G76" s="20" t="s">
        <v>6</v>
      </c>
      <c r="H76" s="20" t="s">
        <v>7</v>
      </c>
      <c r="I76" s="22" t="s">
        <v>8</v>
      </c>
      <c r="J76" s="21" t="s">
        <v>9</v>
      </c>
      <c r="K76" s="20" t="s">
        <v>23</v>
      </c>
      <c r="L76" s="20" t="s">
        <v>10</v>
      </c>
      <c r="M76" s="19" t="s">
        <v>4</v>
      </c>
    </row>
    <row r="77" spans="1:13">
      <c r="A77" s="17">
        <v>43101</v>
      </c>
      <c r="B77" s="18">
        <v>164498</v>
      </c>
      <c r="C77" s="18">
        <f t="shared" ref="C77:C88" si="28">D77-B77</f>
        <v>192815</v>
      </c>
      <c r="D77" s="14">
        <v>357313</v>
      </c>
      <c r="E77" s="14">
        <v>135.9</v>
      </c>
      <c r="F77" s="14"/>
      <c r="G77" s="14">
        <v>1132</v>
      </c>
      <c r="H77" s="14"/>
      <c r="I77" s="16">
        <f t="shared" ref="I77:I88" si="29">$K$11</f>
        <v>21.666666666666668</v>
      </c>
      <c r="J77" s="15" t="e">
        <f t="shared" ref="J77:J88" si="30">D77/$D$3</f>
        <v>#DIV/0!</v>
      </c>
      <c r="K77" s="14" t="e">
        <f t="shared" ref="K77:K88" si="31">(B77/$D$4)*(55/60)</f>
        <v>#DIV/0!</v>
      </c>
      <c r="L77" s="13">
        <f t="shared" ref="L77:L88" si="32">E77*1000/(G77+0.25*H77)/I77</f>
        <v>5.5409078553954876</v>
      </c>
      <c r="M77" s="12"/>
    </row>
    <row r="78" spans="1:13">
      <c r="A78" s="17">
        <v>43132</v>
      </c>
      <c r="B78" s="14">
        <v>128474</v>
      </c>
      <c r="C78" s="14">
        <f t="shared" si="28"/>
        <v>161220</v>
      </c>
      <c r="D78" s="14">
        <v>289694</v>
      </c>
      <c r="E78" s="14">
        <v>158.30000000000004</v>
      </c>
      <c r="F78" s="14"/>
      <c r="G78" s="14">
        <v>1132</v>
      </c>
      <c r="H78" s="14"/>
      <c r="I78" s="16">
        <f t="shared" si="29"/>
        <v>21.666666666666668</v>
      </c>
      <c r="J78" s="15" t="e">
        <f t="shared" si="30"/>
        <v>#DIV/0!</v>
      </c>
      <c r="K78" s="14" t="e">
        <f t="shared" si="31"/>
        <v>#DIV/0!</v>
      </c>
      <c r="L78" s="13">
        <f t="shared" si="32"/>
        <v>6.4541995107366139</v>
      </c>
      <c r="M78" s="12"/>
    </row>
    <row r="79" spans="1:13">
      <c r="A79" s="17">
        <v>43160</v>
      </c>
      <c r="B79" s="14">
        <v>128574</v>
      </c>
      <c r="C79" s="14">
        <f t="shared" si="28"/>
        <v>158585</v>
      </c>
      <c r="D79" s="14">
        <v>287159</v>
      </c>
      <c r="E79" s="14">
        <v>142.4</v>
      </c>
      <c r="F79" s="14"/>
      <c r="G79" s="14">
        <v>1132</v>
      </c>
      <c r="H79" s="14"/>
      <c r="I79" s="16">
        <f t="shared" si="29"/>
        <v>21.666666666666668</v>
      </c>
      <c r="J79" s="15" t="e">
        <f t="shared" si="30"/>
        <v>#DIV/0!</v>
      </c>
      <c r="K79" s="14" t="e">
        <f t="shared" si="31"/>
        <v>#DIV/0!</v>
      </c>
      <c r="L79" s="13">
        <f t="shared" si="32"/>
        <v>5.8059255232400107</v>
      </c>
      <c r="M79" s="12"/>
    </row>
    <row r="80" spans="1:13">
      <c r="A80" s="17">
        <v>43191</v>
      </c>
      <c r="B80" s="14">
        <v>134092</v>
      </c>
      <c r="C80" s="14">
        <f t="shared" si="28"/>
        <v>168211</v>
      </c>
      <c r="D80" s="14">
        <v>302303</v>
      </c>
      <c r="E80" s="14">
        <v>146.39999999999998</v>
      </c>
      <c r="F80" s="14"/>
      <c r="G80" s="14">
        <v>1124</v>
      </c>
      <c r="H80" s="14"/>
      <c r="I80" s="16">
        <f t="shared" si="29"/>
        <v>21.666666666666668</v>
      </c>
      <c r="J80" s="15" t="e">
        <f t="shared" si="30"/>
        <v>#DIV/0!</v>
      </c>
      <c r="K80" s="14" t="e">
        <f t="shared" si="31"/>
        <v>#DIV/0!</v>
      </c>
      <c r="L80" s="13">
        <f t="shared" si="32"/>
        <v>6.0114973993977534</v>
      </c>
      <c r="M80" s="12"/>
    </row>
    <row r="81" spans="1:13" s="2" customFormat="1">
      <c r="A81" s="17">
        <v>43221</v>
      </c>
      <c r="B81" s="14">
        <v>133216</v>
      </c>
      <c r="C81" s="14">
        <f t="shared" si="28"/>
        <v>171587</v>
      </c>
      <c r="D81" s="14">
        <v>304803</v>
      </c>
      <c r="E81" s="14">
        <v>181.60000000000005</v>
      </c>
      <c r="F81" s="14"/>
      <c r="G81" s="14">
        <v>1124</v>
      </c>
      <c r="H81" s="14"/>
      <c r="I81" s="16">
        <f t="shared" si="29"/>
        <v>21.666666666666668</v>
      </c>
      <c r="J81" s="15" t="e">
        <f t="shared" si="30"/>
        <v>#DIV/0!</v>
      </c>
      <c r="K81" s="14" t="e">
        <f t="shared" si="31"/>
        <v>#DIV/0!</v>
      </c>
      <c r="L81" s="13">
        <f t="shared" si="32"/>
        <v>7.4568847522584196</v>
      </c>
      <c r="M81" s="12"/>
    </row>
    <row r="82" spans="1:13" s="2" customFormat="1">
      <c r="A82" s="17">
        <v>43252</v>
      </c>
      <c r="B82" s="14">
        <v>125994</v>
      </c>
      <c r="C82" s="14">
        <f t="shared" si="28"/>
        <v>159665</v>
      </c>
      <c r="D82" s="14">
        <v>285659</v>
      </c>
      <c r="E82" s="14">
        <v>164.30000000000004</v>
      </c>
      <c r="F82" s="14"/>
      <c r="G82" s="14">
        <v>1124</v>
      </c>
      <c r="H82" s="14"/>
      <c r="I82" s="16">
        <f t="shared" si="29"/>
        <v>21.666666666666668</v>
      </c>
      <c r="J82" s="15" t="e">
        <f t="shared" si="30"/>
        <v>#DIV/0!</v>
      </c>
      <c r="K82" s="14" t="e">
        <f t="shared" si="31"/>
        <v>#DIV/0!</v>
      </c>
      <c r="L82" s="13">
        <f t="shared" si="32"/>
        <v>6.7465097180399676</v>
      </c>
      <c r="M82" s="12"/>
    </row>
    <row r="83" spans="1:13" s="2" customFormat="1">
      <c r="A83" s="17">
        <v>43282</v>
      </c>
      <c r="B83" s="14">
        <v>131698</v>
      </c>
      <c r="C83" s="14">
        <f t="shared" si="28"/>
        <v>171650</v>
      </c>
      <c r="D83" s="14">
        <v>303348</v>
      </c>
      <c r="E83" s="14">
        <v>148.69999999999999</v>
      </c>
      <c r="F83" s="14"/>
      <c r="G83" s="14">
        <v>1124</v>
      </c>
      <c r="H83" s="14"/>
      <c r="I83" s="16">
        <f t="shared" si="29"/>
        <v>21.666666666666668</v>
      </c>
      <c r="J83" s="15" t="e">
        <f t="shared" si="30"/>
        <v>#DIV/0!</v>
      </c>
      <c r="K83" s="14" t="e">
        <f t="shared" si="31"/>
        <v>#DIV/0!</v>
      </c>
      <c r="L83" s="13">
        <f t="shared" si="32"/>
        <v>6.1059403230221738</v>
      </c>
      <c r="M83" s="12"/>
    </row>
    <row r="84" spans="1:13" s="2" customFormat="1">
      <c r="A84" s="17">
        <v>43313</v>
      </c>
      <c r="B84" s="14">
        <v>137404</v>
      </c>
      <c r="C84" s="14">
        <f t="shared" si="28"/>
        <v>177465</v>
      </c>
      <c r="D84" s="14">
        <v>314869</v>
      </c>
      <c r="E84" s="14">
        <v>158.1</v>
      </c>
      <c r="F84" s="14"/>
      <c r="G84" s="14">
        <v>1124</v>
      </c>
      <c r="H84" s="14"/>
      <c r="I84" s="16">
        <f t="shared" si="29"/>
        <v>21.666666666666668</v>
      </c>
      <c r="J84" s="15" t="e">
        <f t="shared" si="30"/>
        <v>#DIV/0!</v>
      </c>
      <c r="K84" s="14" t="e">
        <f t="shared" si="31"/>
        <v>#DIV/0!</v>
      </c>
      <c r="L84" s="13">
        <f t="shared" si="32"/>
        <v>6.4919244456611001</v>
      </c>
      <c r="M84" s="12"/>
    </row>
    <row r="85" spans="1:13" s="2" customFormat="1">
      <c r="A85" s="17">
        <v>43344</v>
      </c>
      <c r="B85" s="14">
        <v>110900</v>
      </c>
      <c r="C85" s="14">
        <f t="shared" si="28"/>
        <v>160848</v>
      </c>
      <c r="D85" s="14">
        <v>271748</v>
      </c>
      <c r="E85" s="14">
        <v>191.5</v>
      </c>
      <c r="F85" s="14"/>
      <c r="G85" s="14">
        <v>1124</v>
      </c>
      <c r="H85" s="14"/>
      <c r="I85" s="16">
        <f t="shared" si="29"/>
        <v>21.666666666666668</v>
      </c>
      <c r="J85" s="15" t="e">
        <f t="shared" si="30"/>
        <v>#DIV/0!</v>
      </c>
      <c r="K85" s="14" t="e">
        <f t="shared" si="31"/>
        <v>#DIV/0!</v>
      </c>
      <c r="L85" s="13">
        <f t="shared" si="32"/>
        <v>7.8633999452504781</v>
      </c>
      <c r="M85" s="12"/>
    </row>
    <row r="86" spans="1:13" s="2" customFormat="1">
      <c r="A86" s="17">
        <v>43374</v>
      </c>
      <c r="B86" s="14">
        <v>138662</v>
      </c>
      <c r="C86" s="14">
        <f t="shared" si="28"/>
        <v>180560</v>
      </c>
      <c r="D86" s="14">
        <v>319222</v>
      </c>
      <c r="E86" s="14">
        <v>169.2</v>
      </c>
      <c r="F86" s="14"/>
      <c r="G86" s="14">
        <v>1124</v>
      </c>
      <c r="H86" s="14"/>
      <c r="I86" s="16">
        <f t="shared" si="29"/>
        <v>21.666666666666668</v>
      </c>
      <c r="J86" s="15" t="e">
        <f t="shared" si="30"/>
        <v>#DIV/0!</v>
      </c>
      <c r="K86" s="14" t="e">
        <f t="shared" si="31"/>
        <v>#DIV/0!</v>
      </c>
      <c r="L86" s="13">
        <f t="shared" si="32"/>
        <v>6.9477142075006837</v>
      </c>
      <c r="M86" s="12"/>
    </row>
    <row r="87" spans="1:13" s="2" customFormat="1">
      <c r="A87" s="17">
        <v>43405</v>
      </c>
      <c r="B87" s="14">
        <v>125416</v>
      </c>
      <c r="C87" s="14">
        <f t="shared" si="28"/>
        <v>163785</v>
      </c>
      <c r="D87" s="14">
        <v>289201</v>
      </c>
      <c r="E87" s="14">
        <v>172.9</v>
      </c>
      <c r="F87" s="14"/>
      <c r="G87" s="14">
        <v>1124</v>
      </c>
      <c r="H87" s="14"/>
      <c r="I87" s="16">
        <f t="shared" si="29"/>
        <v>21.666666666666668</v>
      </c>
      <c r="J87" s="15" t="e">
        <f t="shared" si="30"/>
        <v>#DIV/0!</v>
      </c>
      <c r="K87" s="14" t="e">
        <f t="shared" si="31"/>
        <v>#DIV/0!</v>
      </c>
      <c r="L87" s="13">
        <f t="shared" si="32"/>
        <v>7.0996441281138791</v>
      </c>
      <c r="M87" s="12"/>
    </row>
    <row r="88" spans="1:13" s="2" customFormat="1" ht="14.65" thickBot="1">
      <c r="A88" s="11">
        <v>43435</v>
      </c>
      <c r="B88" s="9">
        <v>110868</v>
      </c>
      <c r="C88" s="9">
        <f t="shared" si="28"/>
        <v>153055</v>
      </c>
      <c r="D88" s="9">
        <v>263923</v>
      </c>
      <c r="E88" s="9">
        <v>172.9</v>
      </c>
      <c r="F88" s="9"/>
      <c r="G88" s="9">
        <v>1124</v>
      </c>
      <c r="H88" s="9"/>
      <c r="I88" s="25">
        <f t="shared" si="29"/>
        <v>21.666666666666668</v>
      </c>
      <c r="J88" s="10" t="e">
        <f t="shared" si="30"/>
        <v>#DIV/0!</v>
      </c>
      <c r="K88" s="9" t="e">
        <f t="shared" si="31"/>
        <v>#DIV/0!</v>
      </c>
      <c r="L88" s="8">
        <f t="shared" si="32"/>
        <v>7.0996441281138791</v>
      </c>
      <c r="M88" s="7"/>
    </row>
    <row r="89" spans="1:13" s="2" customFormat="1" ht="14.65" thickBot="1">
      <c r="A89" s="6" t="s">
        <v>24</v>
      </c>
      <c r="B89" s="5">
        <f>SUM(B77:B88)</f>
        <v>1569796</v>
      </c>
      <c r="D89" s="2">
        <f>SUM(D77:D88)</f>
        <v>3589242</v>
      </c>
      <c r="E89" s="5">
        <f>SUM(E77:E88)</f>
        <v>1942.2000000000003</v>
      </c>
      <c r="J89" s="2" t="e">
        <f>D89/D3</f>
        <v>#DIV/0!</v>
      </c>
      <c r="K89" s="2" t="e">
        <f>SUM(K77:K88)</f>
        <v>#DIV/0!</v>
      </c>
      <c r="L89" s="54">
        <f>AVERAGE(L77:L88)</f>
        <v>6.6353493280608715</v>
      </c>
      <c r="M89" s="56"/>
    </row>
  </sheetData>
  <mergeCells count="6">
    <mergeCell ref="L1:L2"/>
    <mergeCell ref="A1:A2"/>
    <mergeCell ref="B1:B2"/>
    <mergeCell ref="C1:C2"/>
    <mergeCell ref="D1:D2"/>
    <mergeCell ref="E1:K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ECAF3-309B-4970-9891-D840132CCDFA}">
  <dimension ref="A1:H70"/>
  <sheetViews>
    <sheetView topLeftCell="A35" zoomScale="80" zoomScaleNormal="80" workbookViewId="0">
      <selection activeCell="B20" sqref="B20:C67"/>
    </sheetView>
  </sheetViews>
  <sheetFormatPr defaultColWidth="8.796875" defaultRowHeight="14.25"/>
  <cols>
    <col min="1" max="1" width="12" style="2" customWidth="1"/>
    <col min="2" max="2" width="25.46484375" style="2" customWidth="1"/>
    <col min="3" max="3" width="16.46484375" style="2" bestFit="1" customWidth="1"/>
    <col min="4" max="4" width="15.46484375" style="2" customWidth="1"/>
    <col min="5" max="5" width="21.796875" style="2" customWidth="1"/>
    <col min="6" max="6" width="15.46484375" style="2" customWidth="1"/>
    <col min="7" max="7" width="22.796875" style="2" bestFit="1" customWidth="1"/>
    <col min="8" max="8" width="15.46484375" style="2" customWidth="1"/>
    <col min="9" max="9" width="17" style="2" customWidth="1"/>
    <col min="10" max="16384" width="8.796875" style="2"/>
  </cols>
  <sheetData>
    <row r="1" spans="1:8">
      <c r="A1" s="150" t="s">
        <v>11</v>
      </c>
      <c r="B1" s="150" t="s">
        <v>65</v>
      </c>
      <c r="C1" s="153" t="s">
        <v>45</v>
      </c>
      <c r="D1" s="150" t="s">
        <v>5</v>
      </c>
      <c r="E1" s="150" t="s">
        <v>50</v>
      </c>
      <c r="F1" s="150"/>
      <c r="G1" s="150"/>
    </row>
    <row r="2" spans="1:8">
      <c r="A2" s="150"/>
      <c r="B2" s="150"/>
      <c r="C2" s="153"/>
      <c r="D2" s="150"/>
      <c r="E2" s="60" t="s">
        <v>9</v>
      </c>
      <c r="F2" s="60" t="s">
        <v>23</v>
      </c>
      <c r="G2" s="60" t="s">
        <v>51</v>
      </c>
    </row>
    <row r="3" spans="1:8">
      <c r="A3" s="14"/>
      <c r="B3" s="14"/>
      <c r="C3" s="14"/>
      <c r="D3" s="14"/>
      <c r="E3" s="29"/>
      <c r="F3" s="29"/>
      <c r="G3" s="76"/>
    </row>
    <row r="4" spans="1:8">
      <c r="A4" s="14"/>
      <c r="B4" s="14"/>
      <c r="C4" s="14" t="s">
        <v>52</v>
      </c>
      <c r="D4" s="14"/>
    </row>
    <row r="5" spans="1:8">
      <c r="A5" s="14"/>
      <c r="B5" s="14"/>
      <c r="C5" s="14"/>
      <c r="D5" s="14">
        <f>D3-D4</f>
        <v>0</v>
      </c>
    </row>
    <row r="6" spans="1:8" ht="14.65" thickBot="1">
      <c r="A6" s="6"/>
      <c r="G6" s="2" t="s">
        <v>53</v>
      </c>
    </row>
    <row r="7" spans="1:8" ht="57">
      <c r="A7" s="41" t="s">
        <v>12</v>
      </c>
      <c r="B7" s="23"/>
      <c r="C7" s="23"/>
      <c r="D7" s="23" t="s">
        <v>54</v>
      </c>
      <c r="E7" s="40" t="s">
        <v>9</v>
      </c>
      <c r="F7" s="40" t="s">
        <v>23</v>
      </c>
      <c r="G7" s="23" t="s">
        <v>27</v>
      </c>
      <c r="H7" s="81" t="s">
        <v>55</v>
      </c>
    </row>
    <row r="8" spans="1:8">
      <c r="A8" s="17">
        <v>44562</v>
      </c>
      <c r="B8" s="14"/>
      <c r="C8" s="14"/>
      <c r="D8" s="14">
        <f t="shared" ref="D8:D31" si="0">B8+C8</f>
        <v>0</v>
      </c>
      <c r="E8" s="29" t="e">
        <f t="shared" ref="E8:E67" si="1">D8/$D$3</f>
        <v>#DIV/0!</v>
      </c>
      <c r="F8" s="29" t="e">
        <f t="shared" ref="F8:F67" si="2">(B8/$D$4)*(55/60)</f>
        <v>#DIV/0!</v>
      </c>
      <c r="G8" s="13">
        <f t="shared" ref="G8:G67" si="3">D8*0.4057</f>
        <v>0</v>
      </c>
      <c r="H8" s="82">
        <f t="shared" ref="H8:H67" si="4">$G$3</f>
        <v>0</v>
      </c>
    </row>
    <row r="9" spans="1:8">
      <c r="A9" s="17">
        <v>44593</v>
      </c>
      <c r="B9" s="14"/>
      <c r="C9" s="14"/>
      <c r="D9" s="14">
        <f t="shared" si="0"/>
        <v>0</v>
      </c>
      <c r="E9" s="29" t="e">
        <f t="shared" si="1"/>
        <v>#DIV/0!</v>
      </c>
      <c r="F9" s="29" t="e">
        <f t="shared" si="2"/>
        <v>#DIV/0!</v>
      </c>
      <c r="G9" s="13">
        <f t="shared" si="3"/>
        <v>0</v>
      </c>
      <c r="H9" s="82">
        <f t="shared" si="4"/>
        <v>0</v>
      </c>
    </row>
    <row r="10" spans="1:8" ht="16.5" customHeight="1">
      <c r="A10" s="17">
        <v>44621</v>
      </c>
      <c r="B10" s="14"/>
      <c r="C10" s="14"/>
      <c r="D10" s="14">
        <f t="shared" si="0"/>
        <v>0</v>
      </c>
      <c r="E10" s="76" t="e">
        <f t="shared" si="1"/>
        <v>#DIV/0!</v>
      </c>
      <c r="F10" s="29" t="e">
        <f t="shared" si="2"/>
        <v>#DIV/0!</v>
      </c>
      <c r="G10" s="13">
        <f t="shared" si="3"/>
        <v>0</v>
      </c>
      <c r="H10" s="82">
        <f t="shared" si="4"/>
        <v>0</v>
      </c>
    </row>
    <row r="11" spans="1:8">
      <c r="A11" s="17">
        <v>44652</v>
      </c>
      <c r="B11" s="14"/>
      <c r="C11" s="14"/>
      <c r="D11" s="14">
        <f t="shared" si="0"/>
        <v>0</v>
      </c>
      <c r="E11" s="29" t="e">
        <f t="shared" si="1"/>
        <v>#DIV/0!</v>
      </c>
      <c r="F11" s="29" t="e">
        <f t="shared" si="2"/>
        <v>#DIV/0!</v>
      </c>
      <c r="G11" s="13">
        <f t="shared" si="3"/>
        <v>0</v>
      </c>
      <c r="H11" s="82">
        <f t="shared" si="4"/>
        <v>0</v>
      </c>
    </row>
    <row r="12" spans="1:8">
      <c r="A12" s="17">
        <v>44682</v>
      </c>
      <c r="B12" s="14"/>
      <c r="C12" s="14"/>
      <c r="D12" s="14">
        <f t="shared" si="0"/>
        <v>0</v>
      </c>
      <c r="E12" s="29" t="e">
        <f t="shared" si="1"/>
        <v>#DIV/0!</v>
      </c>
      <c r="F12" s="29" t="e">
        <f t="shared" si="2"/>
        <v>#DIV/0!</v>
      </c>
      <c r="G12" s="13">
        <f t="shared" si="3"/>
        <v>0</v>
      </c>
      <c r="H12" s="82">
        <f t="shared" si="4"/>
        <v>0</v>
      </c>
    </row>
    <row r="13" spans="1:8">
      <c r="A13" s="17">
        <v>44713</v>
      </c>
      <c r="B13" s="14"/>
      <c r="C13" s="14"/>
      <c r="D13" s="14">
        <f t="shared" si="0"/>
        <v>0</v>
      </c>
      <c r="E13" s="29" t="e">
        <f t="shared" si="1"/>
        <v>#DIV/0!</v>
      </c>
      <c r="F13" s="29" t="e">
        <f t="shared" si="2"/>
        <v>#DIV/0!</v>
      </c>
      <c r="G13" s="13">
        <f t="shared" si="3"/>
        <v>0</v>
      </c>
      <c r="H13" s="82">
        <f t="shared" si="4"/>
        <v>0</v>
      </c>
    </row>
    <row r="14" spans="1:8">
      <c r="A14" s="17">
        <v>44743</v>
      </c>
      <c r="B14" s="14"/>
      <c r="C14" s="14"/>
      <c r="D14" s="14">
        <f t="shared" si="0"/>
        <v>0</v>
      </c>
      <c r="E14" s="29" t="e">
        <f t="shared" si="1"/>
        <v>#DIV/0!</v>
      </c>
      <c r="F14" s="29" t="e">
        <f t="shared" si="2"/>
        <v>#DIV/0!</v>
      </c>
      <c r="G14" s="13">
        <f t="shared" si="3"/>
        <v>0</v>
      </c>
      <c r="H14" s="82">
        <f t="shared" si="4"/>
        <v>0</v>
      </c>
    </row>
    <row r="15" spans="1:8">
      <c r="A15" s="17">
        <v>44774</v>
      </c>
      <c r="B15" s="14"/>
      <c r="C15" s="14"/>
      <c r="D15" s="14">
        <f t="shared" si="0"/>
        <v>0</v>
      </c>
      <c r="E15" s="29" t="e">
        <f t="shared" si="1"/>
        <v>#DIV/0!</v>
      </c>
      <c r="F15" s="29" t="e">
        <f t="shared" si="2"/>
        <v>#DIV/0!</v>
      </c>
      <c r="G15" s="13">
        <f t="shared" si="3"/>
        <v>0</v>
      </c>
      <c r="H15" s="82">
        <f t="shared" si="4"/>
        <v>0</v>
      </c>
    </row>
    <row r="16" spans="1:8">
      <c r="A16" s="17">
        <v>44805</v>
      </c>
      <c r="B16" s="14"/>
      <c r="C16" s="14"/>
      <c r="D16" s="14">
        <f t="shared" si="0"/>
        <v>0</v>
      </c>
      <c r="E16" s="29" t="e">
        <f t="shared" si="1"/>
        <v>#DIV/0!</v>
      </c>
      <c r="F16" s="29" t="e">
        <f t="shared" si="2"/>
        <v>#DIV/0!</v>
      </c>
      <c r="G16" s="14">
        <f t="shared" si="3"/>
        <v>0</v>
      </c>
      <c r="H16" s="82">
        <f t="shared" si="4"/>
        <v>0</v>
      </c>
    </row>
    <row r="17" spans="1:8">
      <c r="A17" s="17">
        <v>44835</v>
      </c>
      <c r="B17" s="14"/>
      <c r="C17" s="14"/>
      <c r="D17" s="14">
        <f t="shared" si="0"/>
        <v>0</v>
      </c>
      <c r="E17" s="29" t="e">
        <f t="shared" si="1"/>
        <v>#DIV/0!</v>
      </c>
      <c r="F17" s="29" t="e">
        <f t="shared" si="2"/>
        <v>#DIV/0!</v>
      </c>
      <c r="G17" s="14">
        <f t="shared" si="3"/>
        <v>0</v>
      </c>
      <c r="H17" s="82">
        <f t="shared" si="4"/>
        <v>0</v>
      </c>
    </row>
    <row r="18" spans="1:8">
      <c r="A18" s="17">
        <v>44866</v>
      </c>
      <c r="B18" s="14"/>
      <c r="C18" s="14"/>
      <c r="D18" s="14">
        <f t="shared" si="0"/>
        <v>0</v>
      </c>
      <c r="E18" s="29" t="e">
        <f t="shared" si="1"/>
        <v>#DIV/0!</v>
      </c>
      <c r="F18" s="29" t="e">
        <f t="shared" si="2"/>
        <v>#DIV/0!</v>
      </c>
      <c r="G18" s="14">
        <f t="shared" si="3"/>
        <v>0</v>
      </c>
      <c r="H18" s="82">
        <f t="shared" si="4"/>
        <v>0</v>
      </c>
    </row>
    <row r="19" spans="1:8" ht="14.65" thickBot="1">
      <c r="A19" s="11">
        <v>44896</v>
      </c>
      <c r="B19" s="9"/>
      <c r="C19" s="9"/>
      <c r="D19" s="9">
        <f t="shared" si="0"/>
        <v>0</v>
      </c>
      <c r="E19" s="75" t="e">
        <f t="shared" si="1"/>
        <v>#DIV/0!</v>
      </c>
      <c r="F19" s="75" t="e">
        <f t="shared" si="2"/>
        <v>#DIV/0!</v>
      </c>
      <c r="G19" s="9">
        <f t="shared" si="3"/>
        <v>0</v>
      </c>
      <c r="H19" s="83">
        <f t="shared" si="4"/>
        <v>0</v>
      </c>
    </row>
    <row r="20" spans="1:8">
      <c r="A20" s="77">
        <v>44197</v>
      </c>
      <c r="B20" s="78"/>
      <c r="C20" s="79"/>
      <c r="D20" s="78">
        <f t="shared" si="0"/>
        <v>0</v>
      </c>
      <c r="E20" s="80" t="e">
        <f t="shared" si="1"/>
        <v>#DIV/0!</v>
      </c>
      <c r="F20" s="80" t="e">
        <f t="shared" si="2"/>
        <v>#DIV/0!</v>
      </c>
      <c r="G20" s="78">
        <f t="shared" si="3"/>
        <v>0</v>
      </c>
      <c r="H20" s="84">
        <f t="shared" si="4"/>
        <v>0</v>
      </c>
    </row>
    <row r="21" spans="1:8">
      <c r="A21" s="17">
        <v>44228</v>
      </c>
      <c r="B21" s="14"/>
      <c r="C21" s="14"/>
      <c r="D21" s="14">
        <f t="shared" si="0"/>
        <v>0</v>
      </c>
      <c r="E21" s="29" t="e">
        <f t="shared" si="1"/>
        <v>#DIV/0!</v>
      </c>
      <c r="F21" s="29" t="e">
        <f t="shared" si="2"/>
        <v>#DIV/0!</v>
      </c>
      <c r="G21" s="14">
        <f t="shared" si="3"/>
        <v>0</v>
      </c>
      <c r="H21" s="82">
        <f t="shared" si="4"/>
        <v>0</v>
      </c>
    </row>
    <row r="22" spans="1:8">
      <c r="A22" s="17">
        <v>44256</v>
      </c>
      <c r="B22" s="14"/>
      <c r="C22" s="14"/>
      <c r="D22" s="14">
        <f t="shared" si="0"/>
        <v>0</v>
      </c>
      <c r="E22" s="29" t="e">
        <f t="shared" si="1"/>
        <v>#DIV/0!</v>
      </c>
      <c r="F22" s="29" t="e">
        <f t="shared" si="2"/>
        <v>#DIV/0!</v>
      </c>
      <c r="G22" s="14">
        <f t="shared" si="3"/>
        <v>0</v>
      </c>
      <c r="H22" s="82">
        <f t="shared" si="4"/>
        <v>0</v>
      </c>
    </row>
    <row r="23" spans="1:8">
      <c r="A23" s="17">
        <v>44287</v>
      </c>
      <c r="B23" s="14"/>
      <c r="C23" s="14"/>
      <c r="D23" s="14">
        <f t="shared" si="0"/>
        <v>0</v>
      </c>
      <c r="E23" s="29" t="e">
        <f t="shared" si="1"/>
        <v>#DIV/0!</v>
      </c>
      <c r="F23" s="29" t="e">
        <f t="shared" si="2"/>
        <v>#DIV/0!</v>
      </c>
      <c r="G23" s="14">
        <f t="shared" si="3"/>
        <v>0</v>
      </c>
      <c r="H23" s="82">
        <f t="shared" si="4"/>
        <v>0</v>
      </c>
    </row>
    <row r="24" spans="1:8">
      <c r="A24" s="17">
        <v>44317</v>
      </c>
      <c r="B24" s="14"/>
      <c r="C24" s="14"/>
      <c r="D24" s="14">
        <f t="shared" si="0"/>
        <v>0</v>
      </c>
      <c r="E24" s="29" t="e">
        <f t="shared" si="1"/>
        <v>#DIV/0!</v>
      </c>
      <c r="F24" s="29" t="e">
        <f t="shared" si="2"/>
        <v>#DIV/0!</v>
      </c>
      <c r="G24" s="14">
        <f t="shared" si="3"/>
        <v>0</v>
      </c>
      <c r="H24" s="82">
        <f t="shared" si="4"/>
        <v>0</v>
      </c>
    </row>
    <row r="25" spans="1:8">
      <c r="A25" s="17">
        <v>44348</v>
      </c>
      <c r="B25" s="14"/>
      <c r="C25" s="14"/>
      <c r="D25" s="14">
        <f t="shared" si="0"/>
        <v>0</v>
      </c>
      <c r="E25" s="29" t="e">
        <f t="shared" si="1"/>
        <v>#DIV/0!</v>
      </c>
      <c r="F25" s="29" t="e">
        <f t="shared" si="2"/>
        <v>#DIV/0!</v>
      </c>
      <c r="G25" s="14">
        <f t="shared" si="3"/>
        <v>0</v>
      </c>
      <c r="H25" s="82">
        <f t="shared" si="4"/>
        <v>0</v>
      </c>
    </row>
    <row r="26" spans="1:8">
      <c r="A26" s="17">
        <v>44378</v>
      </c>
      <c r="B26" s="14"/>
      <c r="C26" s="14"/>
      <c r="D26" s="14">
        <f t="shared" si="0"/>
        <v>0</v>
      </c>
      <c r="E26" s="29" t="e">
        <f t="shared" si="1"/>
        <v>#DIV/0!</v>
      </c>
      <c r="F26" s="29" t="e">
        <f t="shared" si="2"/>
        <v>#DIV/0!</v>
      </c>
      <c r="G26" s="14">
        <f t="shared" si="3"/>
        <v>0</v>
      </c>
      <c r="H26" s="82">
        <f t="shared" si="4"/>
        <v>0</v>
      </c>
    </row>
    <row r="27" spans="1:8">
      <c r="A27" s="17">
        <v>44409</v>
      </c>
      <c r="B27" s="14"/>
      <c r="C27" s="14"/>
      <c r="D27" s="14">
        <f t="shared" si="0"/>
        <v>0</v>
      </c>
      <c r="E27" s="29" t="e">
        <f t="shared" si="1"/>
        <v>#DIV/0!</v>
      </c>
      <c r="F27" s="29" t="e">
        <f t="shared" si="2"/>
        <v>#DIV/0!</v>
      </c>
      <c r="G27" s="14">
        <f t="shared" si="3"/>
        <v>0</v>
      </c>
      <c r="H27" s="82">
        <f t="shared" si="4"/>
        <v>0</v>
      </c>
    </row>
    <row r="28" spans="1:8">
      <c r="A28" s="17">
        <v>44440</v>
      </c>
      <c r="B28" s="14"/>
      <c r="C28" s="14"/>
      <c r="D28" s="14">
        <f t="shared" si="0"/>
        <v>0</v>
      </c>
      <c r="E28" s="29" t="e">
        <f t="shared" si="1"/>
        <v>#DIV/0!</v>
      </c>
      <c r="F28" s="29" t="e">
        <f t="shared" si="2"/>
        <v>#DIV/0!</v>
      </c>
      <c r="G28" s="14">
        <f t="shared" si="3"/>
        <v>0</v>
      </c>
      <c r="H28" s="82">
        <f t="shared" si="4"/>
        <v>0</v>
      </c>
    </row>
    <row r="29" spans="1:8">
      <c r="A29" s="17">
        <v>44470</v>
      </c>
      <c r="B29" s="14"/>
      <c r="C29" s="14"/>
      <c r="D29" s="14">
        <f t="shared" si="0"/>
        <v>0</v>
      </c>
      <c r="E29" s="29" t="e">
        <f t="shared" si="1"/>
        <v>#DIV/0!</v>
      </c>
      <c r="F29" s="29" t="e">
        <f t="shared" si="2"/>
        <v>#DIV/0!</v>
      </c>
      <c r="G29" s="14">
        <f t="shared" si="3"/>
        <v>0</v>
      </c>
      <c r="H29" s="82">
        <f t="shared" si="4"/>
        <v>0</v>
      </c>
    </row>
    <row r="30" spans="1:8">
      <c r="A30" s="17">
        <v>44501</v>
      </c>
      <c r="B30" s="14"/>
      <c r="C30" s="14"/>
      <c r="D30" s="14">
        <f t="shared" si="0"/>
        <v>0</v>
      </c>
      <c r="E30" s="29" t="e">
        <f t="shared" si="1"/>
        <v>#DIV/0!</v>
      </c>
      <c r="F30" s="29" t="e">
        <f t="shared" si="2"/>
        <v>#DIV/0!</v>
      </c>
      <c r="G30" s="14">
        <f t="shared" si="3"/>
        <v>0</v>
      </c>
      <c r="H30" s="82">
        <f t="shared" si="4"/>
        <v>0</v>
      </c>
    </row>
    <row r="31" spans="1:8" ht="14.65" thickBot="1">
      <c r="A31" s="11">
        <v>44531</v>
      </c>
      <c r="B31" s="9"/>
      <c r="C31" s="9"/>
      <c r="D31" s="9">
        <f t="shared" si="0"/>
        <v>0</v>
      </c>
      <c r="E31" s="75" t="e">
        <f t="shared" si="1"/>
        <v>#DIV/0!</v>
      </c>
      <c r="F31" s="75" t="e">
        <f t="shared" si="2"/>
        <v>#DIV/0!</v>
      </c>
      <c r="G31" s="9">
        <f t="shared" si="3"/>
        <v>0</v>
      </c>
      <c r="H31" s="83">
        <f t="shared" si="4"/>
        <v>0</v>
      </c>
    </row>
    <row r="32" spans="1:8">
      <c r="A32" s="77">
        <v>43831</v>
      </c>
      <c r="B32" s="78"/>
      <c r="C32" s="78"/>
      <c r="D32" s="79">
        <v>307262</v>
      </c>
      <c r="E32" s="80" t="e">
        <f t="shared" si="1"/>
        <v>#DIV/0!</v>
      </c>
      <c r="F32" s="80" t="e">
        <f t="shared" si="2"/>
        <v>#DIV/0!</v>
      </c>
      <c r="G32" s="79">
        <f t="shared" si="3"/>
        <v>124656.1934</v>
      </c>
      <c r="H32" s="84">
        <f t="shared" si="4"/>
        <v>0</v>
      </c>
    </row>
    <row r="33" spans="1:8">
      <c r="A33" s="17">
        <v>43862</v>
      </c>
      <c r="B33" s="14"/>
      <c r="C33" s="14"/>
      <c r="D33" s="14">
        <v>267960</v>
      </c>
      <c r="E33" s="29" t="e">
        <f t="shared" si="1"/>
        <v>#DIV/0!</v>
      </c>
      <c r="F33" s="29" t="e">
        <f t="shared" si="2"/>
        <v>#DIV/0!</v>
      </c>
      <c r="G33" s="14">
        <f t="shared" si="3"/>
        <v>108711.372</v>
      </c>
      <c r="H33" s="82">
        <f t="shared" si="4"/>
        <v>0</v>
      </c>
    </row>
    <row r="34" spans="1:8">
      <c r="A34" s="17">
        <v>43891</v>
      </c>
      <c r="B34" s="14"/>
      <c r="C34" s="14"/>
      <c r="D34" s="14">
        <v>301453</v>
      </c>
      <c r="E34" s="29" t="e">
        <f t="shared" si="1"/>
        <v>#DIV/0!</v>
      </c>
      <c r="F34" s="29" t="e">
        <f t="shared" si="2"/>
        <v>#DIV/0!</v>
      </c>
      <c r="G34" s="14">
        <f t="shared" si="3"/>
        <v>122299.48210000001</v>
      </c>
      <c r="H34" s="82">
        <f t="shared" si="4"/>
        <v>0</v>
      </c>
    </row>
    <row r="35" spans="1:8">
      <c r="A35" s="17">
        <v>43922</v>
      </c>
      <c r="B35" s="14"/>
      <c r="C35" s="14"/>
      <c r="D35" s="14">
        <v>289012</v>
      </c>
      <c r="E35" s="29" t="e">
        <f t="shared" si="1"/>
        <v>#DIV/0!</v>
      </c>
      <c r="F35" s="29" t="e">
        <f t="shared" si="2"/>
        <v>#DIV/0!</v>
      </c>
      <c r="G35" s="14">
        <f t="shared" si="3"/>
        <v>117252.1684</v>
      </c>
      <c r="H35" s="82">
        <f t="shared" si="4"/>
        <v>0</v>
      </c>
    </row>
    <row r="36" spans="1:8">
      <c r="A36" s="17">
        <v>43952</v>
      </c>
      <c r="B36" s="14"/>
      <c r="C36" s="14"/>
      <c r="D36" s="14">
        <v>182492</v>
      </c>
      <c r="E36" s="29" t="e">
        <f t="shared" si="1"/>
        <v>#DIV/0!</v>
      </c>
      <c r="F36" s="29" t="e">
        <f t="shared" si="2"/>
        <v>#DIV/0!</v>
      </c>
      <c r="G36" s="14">
        <f t="shared" si="3"/>
        <v>74037.004400000005</v>
      </c>
      <c r="H36" s="82">
        <f t="shared" si="4"/>
        <v>0</v>
      </c>
    </row>
    <row r="37" spans="1:8">
      <c r="A37" s="17">
        <v>43983</v>
      </c>
      <c r="B37" s="14"/>
      <c r="C37" s="14"/>
      <c r="D37" s="14">
        <v>261071</v>
      </c>
      <c r="E37" s="29" t="e">
        <f t="shared" si="1"/>
        <v>#DIV/0!</v>
      </c>
      <c r="F37" s="29" t="e">
        <f t="shared" si="2"/>
        <v>#DIV/0!</v>
      </c>
      <c r="G37" s="14">
        <f t="shared" si="3"/>
        <v>105916.5047</v>
      </c>
      <c r="H37" s="82">
        <f t="shared" si="4"/>
        <v>0</v>
      </c>
    </row>
    <row r="38" spans="1:8">
      <c r="A38" s="17">
        <v>44013</v>
      </c>
      <c r="B38" s="14"/>
      <c r="C38" s="14"/>
      <c r="D38" s="14">
        <v>250290</v>
      </c>
      <c r="E38" s="29" t="e">
        <f t="shared" si="1"/>
        <v>#DIV/0!</v>
      </c>
      <c r="F38" s="29" t="e">
        <f t="shared" si="2"/>
        <v>#DIV/0!</v>
      </c>
      <c r="G38" s="14">
        <f t="shared" si="3"/>
        <v>101542.65300000001</v>
      </c>
      <c r="H38" s="82">
        <f t="shared" si="4"/>
        <v>0</v>
      </c>
    </row>
    <row r="39" spans="1:8">
      <c r="A39" s="17">
        <v>44044</v>
      </c>
      <c r="B39" s="14"/>
      <c r="C39" s="14"/>
      <c r="D39" s="14">
        <v>270590</v>
      </c>
      <c r="E39" s="29" t="e">
        <f t="shared" si="1"/>
        <v>#DIV/0!</v>
      </c>
      <c r="F39" s="29" t="e">
        <f t="shared" si="2"/>
        <v>#DIV/0!</v>
      </c>
      <c r="G39" s="14">
        <f t="shared" si="3"/>
        <v>109778.363</v>
      </c>
      <c r="H39" s="82">
        <f t="shared" si="4"/>
        <v>0</v>
      </c>
    </row>
    <row r="40" spans="1:8">
      <c r="A40" s="17">
        <v>44075</v>
      </c>
      <c r="B40" s="14"/>
      <c r="C40" s="14"/>
      <c r="D40" s="14">
        <v>262072</v>
      </c>
      <c r="E40" s="29" t="e">
        <f t="shared" si="1"/>
        <v>#DIV/0!</v>
      </c>
      <c r="F40" s="29" t="e">
        <f t="shared" si="2"/>
        <v>#DIV/0!</v>
      </c>
      <c r="G40" s="14">
        <f t="shared" si="3"/>
        <v>106322.61040000001</v>
      </c>
      <c r="H40" s="82">
        <f t="shared" si="4"/>
        <v>0</v>
      </c>
    </row>
    <row r="41" spans="1:8">
      <c r="A41" s="17">
        <v>44105</v>
      </c>
      <c r="B41" s="14"/>
      <c r="C41" s="14"/>
      <c r="D41" s="14">
        <v>269375</v>
      </c>
      <c r="E41" s="29" t="e">
        <f t="shared" si="1"/>
        <v>#DIV/0!</v>
      </c>
      <c r="F41" s="29" t="e">
        <f t="shared" si="2"/>
        <v>#DIV/0!</v>
      </c>
      <c r="G41" s="14">
        <f t="shared" si="3"/>
        <v>109285.4375</v>
      </c>
      <c r="H41" s="82">
        <f t="shared" si="4"/>
        <v>0</v>
      </c>
    </row>
    <row r="42" spans="1:8">
      <c r="A42" s="17">
        <v>44136</v>
      </c>
      <c r="B42" s="14"/>
      <c r="C42" s="14"/>
      <c r="D42" s="14">
        <v>272213</v>
      </c>
      <c r="E42" s="29" t="e">
        <f t="shared" si="1"/>
        <v>#DIV/0!</v>
      </c>
      <c r="F42" s="29" t="e">
        <f t="shared" si="2"/>
        <v>#DIV/0!</v>
      </c>
      <c r="G42" s="14">
        <f t="shared" si="3"/>
        <v>110436.8141</v>
      </c>
      <c r="H42" s="82">
        <f t="shared" si="4"/>
        <v>0</v>
      </c>
    </row>
    <row r="43" spans="1:8" ht="14.65" thickBot="1">
      <c r="A43" s="11">
        <v>44166</v>
      </c>
      <c r="B43" s="9"/>
      <c r="C43" s="9"/>
      <c r="D43" s="9">
        <v>260250</v>
      </c>
      <c r="E43" s="75" t="e">
        <f t="shared" si="1"/>
        <v>#DIV/0!</v>
      </c>
      <c r="F43" s="75" t="e">
        <f t="shared" si="2"/>
        <v>#DIV/0!</v>
      </c>
      <c r="G43" s="9">
        <f t="shared" si="3"/>
        <v>105583.425</v>
      </c>
      <c r="H43" s="83">
        <f t="shared" si="4"/>
        <v>0</v>
      </c>
    </row>
    <row r="44" spans="1:8">
      <c r="A44" s="77">
        <v>43466</v>
      </c>
      <c r="B44" s="78"/>
      <c r="C44" s="78"/>
      <c r="D44" s="79">
        <v>329209</v>
      </c>
      <c r="E44" s="80" t="e">
        <f t="shared" si="1"/>
        <v>#DIV/0!</v>
      </c>
      <c r="F44" s="80" t="e">
        <f t="shared" si="2"/>
        <v>#DIV/0!</v>
      </c>
      <c r="G44" s="79">
        <f t="shared" si="3"/>
        <v>133560.0913</v>
      </c>
      <c r="H44" s="84">
        <f t="shared" si="4"/>
        <v>0</v>
      </c>
    </row>
    <row r="45" spans="1:8">
      <c r="A45" s="17">
        <v>43497</v>
      </c>
      <c r="B45" s="14"/>
      <c r="C45" s="14"/>
      <c r="D45" s="14">
        <v>256242</v>
      </c>
      <c r="E45" s="29" t="e">
        <f t="shared" si="1"/>
        <v>#DIV/0!</v>
      </c>
      <c r="F45" s="29" t="e">
        <f t="shared" si="2"/>
        <v>#DIV/0!</v>
      </c>
      <c r="G45" s="14">
        <f t="shared" si="3"/>
        <v>103957.37940000001</v>
      </c>
      <c r="H45" s="82">
        <f t="shared" si="4"/>
        <v>0</v>
      </c>
    </row>
    <row r="46" spans="1:8">
      <c r="A46" s="17">
        <v>43525</v>
      </c>
      <c r="B46" s="14"/>
      <c r="C46" s="14"/>
      <c r="D46" s="14">
        <v>281046</v>
      </c>
      <c r="E46" s="29" t="e">
        <f t="shared" si="1"/>
        <v>#DIV/0!</v>
      </c>
      <c r="F46" s="29" t="e">
        <f t="shared" si="2"/>
        <v>#DIV/0!</v>
      </c>
      <c r="G46" s="14">
        <f t="shared" si="3"/>
        <v>114020.3622</v>
      </c>
      <c r="H46" s="82">
        <f t="shared" si="4"/>
        <v>0</v>
      </c>
    </row>
    <row r="47" spans="1:8">
      <c r="A47" s="17">
        <v>43556</v>
      </c>
      <c r="B47" s="14"/>
      <c r="C47" s="14"/>
      <c r="D47" s="14">
        <v>311247</v>
      </c>
      <c r="E47" s="29" t="e">
        <f t="shared" si="1"/>
        <v>#DIV/0!</v>
      </c>
      <c r="F47" s="29" t="e">
        <f t="shared" si="2"/>
        <v>#DIV/0!</v>
      </c>
      <c r="G47" s="14">
        <f t="shared" si="3"/>
        <v>126272.90790000001</v>
      </c>
      <c r="H47" s="82">
        <f t="shared" si="4"/>
        <v>0</v>
      </c>
    </row>
    <row r="48" spans="1:8">
      <c r="A48" s="17">
        <v>43586</v>
      </c>
      <c r="B48" s="14"/>
      <c r="C48" s="14"/>
      <c r="D48" s="14">
        <v>305113</v>
      </c>
      <c r="E48" s="29" t="e">
        <f t="shared" si="1"/>
        <v>#DIV/0!</v>
      </c>
      <c r="F48" s="29" t="e">
        <f t="shared" si="2"/>
        <v>#DIV/0!</v>
      </c>
      <c r="G48" s="14">
        <f t="shared" si="3"/>
        <v>123784.3441</v>
      </c>
      <c r="H48" s="82">
        <f t="shared" si="4"/>
        <v>0</v>
      </c>
    </row>
    <row r="49" spans="1:8">
      <c r="A49" s="17">
        <v>43617</v>
      </c>
      <c r="B49" s="14"/>
      <c r="C49" s="14"/>
      <c r="D49" s="14">
        <v>271440</v>
      </c>
      <c r="E49" s="29" t="e">
        <f t="shared" si="1"/>
        <v>#DIV/0!</v>
      </c>
      <c r="F49" s="29" t="e">
        <f t="shared" si="2"/>
        <v>#DIV/0!</v>
      </c>
      <c r="G49" s="14">
        <f t="shared" si="3"/>
        <v>110123.208</v>
      </c>
      <c r="H49" s="82">
        <f t="shared" si="4"/>
        <v>0</v>
      </c>
    </row>
    <row r="50" spans="1:8">
      <c r="A50" s="17">
        <v>43647</v>
      </c>
      <c r="B50" s="14"/>
      <c r="C50" s="14"/>
      <c r="D50" s="14">
        <v>324937</v>
      </c>
      <c r="E50" s="29" t="e">
        <f t="shared" si="1"/>
        <v>#DIV/0!</v>
      </c>
      <c r="F50" s="29" t="e">
        <f t="shared" si="2"/>
        <v>#DIV/0!</v>
      </c>
      <c r="G50" s="14">
        <f t="shared" si="3"/>
        <v>131826.94090000002</v>
      </c>
      <c r="H50" s="82">
        <f t="shared" si="4"/>
        <v>0</v>
      </c>
    </row>
    <row r="51" spans="1:8">
      <c r="A51" s="17">
        <v>43678</v>
      </c>
      <c r="B51" s="14"/>
      <c r="C51" s="14"/>
      <c r="D51" s="14">
        <v>291858</v>
      </c>
      <c r="E51" s="29" t="e">
        <f t="shared" si="1"/>
        <v>#DIV/0!</v>
      </c>
      <c r="F51" s="29" t="e">
        <f t="shared" si="2"/>
        <v>#DIV/0!</v>
      </c>
      <c r="G51" s="14">
        <f t="shared" si="3"/>
        <v>118406.79060000001</v>
      </c>
      <c r="H51" s="82">
        <f t="shared" si="4"/>
        <v>0</v>
      </c>
    </row>
    <row r="52" spans="1:8">
      <c r="A52" s="17">
        <v>43709</v>
      </c>
      <c r="B52" s="14"/>
      <c r="C52" s="14"/>
      <c r="D52" s="14">
        <v>299919</v>
      </c>
      <c r="E52" s="29" t="e">
        <f t="shared" si="1"/>
        <v>#DIV/0!</v>
      </c>
      <c r="F52" s="29" t="e">
        <f t="shared" si="2"/>
        <v>#DIV/0!</v>
      </c>
      <c r="G52" s="14">
        <f t="shared" si="3"/>
        <v>121677.13830000001</v>
      </c>
      <c r="H52" s="82">
        <f t="shared" si="4"/>
        <v>0</v>
      </c>
    </row>
    <row r="53" spans="1:8">
      <c r="A53" s="17">
        <v>43739</v>
      </c>
      <c r="B53" s="14"/>
      <c r="C53" s="14"/>
      <c r="D53" s="14">
        <v>293881</v>
      </c>
      <c r="E53" s="29" t="e">
        <f t="shared" si="1"/>
        <v>#DIV/0!</v>
      </c>
      <c r="F53" s="29" t="e">
        <f t="shared" si="2"/>
        <v>#DIV/0!</v>
      </c>
      <c r="G53" s="14">
        <f t="shared" si="3"/>
        <v>119227.5217</v>
      </c>
      <c r="H53" s="82">
        <f t="shared" si="4"/>
        <v>0</v>
      </c>
    </row>
    <row r="54" spans="1:8">
      <c r="A54" s="17">
        <v>43770</v>
      </c>
      <c r="B54" s="14"/>
      <c r="C54" s="14"/>
      <c r="D54" s="14">
        <v>283317</v>
      </c>
      <c r="E54" s="29" t="e">
        <f t="shared" si="1"/>
        <v>#DIV/0!</v>
      </c>
      <c r="F54" s="29" t="e">
        <f t="shared" si="2"/>
        <v>#DIV/0!</v>
      </c>
      <c r="G54" s="14">
        <f t="shared" si="3"/>
        <v>114941.7069</v>
      </c>
      <c r="H54" s="82">
        <f t="shared" si="4"/>
        <v>0</v>
      </c>
    </row>
    <row r="55" spans="1:8" ht="14.65" thickBot="1">
      <c r="A55" s="11">
        <v>43800</v>
      </c>
      <c r="B55" s="9"/>
      <c r="C55" s="9"/>
      <c r="D55" s="9">
        <v>290275</v>
      </c>
      <c r="E55" s="75" t="e">
        <f t="shared" si="1"/>
        <v>#DIV/0!</v>
      </c>
      <c r="F55" s="75" t="e">
        <f t="shared" si="2"/>
        <v>#DIV/0!</v>
      </c>
      <c r="G55" s="9">
        <f t="shared" si="3"/>
        <v>117764.5675</v>
      </c>
      <c r="H55" s="83">
        <f t="shared" si="4"/>
        <v>0</v>
      </c>
    </row>
    <row r="56" spans="1:8">
      <c r="A56" s="77">
        <v>43101</v>
      </c>
      <c r="B56" s="78"/>
      <c r="C56" s="78"/>
      <c r="D56" s="79">
        <v>357313</v>
      </c>
      <c r="E56" s="80" t="e">
        <f t="shared" si="1"/>
        <v>#DIV/0!</v>
      </c>
      <c r="F56" s="80" t="e">
        <f t="shared" si="2"/>
        <v>#DIV/0!</v>
      </c>
      <c r="G56" s="79">
        <f t="shared" si="3"/>
        <v>144961.8841</v>
      </c>
      <c r="H56" s="84">
        <f t="shared" si="4"/>
        <v>0</v>
      </c>
    </row>
    <row r="57" spans="1:8">
      <c r="A57" s="17">
        <v>43132</v>
      </c>
      <c r="B57" s="14"/>
      <c r="C57" s="14"/>
      <c r="D57" s="14">
        <v>289694</v>
      </c>
      <c r="E57" s="29" t="e">
        <f t="shared" si="1"/>
        <v>#DIV/0!</v>
      </c>
      <c r="F57" s="29" t="e">
        <f t="shared" si="2"/>
        <v>#DIV/0!</v>
      </c>
      <c r="G57" s="14">
        <f t="shared" si="3"/>
        <v>117528.8558</v>
      </c>
      <c r="H57" s="82">
        <f t="shared" si="4"/>
        <v>0</v>
      </c>
    </row>
    <row r="58" spans="1:8">
      <c r="A58" s="17">
        <v>43160</v>
      </c>
      <c r="B58" s="14"/>
      <c r="C58" s="14"/>
      <c r="D58" s="14">
        <v>287159</v>
      </c>
      <c r="E58" s="29" t="e">
        <f t="shared" si="1"/>
        <v>#DIV/0!</v>
      </c>
      <c r="F58" s="29" t="e">
        <f t="shared" si="2"/>
        <v>#DIV/0!</v>
      </c>
      <c r="G58" s="14">
        <f t="shared" si="3"/>
        <v>116500.4063</v>
      </c>
      <c r="H58" s="82">
        <f t="shared" si="4"/>
        <v>0</v>
      </c>
    </row>
    <row r="59" spans="1:8">
      <c r="A59" s="17">
        <v>43191</v>
      </c>
      <c r="B59" s="14"/>
      <c r="C59" s="14"/>
      <c r="D59" s="14">
        <v>302303</v>
      </c>
      <c r="E59" s="29" t="e">
        <f t="shared" si="1"/>
        <v>#DIV/0!</v>
      </c>
      <c r="F59" s="29" t="e">
        <f t="shared" si="2"/>
        <v>#DIV/0!</v>
      </c>
      <c r="G59" s="14">
        <f t="shared" si="3"/>
        <v>122644.32709999999</v>
      </c>
      <c r="H59" s="82">
        <f t="shared" si="4"/>
        <v>0</v>
      </c>
    </row>
    <row r="60" spans="1:8">
      <c r="A60" s="17">
        <v>43221</v>
      </c>
      <c r="B60" s="14"/>
      <c r="C60" s="14"/>
      <c r="D60" s="14">
        <v>304803</v>
      </c>
      <c r="E60" s="29" t="e">
        <f t="shared" si="1"/>
        <v>#DIV/0!</v>
      </c>
      <c r="F60" s="29" t="e">
        <f t="shared" si="2"/>
        <v>#DIV/0!</v>
      </c>
      <c r="G60" s="14">
        <f t="shared" si="3"/>
        <v>123658.57709999999</v>
      </c>
      <c r="H60" s="82">
        <f t="shared" si="4"/>
        <v>0</v>
      </c>
    </row>
    <row r="61" spans="1:8">
      <c r="A61" s="17">
        <v>43252</v>
      </c>
      <c r="B61" s="14"/>
      <c r="C61" s="14"/>
      <c r="D61" s="14">
        <v>285659</v>
      </c>
      <c r="E61" s="29" t="e">
        <f t="shared" si="1"/>
        <v>#DIV/0!</v>
      </c>
      <c r="F61" s="29" t="e">
        <f t="shared" si="2"/>
        <v>#DIV/0!</v>
      </c>
      <c r="G61" s="14">
        <f t="shared" si="3"/>
        <v>115891.8563</v>
      </c>
      <c r="H61" s="82">
        <f t="shared" si="4"/>
        <v>0</v>
      </c>
    </row>
    <row r="62" spans="1:8">
      <c r="A62" s="17">
        <v>43282</v>
      </c>
      <c r="B62" s="14"/>
      <c r="C62" s="14"/>
      <c r="D62" s="14">
        <v>303348</v>
      </c>
      <c r="E62" s="29" t="e">
        <f t="shared" si="1"/>
        <v>#DIV/0!</v>
      </c>
      <c r="F62" s="29" t="e">
        <f t="shared" si="2"/>
        <v>#DIV/0!</v>
      </c>
      <c r="G62" s="14">
        <f t="shared" si="3"/>
        <v>123068.2836</v>
      </c>
      <c r="H62" s="82">
        <f t="shared" si="4"/>
        <v>0</v>
      </c>
    </row>
    <row r="63" spans="1:8">
      <c r="A63" s="17">
        <v>43313</v>
      </c>
      <c r="B63" s="14"/>
      <c r="C63" s="14"/>
      <c r="D63" s="14">
        <v>314869</v>
      </c>
      <c r="E63" s="29" t="e">
        <f t="shared" si="1"/>
        <v>#DIV/0!</v>
      </c>
      <c r="F63" s="29" t="e">
        <f t="shared" si="2"/>
        <v>#DIV/0!</v>
      </c>
      <c r="G63" s="14">
        <f t="shared" si="3"/>
        <v>127742.3533</v>
      </c>
      <c r="H63" s="82">
        <f t="shared" si="4"/>
        <v>0</v>
      </c>
    </row>
    <row r="64" spans="1:8">
      <c r="A64" s="17">
        <v>43344</v>
      </c>
      <c r="B64" s="14"/>
      <c r="C64" s="14"/>
      <c r="D64" s="14">
        <v>271748</v>
      </c>
      <c r="E64" s="29" t="e">
        <f t="shared" si="1"/>
        <v>#DIV/0!</v>
      </c>
      <c r="F64" s="29" t="e">
        <f t="shared" si="2"/>
        <v>#DIV/0!</v>
      </c>
      <c r="G64" s="14">
        <f t="shared" si="3"/>
        <v>110248.1636</v>
      </c>
      <c r="H64" s="82">
        <f t="shared" si="4"/>
        <v>0</v>
      </c>
    </row>
    <row r="65" spans="1:8">
      <c r="A65" s="17">
        <v>43374</v>
      </c>
      <c r="B65" s="14"/>
      <c r="C65" s="14"/>
      <c r="D65" s="14">
        <v>319222</v>
      </c>
      <c r="E65" s="29" t="e">
        <f t="shared" si="1"/>
        <v>#DIV/0!</v>
      </c>
      <c r="F65" s="29" t="e">
        <f t="shared" si="2"/>
        <v>#DIV/0!</v>
      </c>
      <c r="G65" s="14">
        <f t="shared" si="3"/>
        <v>129508.3654</v>
      </c>
      <c r="H65" s="82">
        <f t="shared" si="4"/>
        <v>0</v>
      </c>
    </row>
    <row r="66" spans="1:8">
      <c r="A66" s="17">
        <v>43405</v>
      </c>
      <c r="B66" s="14"/>
      <c r="C66" s="14"/>
      <c r="D66" s="14">
        <v>289201</v>
      </c>
      <c r="E66" s="29" t="e">
        <f t="shared" si="1"/>
        <v>#DIV/0!</v>
      </c>
      <c r="F66" s="29" t="e">
        <f t="shared" si="2"/>
        <v>#DIV/0!</v>
      </c>
      <c r="G66" s="14">
        <f t="shared" si="3"/>
        <v>117328.84570000001</v>
      </c>
      <c r="H66" s="82">
        <f t="shared" si="4"/>
        <v>0</v>
      </c>
    </row>
    <row r="67" spans="1:8" ht="14.65" thickBot="1">
      <c r="A67" s="11">
        <v>43435</v>
      </c>
      <c r="B67" s="9"/>
      <c r="C67" s="9"/>
      <c r="D67" s="9">
        <v>263923</v>
      </c>
      <c r="E67" s="75" t="e">
        <f t="shared" si="1"/>
        <v>#DIV/0!</v>
      </c>
      <c r="F67" s="75" t="e">
        <f t="shared" si="2"/>
        <v>#DIV/0!</v>
      </c>
      <c r="G67" s="9">
        <f t="shared" si="3"/>
        <v>107073.56110000001</v>
      </c>
      <c r="H67" s="83">
        <f t="shared" si="4"/>
        <v>0</v>
      </c>
    </row>
    <row r="69" spans="1:8">
      <c r="B69" s="2">
        <f>SUM(B8:B68)</f>
        <v>0</v>
      </c>
      <c r="C69" s="2">
        <f t="shared" ref="C69:D69" si="5">SUM(C8:C68)</f>
        <v>0</v>
      </c>
      <c r="D69" s="2">
        <f t="shared" si="5"/>
        <v>10321766</v>
      </c>
    </row>
    <row r="70" spans="1:8">
      <c r="B70" s="2" t="s">
        <v>56</v>
      </c>
      <c r="C70" s="2" t="s">
        <v>57</v>
      </c>
    </row>
  </sheetData>
  <mergeCells count="5">
    <mergeCell ref="A1:A2"/>
    <mergeCell ref="B1:B2"/>
    <mergeCell ref="C1:C2"/>
    <mergeCell ref="D1:D2"/>
    <mergeCell ref="E1:G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DA38-D8D9-409A-AD6C-B3EB561F03D4}">
  <dimension ref="A1:L82"/>
  <sheetViews>
    <sheetView topLeftCell="A4" zoomScale="90" zoomScaleNormal="90" workbookViewId="0">
      <selection activeCell="I10" sqref="I10"/>
    </sheetView>
  </sheetViews>
  <sheetFormatPr defaultColWidth="8.796875" defaultRowHeight="14.25"/>
  <cols>
    <col min="2" max="4" width="25.46484375" customWidth="1"/>
    <col min="5" max="6" width="20.46484375" customWidth="1"/>
    <col min="7" max="12" width="15.46484375" style="67" customWidth="1"/>
  </cols>
  <sheetData>
    <row r="1" spans="1:12">
      <c r="A1" s="150" t="s">
        <v>11</v>
      </c>
      <c r="B1" s="150" t="s">
        <v>0</v>
      </c>
      <c r="C1" s="150" t="s">
        <v>5</v>
      </c>
      <c r="D1" s="153" t="s">
        <v>13</v>
      </c>
      <c r="E1" s="157"/>
      <c r="F1" s="157"/>
      <c r="G1" s="157"/>
      <c r="H1" s="157"/>
      <c r="I1" s="158"/>
      <c r="J1"/>
      <c r="K1"/>
      <c r="L1"/>
    </row>
    <row r="2" spans="1:12">
      <c r="A2" s="150"/>
      <c r="B2" s="150"/>
      <c r="C2" s="150"/>
      <c r="D2" s="60" t="s">
        <v>14</v>
      </c>
      <c r="E2" s="60" t="s">
        <v>15</v>
      </c>
      <c r="F2" s="60" t="s">
        <v>16</v>
      </c>
      <c r="G2" s="60" t="s">
        <v>17</v>
      </c>
      <c r="H2" s="60" t="s">
        <v>18</v>
      </c>
      <c r="I2" s="60" t="s">
        <v>19</v>
      </c>
      <c r="J2"/>
      <c r="K2"/>
      <c r="L2"/>
    </row>
    <row r="3" spans="1:12">
      <c r="A3" s="61">
        <v>1</v>
      </c>
      <c r="B3" s="61" t="s">
        <v>49</v>
      </c>
      <c r="C3" s="61">
        <v>49021</v>
      </c>
      <c r="D3" s="62">
        <f>AVERAGE(H40,H55,H70)</f>
        <v>112.57963921584629</v>
      </c>
      <c r="E3" s="63">
        <f>ROUND(D3*0.9,0)</f>
        <v>101</v>
      </c>
      <c r="F3" s="62">
        <f>AVERAGE(I52,I67,I82)</f>
        <v>66.836871575330619</v>
      </c>
      <c r="G3" s="62">
        <f>F3*0.9</f>
        <v>60.153184417797561</v>
      </c>
      <c r="H3" s="61">
        <v>0.22900000000000001</v>
      </c>
      <c r="I3" s="64">
        <f>H3*0.7</f>
        <v>0.1603</v>
      </c>
      <c r="J3"/>
      <c r="K3"/>
      <c r="L3"/>
    </row>
    <row r="5" spans="1:12">
      <c r="A5" s="65" t="s">
        <v>3</v>
      </c>
      <c r="B5" s="65"/>
      <c r="C5" s="65"/>
      <c r="D5" s="65"/>
      <c r="E5" s="66"/>
      <c r="F5" s="66"/>
    </row>
    <row r="6" spans="1:12">
      <c r="A6" s="65" t="s">
        <v>20</v>
      </c>
      <c r="B6" s="65"/>
      <c r="C6" s="65"/>
      <c r="D6" s="65"/>
      <c r="E6" s="66"/>
      <c r="F6" s="66"/>
    </row>
    <row r="7" spans="1:12">
      <c r="A7" s="65" t="s">
        <v>21</v>
      </c>
      <c r="B7" s="65"/>
      <c r="C7" s="65"/>
      <c r="D7" s="65"/>
      <c r="E7" s="66"/>
      <c r="F7" s="66"/>
    </row>
    <row r="9" spans="1:12" ht="28.5">
      <c r="A9" s="68" t="s">
        <v>12</v>
      </c>
      <c r="B9" s="68" t="s">
        <v>42</v>
      </c>
      <c r="C9" s="68" t="s">
        <v>43</v>
      </c>
      <c r="D9" s="68" t="s">
        <v>44</v>
      </c>
      <c r="E9" s="68" t="s">
        <v>6</v>
      </c>
      <c r="F9" s="68" t="s">
        <v>7</v>
      </c>
      <c r="G9" s="69" t="s">
        <v>8</v>
      </c>
      <c r="H9" s="68" t="s">
        <v>9</v>
      </c>
      <c r="I9" s="68" t="s">
        <v>10</v>
      </c>
      <c r="J9" s="68" t="s">
        <v>4</v>
      </c>
      <c r="K9" s="6" t="s">
        <v>45</v>
      </c>
    </row>
    <row r="10" spans="1:12">
      <c r="A10" s="70">
        <v>44562</v>
      </c>
      <c r="B10" s="61">
        <v>411459.43</v>
      </c>
      <c r="C10" s="71">
        <v>1855</v>
      </c>
      <c r="D10" s="14">
        <v>3336</v>
      </c>
      <c r="E10" s="61">
        <v>1087</v>
      </c>
      <c r="F10" s="61">
        <v>500</v>
      </c>
      <c r="G10" s="61">
        <v>20</v>
      </c>
      <c r="H10" s="154">
        <f>SUM(B10:B21)/$C$3</f>
        <v>81.078170375961321</v>
      </c>
      <c r="I10" s="62">
        <f>C10*1000/(E10+0.25*F10)/G10</f>
        <v>76.526402640264024</v>
      </c>
      <c r="J10" s="64">
        <f>D10/(E10+F10)/G10</f>
        <v>0.10510396975425332</v>
      </c>
      <c r="K10" s="67" t="s">
        <v>46</v>
      </c>
      <c r="L10" s="67" t="s">
        <v>47</v>
      </c>
    </row>
    <row r="11" spans="1:12">
      <c r="A11" s="70">
        <v>44593</v>
      </c>
      <c r="B11" s="61">
        <v>391697.46</v>
      </c>
      <c r="C11" s="71">
        <v>3068</v>
      </c>
      <c r="D11" s="14">
        <v>2833</v>
      </c>
      <c r="E11" s="61">
        <v>1600</v>
      </c>
      <c r="F11" s="61">
        <v>500</v>
      </c>
      <c r="G11" s="61">
        <v>20</v>
      </c>
      <c r="H11" s="155"/>
      <c r="I11" s="62">
        <f t="shared" ref="I11:I21" si="0">C11*1000/(E11+0.25*F11)/G11</f>
        <v>88.927536231884062</v>
      </c>
      <c r="J11" s="64">
        <f t="shared" ref="J11:J21" si="1">D11/(E11+F11)/G11</f>
        <v>6.7452380952380958E-2</v>
      </c>
      <c r="K11" s="67" t="s">
        <v>48</v>
      </c>
    </row>
    <row r="12" spans="1:12">
      <c r="A12" s="70">
        <v>44621</v>
      </c>
      <c r="B12" s="61">
        <v>465370.13</v>
      </c>
      <c r="C12" s="71">
        <v>2458.1</v>
      </c>
      <c r="D12" s="14">
        <v>4102</v>
      </c>
      <c r="E12" s="61">
        <v>1600</v>
      </c>
      <c r="F12" s="61">
        <v>500</v>
      </c>
      <c r="G12" s="61">
        <v>20</v>
      </c>
      <c r="H12" s="155"/>
      <c r="I12" s="62">
        <f t="shared" si="0"/>
        <v>71.249275362318841</v>
      </c>
      <c r="J12" s="64">
        <f t="shared" si="1"/>
        <v>9.7666666666666666E-2</v>
      </c>
    </row>
    <row r="13" spans="1:12">
      <c r="A13" s="70">
        <v>44652</v>
      </c>
      <c r="B13" s="61">
        <v>438599.64</v>
      </c>
      <c r="C13" s="71">
        <v>2367.5</v>
      </c>
      <c r="D13" s="14">
        <v>4277</v>
      </c>
      <c r="E13" s="61">
        <v>1600</v>
      </c>
      <c r="F13" s="61">
        <v>500</v>
      </c>
      <c r="G13" s="61">
        <v>20</v>
      </c>
      <c r="H13" s="155"/>
      <c r="I13" s="62">
        <f t="shared" si="0"/>
        <v>68.623188405797094</v>
      </c>
      <c r="J13" s="64">
        <f t="shared" si="1"/>
        <v>0.10183333333333333</v>
      </c>
    </row>
    <row r="14" spans="1:12" s="67" customFormat="1">
      <c r="A14" s="70">
        <v>44682</v>
      </c>
      <c r="B14" s="61">
        <v>448974.91000000003</v>
      </c>
      <c r="C14" s="71">
        <v>2493.1999999999998</v>
      </c>
      <c r="D14" s="14">
        <v>3763</v>
      </c>
      <c r="E14" s="61">
        <v>1600</v>
      </c>
      <c r="F14" s="61">
        <v>500</v>
      </c>
      <c r="G14" s="61">
        <v>20</v>
      </c>
      <c r="H14" s="155"/>
      <c r="I14" s="62">
        <f t="shared" si="0"/>
        <v>72.266666666666666</v>
      </c>
      <c r="J14" s="64">
        <f t="shared" si="1"/>
        <v>8.9595238095238089E-2</v>
      </c>
    </row>
    <row r="15" spans="1:12" s="67" customFormat="1">
      <c r="A15" s="70">
        <v>44713</v>
      </c>
      <c r="B15" s="61">
        <v>462581.11</v>
      </c>
      <c r="C15" s="71">
        <v>2773.5</v>
      </c>
      <c r="D15" s="14">
        <v>4155</v>
      </c>
      <c r="E15" s="61">
        <v>1600</v>
      </c>
      <c r="F15" s="61">
        <v>500</v>
      </c>
      <c r="G15" s="61">
        <v>20</v>
      </c>
      <c r="H15" s="155"/>
      <c r="I15" s="62">
        <f t="shared" si="0"/>
        <v>80.391304347826093</v>
      </c>
      <c r="J15" s="64">
        <f t="shared" si="1"/>
        <v>9.8928571428571435E-2</v>
      </c>
    </row>
    <row r="16" spans="1:12" s="67" customFormat="1">
      <c r="A16" s="70">
        <v>44743</v>
      </c>
      <c r="B16" s="61">
        <v>457675.7</v>
      </c>
      <c r="C16" s="71">
        <v>2428.9</v>
      </c>
      <c r="D16" s="14">
        <v>3680</v>
      </c>
      <c r="E16" s="61">
        <v>1600</v>
      </c>
      <c r="F16" s="61">
        <v>500</v>
      </c>
      <c r="G16" s="61">
        <v>20</v>
      </c>
      <c r="H16" s="155"/>
      <c r="I16" s="62">
        <f t="shared" si="0"/>
        <v>70.402898550724643</v>
      </c>
      <c r="J16" s="64">
        <f t="shared" si="1"/>
        <v>8.7619047619047624E-2</v>
      </c>
    </row>
    <row r="17" spans="1:10" s="67" customFormat="1">
      <c r="A17" s="70">
        <v>44774</v>
      </c>
      <c r="B17" s="61">
        <v>461493.32</v>
      </c>
      <c r="C17" s="71">
        <v>2489.4</v>
      </c>
      <c r="D17" s="14">
        <v>3132</v>
      </c>
      <c r="E17" s="61">
        <v>1600</v>
      </c>
      <c r="F17" s="61">
        <v>500</v>
      </c>
      <c r="G17" s="61">
        <v>20</v>
      </c>
      <c r="H17" s="155"/>
      <c r="I17" s="62">
        <f t="shared" si="0"/>
        <v>72.15652173913044</v>
      </c>
      <c r="J17" s="64">
        <f t="shared" si="1"/>
        <v>7.4571428571428566E-2</v>
      </c>
    </row>
    <row r="18" spans="1:10" s="67" customFormat="1">
      <c r="A18" s="70">
        <v>44805</v>
      </c>
      <c r="B18" s="72">
        <v>436681.29</v>
      </c>
      <c r="C18" s="71">
        <v>2666.2</v>
      </c>
      <c r="D18" s="14">
        <v>2504</v>
      </c>
      <c r="E18" s="61">
        <v>2492</v>
      </c>
      <c r="F18" s="61">
        <v>500</v>
      </c>
      <c r="G18" s="61">
        <v>20</v>
      </c>
      <c r="H18" s="155"/>
      <c r="I18" s="62">
        <f t="shared" si="0"/>
        <v>50.940007642338557</v>
      </c>
      <c r="J18" s="64">
        <f t="shared" si="1"/>
        <v>4.1844919786096259E-2</v>
      </c>
    </row>
    <row r="19" spans="1:10" s="67" customFormat="1">
      <c r="A19" s="70">
        <v>44835</v>
      </c>
      <c r="B19" s="61"/>
      <c r="C19" s="61"/>
      <c r="D19" s="61"/>
      <c r="E19" s="61"/>
      <c r="F19" s="61">
        <v>500</v>
      </c>
      <c r="G19" s="61">
        <v>20</v>
      </c>
      <c r="H19" s="155"/>
      <c r="I19" s="62">
        <f t="shared" si="0"/>
        <v>0</v>
      </c>
      <c r="J19" s="64">
        <f t="shared" si="1"/>
        <v>0</v>
      </c>
    </row>
    <row r="20" spans="1:10" s="67" customFormat="1">
      <c r="A20" s="70">
        <v>44866</v>
      </c>
      <c r="B20" s="61"/>
      <c r="C20" s="61"/>
      <c r="D20" s="61"/>
      <c r="E20" s="61"/>
      <c r="F20" s="61">
        <v>500</v>
      </c>
      <c r="G20" s="61">
        <v>20</v>
      </c>
      <c r="H20" s="155"/>
      <c r="I20" s="62">
        <f t="shared" si="0"/>
        <v>0</v>
      </c>
      <c r="J20" s="64">
        <f t="shared" si="1"/>
        <v>0</v>
      </c>
    </row>
    <row r="21" spans="1:10" s="67" customFormat="1">
      <c r="A21" s="70">
        <v>44896</v>
      </c>
      <c r="B21" s="61"/>
      <c r="C21" s="61"/>
      <c r="D21" s="61"/>
      <c r="E21" s="61"/>
      <c r="F21" s="61">
        <v>500</v>
      </c>
      <c r="G21" s="61">
        <v>20</v>
      </c>
      <c r="H21" s="156"/>
      <c r="I21" s="62">
        <f t="shared" si="0"/>
        <v>0</v>
      </c>
      <c r="J21" s="64">
        <f t="shared" si="1"/>
        <v>0</v>
      </c>
    </row>
    <row r="22" spans="1:10" s="67" customFormat="1">
      <c r="A22" s="61"/>
      <c r="B22" s="61"/>
      <c r="C22" s="61"/>
      <c r="D22" s="61"/>
      <c r="E22" s="61"/>
      <c r="F22" s="61"/>
      <c r="G22" s="61"/>
      <c r="H22" s="61"/>
      <c r="I22" s="62">
        <f>AVERAGE(I10:I21)</f>
        <v>54.290316798912535</v>
      </c>
      <c r="J22" s="62">
        <f>AVERAGE(J10:J21)</f>
        <v>6.3717963017251369E-2</v>
      </c>
    </row>
    <row r="23" spans="1:10" s="67" customFormat="1">
      <c r="A23"/>
      <c r="B23"/>
      <c r="C23"/>
      <c r="D23"/>
      <c r="E23"/>
      <c r="F23"/>
    </row>
    <row r="24" spans="1:10" s="67" customFormat="1" ht="28.5">
      <c r="A24" s="68" t="s">
        <v>12</v>
      </c>
      <c r="B24" s="68" t="s">
        <v>42</v>
      </c>
      <c r="C24" s="68" t="s">
        <v>43</v>
      </c>
      <c r="D24" s="68" t="s">
        <v>44</v>
      </c>
      <c r="E24" s="68" t="s">
        <v>6</v>
      </c>
      <c r="F24" s="68" t="s">
        <v>7</v>
      </c>
      <c r="G24" s="69" t="s">
        <v>8</v>
      </c>
      <c r="H24" s="68" t="s">
        <v>9</v>
      </c>
      <c r="I24" s="68" t="s">
        <v>10</v>
      </c>
      <c r="J24" s="68" t="s">
        <v>4</v>
      </c>
    </row>
    <row r="25" spans="1:10" s="67" customFormat="1">
      <c r="A25" s="70">
        <v>44197</v>
      </c>
      <c r="B25" s="61">
        <v>389574.15800000005</v>
      </c>
      <c r="C25" s="61">
        <v>1831.8</v>
      </c>
      <c r="D25" s="61"/>
      <c r="E25" s="61">
        <v>1087</v>
      </c>
      <c r="F25" s="61">
        <v>500</v>
      </c>
      <c r="G25" s="61">
        <v>20</v>
      </c>
      <c r="H25" s="154">
        <f>SUM(B25:B36)/$C$3</f>
        <v>96.481380000407995</v>
      </c>
      <c r="I25" s="62">
        <f>C25*1000/(E25+0.25*F25)/G25</f>
        <v>75.569306930693074</v>
      </c>
      <c r="J25" s="61"/>
    </row>
    <row r="26" spans="1:10" s="67" customFormat="1">
      <c r="A26" s="70">
        <v>44228</v>
      </c>
      <c r="B26" s="61">
        <v>360604.30499999999</v>
      </c>
      <c r="C26" s="61">
        <v>1859.9</v>
      </c>
      <c r="D26" s="61"/>
      <c r="E26" s="61">
        <v>1087</v>
      </c>
      <c r="F26" s="61">
        <v>500</v>
      </c>
      <c r="G26" s="61">
        <v>20</v>
      </c>
      <c r="H26" s="155"/>
      <c r="I26" s="62">
        <f t="shared" ref="I26:I36" si="2">C26*1000/(E26+0.25*F26)/G26</f>
        <v>76.728547854785489</v>
      </c>
      <c r="J26" s="61"/>
    </row>
    <row r="27" spans="1:10" s="67" customFormat="1">
      <c r="A27" s="70">
        <v>44256</v>
      </c>
      <c r="B27" s="61">
        <v>430666.81900000002</v>
      </c>
      <c r="C27" s="61">
        <v>1985.2</v>
      </c>
      <c r="D27" s="61"/>
      <c r="E27" s="61">
        <v>1087</v>
      </c>
      <c r="F27" s="61">
        <v>500</v>
      </c>
      <c r="G27" s="61">
        <v>20</v>
      </c>
      <c r="H27" s="155"/>
      <c r="I27" s="62">
        <f t="shared" si="2"/>
        <v>81.897689768976903</v>
      </c>
      <c r="J27" s="61"/>
    </row>
    <row r="28" spans="1:10" s="67" customFormat="1">
      <c r="A28" s="70">
        <v>44287</v>
      </c>
      <c r="B28" s="61">
        <v>434105.15299999999</v>
      </c>
      <c r="C28" s="61">
        <v>2273</v>
      </c>
      <c r="D28" s="61"/>
      <c r="E28" s="61">
        <v>1087</v>
      </c>
      <c r="F28" s="61">
        <v>500</v>
      </c>
      <c r="G28" s="61">
        <v>20</v>
      </c>
      <c r="H28" s="155"/>
      <c r="I28" s="62">
        <f t="shared" si="2"/>
        <v>93.770627062706268</v>
      </c>
      <c r="J28" s="61"/>
    </row>
    <row r="29" spans="1:10" s="67" customFormat="1">
      <c r="A29" s="70">
        <v>44317</v>
      </c>
      <c r="B29" s="61">
        <v>400630.63399999996</v>
      </c>
      <c r="C29" s="61">
        <v>2006.5</v>
      </c>
      <c r="D29" s="61"/>
      <c r="E29" s="61">
        <v>1087</v>
      </c>
      <c r="F29" s="61">
        <v>500</v>
      </c>
      <c r="G29" s="61">
        <v>20</v>
      </c>
      <c r="H29" s="155"/>
      <c r="I29" s="62">
        <f t="shared" si="2"/>
        <v>82.776402640264024</v>
      </c>
      <c r="J29" s="61"/>
    </row>
    <row r="30" spans="1:10" s="67" customFormat="1">
      <c r="A30" s="70">
        <v>44348</v>
      </c>
      <c r="B30" s="61">
        <v>400630</v>
      </c>
      <c r="C30" s="61">
        <v>2269.4</v>
      </c>
      <c r="D30" s="61"/>
      <c r="E30" s="61">
        <v>1087</v>
      </c>
      <c r="F30" s="61">
        <v>500</v>
      </c>
      <c r="G30" s="61">
        <v>20</v>
      </c>
      <c r="H30" s="155"/>
      <c r="I30" s="62">
        <f t="shared" si="2"/>
        <v>93.622112211221122</v>
      </c>
      <c r="J30" s="61"/>
    </row>
    <row r="31" spans="1:10" s="67" customFormat="1">
      <c r="A31" s="70">
        <v>44378</v>
      </c>
      <c r="B31" s="61">
        <v>388860.76999999996</v>
      </c>
      <c r="C31" s="61">
        <v>1865.8000000000002</v>
      </c>
      <c r="D31" s="61"/>
      <c r="E31" s="61">
        <v>1087</v>
      </c>
      <c r="F31" s="61">
        <v>500</v>
      </c>
      <c r="G31" s="61">
        <v>20</v>
      </c>
      <c r="H31" s="155"/>
      <c r="I31" s="62">
        <f t="shared" si="2"/>
        <v>76.97194719471949</v>
      </c>
      <c r="J31" s="61"/>
    </row>
    <row r="32" spans="1:10" s="67" customFormat="1">
      <c r="A32" s="70">
        <v>44409</v>
      </c>
      <c r="B32" s="61">
        <v>334558.28000000003</v>
      </c>
      <c r="C32" s="61">
        <v>2290.1</v>
      </c>
      <c r="D32" s="61"/>
      <c r="E32" s="61">
        <v>1087</v>
      </c>
      <c r="F32" s="61">
        <v>500</v>
      </c>
      <c r="G32" s="61">
        <v>20</v>
      </c>
      <c r="H32" s="155"/>
      <c r="I32" s="62">
        <f t="shared" si="2"/>
        <v>94.476072607260718</v>
      </c>
      <c r="J32" s="61"/>
    </row>
    <row r="33" spans="1:10" s="67" customFormat="1">
      <c r="A33" s="70">
        <v>44440</v>
      </c>
      <c r="B33" s="61">
        <v>407836.68000000005</v>
      </c>
      <c r="C33" s="61">
        <v>3465.8999999999996</v>
      </c>
      <c r="D33" s="61"/>
      <c r="E33" s="61">
        <v>1087</v>
      </c>
      <c r="F33" s="61">
        <v>500</v>
      </c>
      <c r="G33" s="61">
        <v>20</v>
      </c>
      <c r="H33" s="155"/>
      <c r="I33" s="62">
        <f t="shared" si="2"/>
        <v>142.9826732673267</v>
      </c>
      <c r="J33" s="61"/>
    </row>
    <row r="34" spans="1:10" s="67" customFormat="1">
      <c r="A34" s="70">
        <v>44470</v>
      </c>
      <c r="B34" s="61">
        <v>394780.32</v>
      </c>
      <c r="C34" s="61">
        <v>1772.6999999999998</v>
      </c>
      <c r="D34" s="61"/>
      <c r="E34" s="61">
        <v>1087</v>
      </c>
      <c r="F34" s="61">
        <v>500</v>
      </c>
      <c r="G34" s="61">
        <v>20</v>
      </c>
      <c r="H34" s="155"/>
      <c r="I34" s="62">
        <f t="shared" si="2"/>
        <v>73.131188118811878</v>
      </c>
      <c r="J34" s="61"/>
    </row>
    <row r="35" spans="1:10" s="67" customFormat="1">
      <c r="A35" s="70">
        <v>44501</v>
      </c>
      <c r="B35" s="61">
        <v>386704.42000000004</v>
      </c>
      <c r="C35" s="61">
        <v>1917.4</v>
      </c>
      <c r="D35" s="61"/>
      <c r="E35" s="61">
        <v>1087</v>
      </c>
      <c r="F35" s="61">
        <v>500</v>
      </c>
      <c r="G35" s="61">
        <v>20</v>
      </c>
      <c r="H35" s="155"/>
      <c r="I35" s="62">
        <f t="shared" si="2"/>
        <v>79.100660066006611</v>
      </c>
      <c r="J35" s="61"/>
    </row>
    <row r="36" spans="1:10" s="67" customFormat="1">
      <c r="A36" s="70">
        <v>44531</v>
      </c>
      <c r="B36" s="61">
        <v>400662.19000000006</v>
      </c>
      <c r="C36" s="61">
        <v>1723.2</v>
      </c>
      <c r="D36" s="61"/>
      <c r="E36" s="61">
        <v>1087</v>
      </c>
      <c r="F36" s="61">
        <v>500</v>
      </c>
      <c r="G36" s="61">
        <v>20</v>
      </c>
      <c r="H36" s="156"/>
      <c r="I36" s="62">
        <f t="shared" si="2"/>
        <v>71.089108910891099</v>
      </c>
      <c r="J36" s="61"/>
    </row>
    <row r="37" spans="1:10" s="67" customFormat="1">
      <c r="A37" s="61"/>
      <c r="B37" s="61"/>
      <c r="C37" s="61"/>
      <c r="D37" s="61"/>
      <c r="E37" s="61"/>
      <c r="F37" s="61"/>
      <c r="G37" s="61"/>
      <c r="H37" s="61"/>
      <c r="I37" s="62">
        <f>AVERAGE(I25:I36)</f>
        <v>86.84302805280528</v>
      </c>
      <c r="J37" s="61"/>
    </row>
    <row r="39" spans="1:10" s="67" customFormat="1" ht="28.5">
      <c r="A39" s="68" t="s">
        <v>12</v>
      </c>
      <c r="B39" s="68" t="s">
        <v>42</v>
      </c>
      <c r="C39" s="68" t="s">
        <v>43</v>
      </c>
      <c r="D39" s="68" t="s">
        <v>44</v>
      </c>
      <c r="E39" s="68" t="s">
        <v>6</v>
      </c>
      <c r="F39" s="68" t="s">
        <v>7</v>
      </c>
      <c r="G39" s="69" t="s">
        <v>8</v>
      </c>
      <c r="H39" s="68" t="s">
        <v>9</v>
      </c>
      <c r="I39" s="68" t="s">
        <v>10</v>
      </c>
      <c r="J39" s="68" t="s">
        <v>4</v>
      </c>
    </row>
    <row r="40" spans="1:10" s="67" customFormat="1">
      <c r="A40" s="70">
        <v>43831</v>
      </c>
      <c r="B40" s="61">
        <v>465849.92</v>
      </c>
      <c r="C40" s="61">
        <v>3225.4</v>
      </c>
      <c r="D40" s="61"/>
      <c r="E40" s="61">
        <v>2177</v>
      </c>
      <c r="F40" s="61">
        <v>1000</v>
      </c>
      <c r="G40" s="61">
        <v>21.6</v>
      </c>
      <c r="H40" s="154">
        <f>SUM(B40:B51)/$C$3</f>
        <v>98.949506742008538</v>
      </c>
      <c r="I40" s="62">
        <f>C40*1000/(E40+0.25*F40)/G40</f>
        <v>61.52619450930122</v>
      </c>
      <c r="J40" s="61"/>
    </row>
    <row r="41" spans="1:10" s="67" customFormat="1">
      <c r="A41" s="70">
        <v>43862</v>
      </c>
      <c r="B41" s="61">
        <v>435058.41600000003</v>
      </c>
      <c r="C41" s="61">
        <v>3208</v>
      </c>
      <c r="D41" s="61"/>
      <c r="E41" s="61">
        <v>2177</v>
      </c>
      <c r="F41" s="61">
        <v>1000</v>
      </c>
      <c r="G41" s="61">
        <v>21.6</v>
      </c>
      <c r="H41" s="155"/>
      <c r="I41" s="62">
        <f t="shared" ref="I41:I51" si="3">C41*1000/(E41+0.25*F41)/G41</f>
        <v>61.194280394939639</v>
      </c>
      <c r="J41" s="61"/>
    </row>
    <row r="42" spans="1:10" s="67" customFormat="1">
      <c r="A42" s="70">
        <v>43891</v>
      </c>
      <c r="B42" s="61">
        <v>483764.49199999997</v>
      </c>
      <c r="C42" s="61">
        <v>3008.7</v>
      </c>
      <c r="D42" s="61"/>
      <c r="E42" s="61">
        <v>2177</v>
      </c>
      <c r="F42" s="61">
        <v>1000</v>
      </c>
      <c r="G42" s="61">
        <v>21.6</v>
      </c>
      <c r="H42" s="155"/>
      <c r="I42" s="62">
        <f t="shared" si="3"/>
        <v>57.392528498832569</v>
      </c>
      <c r="J42" s="61"/>
    </row>
    <row r="43" spans="1:10" s="67" customFormat="1">
      <c r="A43" s="70">
        <v>43922</v>
      </c>
      <c r="B43" s="61">
        <v>380057.40500000003</v>
      </c>
      <c r="C43" s="61">
        <v>3319.3999999999996</v>
      </c>
      <c r="D43" s="61"/>
      <c r="E43" s="61">
        <v>1087</v>
      </c>
      <c r="F43" s="61">
        <v>0</v>
      </c>
      <c r="G43" s="61">
        <v>21.6</v>
      </c>
      <c r="H43" s="155"/>
      <c r="I43" s="62">
        <f t="shared" si="3"/>
        <v>141.37619680397967</v>
      </c>
      <c r="J43" s="61"/>
    </row>
    <row r="44" spans="1:10" s="67" customFormat="1">
      <c r="A44" s="70">
        <v>43952</v>
      </c>
      <c r="B44" s="61">
        <v>352139.70999999996</v>
      </c>
      <c r="C44" s="61">
        <v>3008.6000000000004</v>
      </c>
      <c r="D44" s="61"/>
      <c r="E44" s="61">
        <v>1087</v>
      </c>
      <c r="F44" s="61">
        <v>0</v>
      </c>
      <c r="G44" s="61">
        <v>21.6</v>
      </c>
      <c r="H44" s="155"/>
      <c r="I44" s="62">
        <f t="shared" si="3"/>
        <v>128.13894851613344</v>
      </c>
      <c r="J44" s="61"/>
    </row>
    <row r="45" spans="1:10" s="67" customFormat="1">
      <c r="A45" s="70">
        <v>43983</v>
      </c>
      <c r="B45" s="61">
        <v>374071.36499999999</v>
      </c>
      <c r="C45" s="61">
        <v>1958.4</v>
      </c>
      <c r="D45" s="61"/>
      <c r="E45" s="61">
        <v>1087</v>
      </c>
      <c r="F45" s="61">
        <v>0</v>
      </c>
      <c r="G45" s="61">
        <v>21.6</v>
      </c>
      <c r="H45" s="155"/>
      <c r="I45" s="62">
        <f t="shared" si="3"/>
        <v>83.409996933455986</v>
      </c>
      <c r="J45" s="61"/>
    </row>
    <row r="46" spans="1:10" s="67" customFormat="1">
      <c r="A46" s="70">
        <v>44013</v>
      </c>
      <c r="B46" s="61">
        <v>379408.63900000002</v>
      </c>
      <c r="C46" s="61">
        <v>2917.8999999999996</v>
      </c>
      <c r="D46" s="61"/>
      <c r="E46" s="61">
        <v>1087</v>
      </c>
      <c r="F46" s="61">
        <v>500</v>
      </c>
      <c r="G46" s="61">
        <v>21.6</v>
      </c>
      <c r="H46" s="155"/>
      <c r="I46" s="62">
        <f t="shared" si="3"/>
        <v>111.45871531597602</v>
      </c>
      <c r="J46" s="61"/>
    </row>
    <row r="47" spans="1:10" s="67" customFormat="1">
      <c r="A47" s="70">
        <v>44044</v>
      </c>
      <c r="B47" s="61">
        <v>378193.21600000001</v>
      </c>
      <c r="C47" s="61">
        <v>302</v>
      </c>
      <c r="D47" s="61"/>
      <c r="E47" s="61">
        <v>1087</v>
      </c>
      <c r="F47" s="61">
        <v>500</v>
      </c>
      <c r="G47" s="61">
        <v>21.6</v>
      </c>
      <c r="H47" s="155"/>
      <c r="I47" s="62">
        <f t="shared" si="3"/>
        <v>11.535875809803201</v>
      </c>
      <c r="J47" s="61"/>
    </row>
    <row r="48" spans="1:10" s="67" customFormat="1">
      <c r="A48" s="70">
        <v>44075</v>
      </c>
      <c r="B48" s="61">
        <v>390127.29399999999</v>
      </c>
      <c r="C48" s="61">
        <v>2316.1999999999998</v>
      </c>
      <c r="D48" s="61"/>
      <c r="E48" s="61">
        <v>1087</v>
      </c>
      <c r="F48" s="61">
        <v>500</v>
      </c>
      <c r="G48" s="61">
        <v>21.6</v>
      </c>
      <c r="H48" s="155"/>
      <c r="I48" s="62">
        <f t="shared" si="3"/>
        <v>88.474819704192626</v>
      </c>
      <c r="J48" s="61"/>
    </row>
    <row r="49" spans="1:10" s="67" customFormat="1">
      <c r="A49" s="70">
        <v>44105</v>
      </c>
      <c r="B49" s="61">
        <v>414908.97700000001</v>
      </c>
      <c r="C49" s="61">
        <v>1433.1999999999998</v>
      </c>
      <c r="D49" s="61"/>
      <c r="E49" s="61">
        <v>1087</v>
      </c>
      <c r="F49" s="61">
        <v>500</v>
      </c>
      <c r="G49" s="61">
        <v>21.6</v>
      </c>
      <c r="H49" s="155"/>
      <c r="I49" s="62">
        <f t="shared" si="3"/>
        <v>54.745752353013067</v>
      </c>
      <c r="J49" s="61"/>
    </row>
    <row r="50" spans="1:10" s="67" customFormat="1">
      <c r="A50" s="70">
        <v>44136</v>
      </c>
      <c r="B50" s="61">
        <v>387314.43299999996</v>
      </c>
      <c r="C50" s="61">
        <v>1816.9</v>
      </c>
      <c r="D50" s="61"/>
      <c r="E50" s="61">
        <v>1087</v>
      </c>
      <c r="F50" s="61">
        <v>500</v>
      </c>
      <c r="G50" s="61">
        <v>21.6</v>
      </c>
      <c r="H50" s="155"/>
      <c r="I50" s="62">
        <f t="shared" si="3"/>
        <v>69.402426353746478</v>
      </c>
      <c r="J50" s="61"/>
    </row>
    <row r="51" spans="1:10" s="67" customFormat="1">
      <c r="A51" s="70">
        <v>44166</v>
      </c>
      <c r="B51" s="61">
        <v>409709.90299999999</v>
      </c>
      <c r="C51" s="61">
        <v>1904</v>
      </c>
      <c r="D51" s="61"/>
      <c r="E51" s="61">
        <v>1087</v>
      </c>
      <c r="F51" s="61">
        <v>500</v>
      </c>
      <c r="G51" s="61">
        <v>21.6</v>
      </c>
      <c r="H51" s="156"/>
      <c r="I51" s="62">
        <f t="shared" si="3"/>
        <v>72.729495171739387</v>
      </c>
      <c r="J51" s="61"/>
    </row>
    <row r="52" spans="1:10" s="67" customFormat="1">
      <c r="A52" s="61"/>
      <c r="B52" s="61"/>
      <c r="C52" s="61"/>
      <c r="D52" s="61"/>
      <c r="E52" s="61"/>
      <c r="F52" s="61"/>
      <c r="G52" s="61"/>
      <c r="H52" s="61"/>
      <c r="I52" s="62">
        <f>AVERAGE(I40:I51)</f>
        <v>78.448769197092773</v>
      </c>
      <c r="J52" s="61"/>
    </row>
    <row r="54" spans="1:10" s="67" customFormat="1" ht="28.5">
      <c r="A54" s="68" t="s">
        <v>12</v>
      </c>
      <c r="B54" s="68" t="s">
        <v>42</v>
      </c>
      <c r="C54" s="68" t="s">
        <v>43</v>
      </c>
      <c r="D54" s="68" t="s">
        <v>44</v>
      </c>
      <c r="E54" s="68" t="s">
        <v>6</v>
      </c>
      <c r="F54" s="68" t="s">
        <v>7</v>
      </c>
      <c r="G54" s="69" t="s">
        <v>8</v>
      </c>
      <c r="H54" s="68" t="s">
        <v>9</v>
      </c>
      <c r="I54" s="68" t="s">
        <v>10</v>
      </c>
      <c r="J54" s="68" t="s">
        <v>4</v>
      </c>
    </row>
    <row r="55" spans="1:10" s="67" customFormat="1">
      <c r="A55" s="70">
        <v>43466</v>
      </c>
      <c r="B55" s="61">
        <v>490264.85</v>
      </c>
      <c r="C55" s="61">
        <v>2989.4</v>
      </c>
      <c r="D55" s="61"/>
      <c r="E55" s="61">
        <v>2464</v>
      </c>
      <c r="F55" s="61">
        <v>1000</v>
      </c>
      <c r="G55" s="61">
        <v>21.6</v>
      </c>
      <c r="H55" s="154">
        <f>SUM(B55:B66)/$C$3</f>
        <v>115.66979245629426</v>
      </c>
      <c r="I55" s="62">
        <f>C55*1000/(E55+0.25*F55)/G55</f>
        <v>50.994159229236601</v>
      </c>
      <c r="J55" s="61"/>
    </row>
    <row r="56" spans="1:10" s="67" customFormat="1">
      <c r="A56" s="70">
        <v>43497</v>
      </c>
      <c r="B56" s="61">
        <v>415157.22199999995</v>
      </c>
      <c r="C56" s="61">
        <v>3427.6</v>
      </c>
      <c r="D56" s="61"/>
      <c r="E56" s="61">
        <v>2464</v>
      </c>
      <c r="F56" s="61">
        <v>1000</v>
      </c>
      <c r="G56" s="61">
        <v>21.6</v>
      </c>
      <c r="H56" s="155"/>
      <c r="I56" s="62">
        <f t="shared" ref="I56:I66" si="4">C56*1000/(E56+0.25*F56)/G56</f>
        <v>58.469117606921579</v>
      </c>
      <c r="J56" s="61"/>
    </row>
    <row r="57" spans="1:10" s="67" customFormat="1">
      <c r="A57" s="70">
        <v>43525</v>
      </c>
      <c r="B57" s="61">
        <v>475366.80799999996</v>
      </c>
      <c r="C57" s="61">
        <v>3050.2</v>
      </c>
      <c r="D57" s="61"/>
      <c r="E57" s="61">
        <v>2464</v>
      </c>
      <c r="F57" s="61">
        <v>1000</v>
      </c>
      <c r="G57" s="61">
        <v>21.6</v>
      </c>
      <c r="H57" s="155"/>
      <c r="I57" s="62">
        <f t="shared" si="4"/>
        <v>52.031305439558935</v>
      </c>
      <c r="J57" s="61"/>
    </row>
    <row r="58" spans="1:10" s="67" customFormat="1">
      <c r="A58" s="70">
        <v>43556</v>
      </c>
      <c r="B58" s="61">
        <v>477369.11300000001</v>
      </c>
      <c r="C58" s="61">
        <v>4062.8</v>
      </c>
      <c r="D58" s="61"/>
      <c r="E58" s="61">
        <v>2464</v>
      </c>
      <c r="F58" s="61">
        <v>1000</v>
      </c>
      <c r="G58" s="61">
        <v>21.6</v>
      </c>
      <c r="H58" s="155"/>
      <c r="I58" s="62">
        <f t="shared" si="4"/>
        <v>69.304566172657545</v>
      </c>
      <c r="J58" s="61"/>
    </row>
    <row r="59" spans="1:10" s="67" customFormat="1">
      <c r="A59" s="70">
        <v>43586</v>
      </c>
      <c r="B59" s="61">
        <v>507808.14899999998</v>
      </c>
      <c r="C59" s="61">
        <v>3729</v>
      </c>
      <c r="D59" s="61"/>
      <c r="E59" s="61">
        <v>2464</v>
      </c>
      <c r="F59" s="61">
        <v>1000</v>
      </c>
      <c r="G59" s="61">
        <v>21.6</v>
      </c>
      <c r="H59" s="155"/>
      <c r="I59" s="62">
        <f t="shared" si="4"/>
        <v>63.610497011381305</v>
      </c>
      <c r="J59" s="61"/>
    </row>
    <row r="60" spans="1:10" s="67" customFormat="1">
      <c r="A60" s="70">
        <v>43617</v>
      </c>
      <c r="B60" s="61">
        <v>468686.00199999998</v>
      </c>
      <c r="C60" s="61">
        <v>2425.8000000000002</v>
      </c>
      <c r="D60" s="61"/>
      <c r="E60" s="61">
        <v>2464</v>
      </c>
      <c r="F60" s="61">
        <v>1000</v>
      </c>
      <c r="G60" s="61">
        <v>21.6</v>
      </c>
      <c r="H60" s="155"/>
      <c r="I60" s="62">
        <f t="shared" si="4"/>
        <v>41.380086792761809</v>
      </c>
      <c r="J60" s="61"/>
    </row>
    <row r="61" spans="1:10" s="67" customFormat="1">
      <c r="A61" s="70">
        <v>43647</v>
      </c>
      <c r="B61" s="61">
        <v>511076.63</v>
      </c>
      <c r="C61" s="61">
        <v>2978</v>
      </c>
      <c r="D61" s="61"/>
      <c r="E61" s="61">
        <v>2464</v>
      </c>
      <c r="F61" s="61">
        <v>1000</v>
      </c>
      <c r="G61" s="61">
        <v>21.6</v>
      </c>
      <c r="H61" s="155"/>
      <c r="I61" s="62">
        <f t="shared" si="4"/>
        <v>50.799694314801165</v>
      </c>
      <c r="J61" s="61"/>
    </row>
    <row r="62" spans="1:10" s="67" customFormat="1">
      <c r="A62" s="70">
        <v>43678</v>
      </c>
      <c r="B62" s="61">
        <v>471468.30499999999</v>
      </c>
      <c r="C62" s="61">
        <v>3991.1</v>
      </c>
      <c r="D62" s="61"/>
      <c r="E62" s="61">
        <v>2464</v>
      </c>
      <c r="F62" s="61">
        <v>1000</v>
      </c>
      <c r="G62" s="61">
        <v>21.6</v>
      </c>
      <c r="H62" s="155"/>
      <c r="I62" s="62">
        <f t="shared" si="4"/>
        <v>68.081484210813613</v>
      </c>
      <c r="J62" s="61"/>
    </row>
    <row r="63" spans="1:10" s="67" customFormat="1">
      <c r="A63" s="70">
        <v>43709</v>
      </c>
      <c r="B63" s="61">
        <v>477510.77499999997</v>
      </c>
      <c r="C63" s="61">
        <v>3372</v>
      </c>
      <c r="D63" s="61"/>
      <c r="E63" s="61">
        <v>2464</v>
      </c>
      <c r="F63" s="61">
        <v>1000</v>
      </c>
      <c r="G63" s="61">
        <v>21.6</v>
      </c>
      <c r="H63" s="155"/>
      <c r="I63" s="62">
        <f t="shared" si="4"/>
        <v>57.520674690903128</v>
      </c>
      <c r="J63" s="61"/>
    </row>
    <row r="64" spans="1:10" s="67" customFormat="1">
      <c r="A64" s="70">
        <v>43739</v>
      </c>
      <c r="B64" s="61">
        <v>480224.87600000005</v>
      </c>
      <c r="C64" s="61">
        <v>3748.3999999999996</v>
      </c>
      <c r="D64" s="61"/>
      <c r="E64" s="61">
        <v>2464</v>
      </c>
      <c r="F64" s="61">
        <v>1000</v>
      </c>
      <c r="G64" s="61">
        <v>21.6</v>
      </c>
      <c r="H64" s="155"/>
      <c r="I64" s="62">
        <f t="shared" si="4"/>
        <v>63.941428532438103</v>
      </c>
      <c r="J64" s="61"/>
    </row>
    <row r="65" spans="1:10" s="67" customFormat="1">
      <c r="A65" s="70">
        <v>43770</v>
      </c>
      <c r="B65" s="61">
        <v>455665.89300000004</v>
      </c>
      <c r="C65" s="61">
        <v>3329.9</v>
      </c>
      <c r="D65" s="61"/>
      <c r="E65" s="61">
        <v>2464</v>
      </c>
      <c r="F65" s="61">
        <v>1000</v>
      </c>
      <c r="G65" s="61">
        <v>21.6</v>
      </c>
      <c r="H65" s="155"/>
      <c r="I65" s="62">
        <f t="shared" si="4"/>
        <v>56.802519173558224</v>
      </c>
      <c r="J65" s="61"/>
    </row>
    <row r="66" spans="1:10" s="67" customFormat="1">
      <c r="A66" s="70">
        <v>43800</v>
      </c>
      <c r="B66" s="61">
        <v>439650.27300000004</v>
      </c>
      <c r="C66" s="61">
        <v>2787.3</v>
      </c>
      <c r="D66" s="61"/>
      <c r="E66" s="61">
        <v>2464</v>
      </c>
      <c r="F66" s="61">
        <v>1000</v>
      </c>
      <c r="G66" s="61">
        <v>21.6</v>
      </c>
      <c r="H66" s="156"/>
      <c r="I66" s="62">
        <f t="shared" si="4"/>
        <v>47.546671579464501</v>
      </c>
      <c r="J66" s="61"/>
    </row>
    <row r="67" spans="1:10" s="67" customFormat="1">
      <c r="A67" s="61"/>
      <c r="B67" s="61"/>
      <c r="C67" s="61"/>
      <c r="D67" s="61"/>
      <c r="E67" s="61"/>
      <c r="F67" s="61"/>
      <c r="G67" s="61"/>
      <c r="H67" s="61"/>
      <c r="I67" s="62">
        <f>AVERAGE(I55:I66)</f>
        <v>56.70685039620804</v>
      </c>
      <c r="J67" s="61"/>
    </row>
    <row r="69" spans="1:10" s="67" customFormat="1" ht="28.5">
      <c r="A69" s="68" t="s">
        <v>12</v>
      </c>
      <c r="B69" s="68" t="s">
        <v>42</v>
      </c>
      <c r="C69" s="68" t="s">
        <v>43</v>
      </c>
      <c r="D69" s="68" t="s">
        <v>44</v>
      </c>
      <c r="E69" s="68" t="s">
        <v>6</v>
      </c>
      <c r="F69" s="68" t="s">
        <v>7</v>
      </c>
      <c r="G69" s="69" t="s">
        <v>8</v>
      </c>
      <c r="H69" s="68" t="s">
        <v>9</v>
      </c>
      <c r="I69" s="68" t="s">
        <v>10</v>
      </c>
      <c r="J69" s="68" t="s">
        <v>4</v>
      </c>
    </row>
    <row r="70" spans="1:10" s="67" customFormat="1">
      <c r="A70" s="70">
        <v>43101</v>
      </c>
      <c r="B70" s="61">
        <v>516763.03700000001</v>
      </c>
      <c r="C70" s="61">
        <v>3940.1</v>
      </c>
      <c r="D70" s="61"/>
      <c r="E70" s="61">
        <v>2464</v>
      </c>
      <c r="F70" s="61">
        <v>1000</v>
      </c>
      <c r="G70" s="61">
        <v>21.6</v>
      </c>
      <c r="H70" s="154">
        <f>SUM(B70:B81)/$C$3</f>
        <v>123.11961844923606</v>
      </c>
      <c r="I70" s="62">
        <f>C70*1000/(E70+0.25*F70)/G70</f>
        <v>67.211509593602443</v>
      </c>
      <c r="J70" s="61"/>
    </row>
    <row r="71" spans="1:10" s="67" customFormat="1">
      <c r="A71" s="70">
        <v>43132</v>
      </c>
      <c r="B71" s="61">
        <v>450006.14199999999</v>
      </c>
      <c r="C71" s="61">
        <v>4279.2</v>
      </c>
      <c r="D71" s="61"/>
      <c r="E71" s="61">
        <v>2464</v>
      </c>
      <c r="F71" s="61">
        <v>1000</v>
      </c>
      <c r="G71" s="61">
        <v>21.6</v>
      </c>
      <c r="H71" s="155"/>
      <c r="I71" s="62">
        <f t="shared" ref="I71:I81" si="5">C71*1000/(E71+0.25*F71)/G71</f>
        <v>72.99598788176533</v>
      </c>
      <c r="J71" s="61"/>
    </row>
    <row r="72" spans="1:10" s="67" customFormat="1">
      <c r="A72" s="70">
        <v>43160</v>
      </c>
      <c r="B72" s="61">
        <v>532808.42099999997</v>
      </c>
      <c r="C72" s="61">
        <v>4057.9</v>
      </c>
      <c r="D72" s="61"/>
      <c r="E72" s="61">
        <v>2464</v>
      </c>
      <c r="F72" s="61">
        <v>1000</v>
      </c>
      <c r="G72" s="61">
        <v>21.6</v>
      </c>
      <c r="H72" s="155"/>
      <c r="I72" s="62">
        <f t="shared" si="5"/>
        <v>69.220980376101963</v>
      </c>
      <c r="J72" s="61"/>
    </row>
    <row r="73" spans="1:10" s="67" customFormat="1">
      <c r="A73" s="70">
        <v>43191</v>
      </c>
      <c r="B73" s="61">
        <v>558894.42999999993</v>
      </c>
      <c r="C73" s="61">
        <v>4358.7</v>
      </c>
      <c r="D73" s="61"/>
      <c r="E73" s="61">
        <v>2464</v>
      </c>
      <c r="F73" s="61">
        <v>1000</v>
      </c>
      <c r="G73" s="61">
        <v>21.6</v>
      </c>
      <c r="H73" s="155"/>
      <c r="I73" s="62">
        <f t="shared" si="5"/>
        <v>74.352124785065087</v>
      </c>
      <c r="J73" s="61"/>
    </row>
    <row r="74" spans="1:10" s="67" customFormat="1">
      <c r="A74" s="70">
        <v>43221</v>
      </c>
      <c r="B74" s="61">
        <v>547551.17099999997</v>
      </c>
      <c r="C74" s="61">
        <v>4000.1</v>
      </c>
      <c r="D74" s="61"/>
      <c r="E74" s="61">
        <v>2464</v>
      </c>
      <c r="F74" s="61">
        <v>1000</v>
      </c>
      <c r="G74" s="61">
        <v>21.6</v>
      </c>
      <c r="H74" s="155"/>
      <c r="I74" s="62">
        <f t="shared" si="5"/>
        <v>68.23500914326263</v>
      </c>
      <c r="J74" s="61"/>
    </row>
    <row r="75" spans="1:10" s="67" customFormat="1">
      <c r="A75" s="70">
        <v>43252</v>
      </c>
      <c r="B75" s="61">
        <v>506237.10199999996</v>
      </c>
      <c r="C75" s="61">
        <v>5072.5</v>
      </c>
      <c r="D75" s="61"/>
      <c r="E75" s="61">
        <v>2464</v>
      </c>
      <c r="F75" s="61">
        <v>1000</v>
      </c>
      <c r="G75" s="61">
        <v>21.6</v>
      </c>
      <c r="H75" s="155"/>
      <c r="I75" s="62">
        <f t="shared" si="5"/>
        <v>86.528357760855911</v>
      </c>
      <c r="J75" s="61"/>
    </row>
    <row r="76" spans="1:10" s="67" customFormat="1">
      <c r="A76" s="70">
        <v>43282</v>
      </c>
      <c r="B76" s="61">
        <v>508553.19099999999</v>
      </c>
      <c r="C76" s="61">
        <v>3947.4000000000005</v>
      </c>
      <c r="D76" s="61"/>
      <c r="E76" s="61">
        <v>2464</v>
      </c>
      <c r="F76" s="61">
        <v>1000</v>
      </c>
      <c r="G76" s="61">
        <v>21.6</v>
      </c>
      <c r="H76" s="155"/>
      <c r="I76" s="62">
        <f t="shared" si="5"/>
        <v>67.336035372144437</v>
      </c>
      <c r="J76" s="61"/>
    </row>
    <row r="77" spans="1:10" s="67" customFormat="1">
      <c r="A77" s="70">
        <v>43313</v>
      </c>
      <c r="B77" s="61">
        <v>499172.505</v>
      </c>
      <c r="C77" s="61">
        <v>3252.4</v>
      </c>
      <c r="D77" s="61"/>
      <c r="E77" s="61">
        <v>2464</v>
      </c>
      <c r="F77" s="61">
        <v>1000</v>
      </c>
      <c r="G77" s="61">
        <v>21.6</v>
      </c>
      <c r="H77" s="155"/>
      <c r="I77" s="62">
        <f t="shared" si="5"/>
        <v>55.480498921913806</v>
      </c>
      <c r="J77" s="61"/>
    </row>
    <row r="78" spans="1:10" s="67" customFormat="1">
      <c r="A78" s="70">
        <v>43344</v>
      </c>
      <c r="B78" s="61">
        <v>458005.04800000001</v>
      </c>
      <c r="C78" s="61">
        <v>3054.4</v>
      </c>
      <c r="D78" s="61"/>
      <c r="E78" s="61">
        <v>2464</v>
      </c>
      <c r="F78" s="61">
        <v>1000</v>
      </c>
      <c r="G78" s="61">
        <v>21.6</v>
      </c>
      <c r="H78" s="155"/>
      <c r="I78" s="62">
        <f t="shared" si="5"/>
        <v>52.102950408035156</v>
      </c>
      <c r="J78" s="61"/>
    </row>
    <row r="79" spans="1:10" s="67" customFormat="1">
      <c r="A79" s="70">
        <v>43374</v>
      </c>
      <c r="B79" s="61">
        <v>499978.95600000001</v>
      </c>
      <c r="C79" s="61">
        <v>4029.5</v>
      </c>
      <c r="D79" s="61"/>
      <c r="E79" s="61">
        <v>2464</v>
      </c>
      <c r="F79" s="61">
        <v>1000</v>
      </c>
      <c r="G79" s="61">
        <v>21.6</v>
      </c>
      <c r="H79" s="155"/>
      <c r="I79" s="62">
        <f t="shared" si="5"/>
        <v>68.736523922596135</v>
      </c>
      <c r="J79" s="61"/>
    </row>
    <row r="80" spans="1:10" s="67" customFormat="1">
      <c r="A80" s="70">
        <v>43405</v>
      </c>
      <c r="B80" s="61">
        <v>487428.61</v>
      </c>
      <c r="C80" s="61">
        <v>3847.3999999999996</v>
      </c>
      <c r="D80" s="61"/>
      <c r="E80" s="61">
        <v>2464</v>
      </c>
      <c r="F80" s="61">
        <v>1000</v>
      </c>
      <c r="G80" s="61">
        <v>21.6</v>
      </c>
      <c r="H80" s="155"/>
      <c r="I80" s="62">
        <f t="shared" si="5"/>
        <v>65.630202789377421</v>
      </c>
      <c r="J80" s="61"/>
    </row>
    <row r="81" spans="1:10" s="67" customFormat="1">
      <c r="A81" s="70">
        <v>43435</v>
      </c>
      <c r="B81" s="61">
        <v>470048.20299999998</v>
      </c>
      <c r="C81" s="61">
        <v>2135.6</v>
      </c>
      <c r="D81" s="61"/>
      <c r="E81" s="61">
        <v>2464</v>
      </c>
      <c r="F81" s="61">
        <v>1000</v>
      </c>
      <c r="G81" s="61">
        <v>21.6</v>
      </c>
      <c r="H81" s="156"/>
      <c r="I81" s="62">
        <f t="shared" si="5"/>
        <v>36.429760637571988</v>
      </c>
      <c r="J81" s="61"/>
    </row>
    <row r="82" spans="1:10" s="67" customFormat="1">
      <c r="A82" s="61"/>
      <c r="B82" s="61"/>
      <c r="C82" s="61"/>
      <c r="D82" s="61"/>
      <c r="E82" s="61"/>
      <c r="F82" s="61"/>
      <c r="G82" s="61"/>
      <c r="H82" s="61"/>
      <c r="I82" s="62">
        <f>AVERAGE(I70:I81)</f>
        <v>65.35499513269103</v>
      </c>
      <c r="J82" s="61"/>
    </row>
  </sheetData>
  <mergeCells count="9">
    <mergeCell ref="H40:H51"/>
    <mergeCell ref="H55:H66"/>
    <mergeCell ref="H70:H81"/>
    <mergeCell ref="A1:A2"/>
    <mergeCell ref="B1:B2"/>
    <mergeCell ref="C1:C2"/>
    <mergeCell ref="D1:I1"/>
    <mergeCell ref="H10:H21"/>
    <mergeCell ref="H25:H3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3E8F-2151-4C9B-8CE0-4B462081ADF8}">
  <dimension ref="A1:T105"/>
  <sheetViews>
    <sheetView topLeftCell="A78" zoomScale="103" zoomScaleNormal="103" workbookViewId="0">
      <selection activeCell="F95" sqref="F95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.1328125" style="119" customWidth="1"/>
    <col min="6" max="6" width="25.46484375" style="121" customWidth="1"/>
    <col min="7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2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2"/>
      <c r="F2" s="117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69</v>
      </c>
      <c r="D3" s="14"/>
      <c r="E3" s="118">
        <v>25083.820800000001</v>
      </c>
      <c r="F3" s="118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18"/>
      <c r="F4" s="118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18"/>
      <c r="F5" s="118"/>
      <c r="G5" s="14"/>
      <c r="H5" s="52"/>
      <c r="I5" s="52"/>
      <c r="J5" s="14"/>
      <c r="K5" s="14"/>
      <c r="L5" s="14"/>
      <c r="M5" s="14"/>
    </row>
    <row r="6" spans="2:14">
      <c r="C6" s="2"/>
      <c r="F6" s="119"/>
      <c r="G6" s="2"/>
    </row>
    <row r="7" spans="2:14">
      <c r="B7" s="43" t="s">
        <v>3</v>
      </c>
      <c r="C7" s="43"/>
      <c r="D7" s="43"/>
      <c r="E7" s="120"/>
      <c r="F7" s="120"/>
      <c r="G7" s="42"/>
      <c r="H7" s="42"/>
      <c r="I7" s="42"/>
    </row>
    <row r="8" spans="2:14">
      <c r="B8" s="43" t="s">
        <v>30</v>
      </c>
      <c r="C8" s="43"/>
      <c r="D8" s="43"/>
      <c r="E8" s="129"/>
      <c r="F8" s="120"/>
      <c r="G8" s="42"/>
      <c r="H8" s="42"/>
      <c r="I8" s="42"/>
    </row>
    <row r="9" spans="2:14">
      <c r="B9" s="43" t="s">
        <v>20</v>
      </c>
      <c r="C9" s="43"/>
      <c r="D9" s="43"/>
      <c r="E9" s="130"/>
      <c r="F9" s="120"/>
      <c r="G9" s="42"/>
      <c r="H9" s="42"/>
      <c r="I9" s="42"/>
    </row>
    <row r="10" spans="2:14">
      <c r="B10" s="43" t="s">
        <v>21</v>
      </c>
      <c r="C10" s="43"/>
      <c r="D10" s="43"/>
      <c r="E10" s="130"/>
      <c r="F10" s="120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98.25" customHeight="1">
      <c r="B12" s="21" t="s">
        <v>12</v>
      </c>
      <c r="C12" s="23" t="s">
        <v>35</v>
      </c>
      <c r="D12" s="23" t="s">
        <v>41</v>
      </c>
      <c r="E12" s="148" t="s">
        <v>36</v>
      </c>
      <c r="F12" s="122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 ht="14.65" thickBot="1">
      <c r="B13" s="17">
        <v>43101</v>
      </c>
      <c r="C13" s="18"/>
      <c r="D13" s="18"/>
      <c r="E13" s="123">
        <f t="shared" ref="E13:E23" ca="1" si="0">RANDBETWEEN(76800000,86600000)/100</f>
        <v>794346.66</v>
      </c>
      <c r="F13" s="118">
        <f ca="1">RANDBETWEEN(350000,650000)/100</f>
        <v>3596.75</v>
      </c>
      <c r="G13" s="14"/>
      <c r="H13" s="14"/>
      <c r="I13" s="14"/>
      <c r="J13" s="16">
        <f t="shared" ref="J13:J24" si="1">$L$11</f>
        <v>21.666666666666668</v>
      </c>
      <c r="K13" s="15">
        <f t="shared" ref="K13:K24" ca="1" si="2">E13/$E$3</f>
        <v>31.66768995575028</v>
      </c>
      <c r="L13" s="14" t="e">
        <f>(C13/$E$4)*(55/60)</f>
        <v>#DIV/0!</v>
      </c>
      <c r="M13" s="13" t="e">
        <f t="shared" ref="M13:M24" ca="1" si="3">F13*1000/(H13+0.25*I13)/J13</f>
        <v>#DIV/0!</v>
      </c>
      <c r="N13" s="12"/>
    </row>
    <row r="14" spans="2:14" ht="14.65" thickBot="1">
      <c r="B14" s="17">
        <v>43132</v>
      </c>
      <c r="C14" s="14"/>
      <c r="D14" s="14"/>
      <c r="E14" s="123">
        <f t="shared" ca="1" si="0"/>
        <v>844759.29</v>
      </c>
      <c r="F14" s="118">
        <f t="shared" ref="F14:F24" ca="1" si="4">RANDBETWEEN(350000,650000)/100</f>
        <v>3834.69</v>
      </c>
      <c r="G14" s="14"/>
      <c r="H14" s="14"/>
      <c r="I14" s="14"/>
      <c r="J14" s="16">
        <f t="shared" si="1"/>
        <v>21.666666666666668</v>
      </c>
      <c r="K14" s="15">
        <f t="shared" ca="1" si="2"/>
        <v>33.677456745345587</v>
      </c>
      <c r="L14" s="14" t="e">
        <f t="shared" ref="L14:L24" si="5">(C14/$E$4)*(55/60)</f>
        <v>#DIV/0!</v>
      </c>
      <c r="M14" s="13" t="e">
        <f ca="1">F14*1000/(H14+0.25*I14)/J14</f>
        <v>#DIV/0!</v>
      </c>
      <c r="N14" s="12"/>
    </row>
    <row r="15" spans="2:14" ht="14.65" thickBot="1">
      <c r="B15" s="17">
        <v>43160</v>
      </c>
      <c r="C15" s="14"/>
      <c r="D15" s="14"/>
      <c r="E15" s="123">
        <f t="shared" ca="1" si="0"/>
        <v>856934.8</v>
      </c>
      <c r="F15" s="118">
        <f t="shared" ca="1" si="4"/>
        <v>6220.61</v>
      </c>
      <c r="G15" s="14"/>
      <c r="H15" s="14"/>
      <c r="I15" s="14"/>
      <c r="J15" s="16">
        <f t="shared" si="1"/>
        <v>21.666666666666668</v>
      </c>
      <c r="K15" s="15">
        <f t="shared" ca="1" si="2"/>
        <v>34.162849704300228</v>
      </c>
      <c r="L15" s="14" t="e">
        <f t="shared" si="5"/>
        <v>#DIV/0!</v>
      </c>
      <c r="M15" s="13" t="e">
        <f t="shared" ca="1" si="3"/>
        <v>#DIV/0!</v>
      </c>
      <c r="N15" s="12"/>
    </row>
    <row r="16" spans="2:14" ht="14.65" thickBot="1">
      <c r="B16" s="17">
        <v>43191</v>
      </c>
      <c r="C16" s="14"/>
      <c r="D16" s="14"/>
      <c r="E16" s="123">
        <f t="shared" ca="1" si="0"/>
        <v>770943.83</v>
      </c>
      <c r="F16" s="118">
        <f t="shared" ca="1" si="4"/>
        <v>4295.28</v>
      </c>
      <c r="G16" s="14"/>
      <c r="H16" s="14"/>
      <c r="I16" s="14"/>
      <c r="J16" s="16">
        <f t="shared" si="1"/>
        <v>21.666666666666668</v>
      </c>
      <c r="K16" s="15">
        <f t="shared" ca="1" si="2"/>
        <v>30.734704897907736</v>
      </c>
      <c r="L16" s="14" t="e">
        <f t="shared" si="5"/>
        <v>#DIV/0!</v>
      </c>
      <c r="M16" s="13" t="e">
        <f t="shared" ca="1" si="3"/>
        <v>#DIV/0!</v>
      </c>
      <c r="N16" s="12"/>
    </row>
    <row r="17" spans="1:14" s="2" customFormat="1" ht="14.65" thickBot="1">
      <c r="B17" s="17">
        <v>43221</v>
      </c>
      <c r="C17" s="14"/>
      <c r="D17" s="118"/>
      <c r="E17" s="123">
        <f t="shared" ca="1" si="0"/>
        <v>800718.86</v>
      </c>
      <c r="F17" s="118">
        <f t="shared" ca="1" si="4"/>
        <v>4333.4799999999996</v>
      </c>
      <c r="G17" s="14"/>
      <c r="H17" s="14"/>
      <c r="I17" s="14"/>
      <c r="J17" s="16">
        <f t="shared" si="1"/>
        <v>21.666666666666668</v>
      </c>
      <c r="K17" s="15">
        <f t="shared" ca="1" si="2"/>
        <v>31.921726214851603</v>
      </c>
      <c r="L17" s="14" t="e">
        <f t="shared" si="5"/>
        <v>#DIV/0!</v>
      </c>
      <c r="M17" s="13" t="e">
        <f t="shared" ca="1" si="3"/>
        <v>#DIV/0!</v>
      </c>
      <c r="N17" s="12"/>
    </row>
    <row r="18" spans="1:14" s="2" customFormat="1" ht="14.65" thickBot="1">
      <c r="B18" s="17">
        <v>43252</v>
      </c>
      <c r="C18" s="14"/>
      <c r="D18" s="118"/>
      <c r="E18" s="123">
        <f t="shared" ca="1" si="0"/>
        <v>848115.68</v>
      </c>
      <c r="F18" s="118">
        <f t="shared" ca="1" si="4"/>
        <v>4211.2</v>
      </c>
      <c r="G18" s="14"/>
      <c r="H18" s="14"/>
      <c r="I18" s="14"/>
      <c r="J18" s="16">
        <f t="shared" si="1"/>
        <v>21.666666666666668</v>
      </c>
      <c r="K18" s="15">
        <f t="shared" ca="1" si="2"/>
        <v>33.811263713062402</v>
      </c>
      <c r="L18" s="14" t="e">
        <f t="shared" si="5"/>
        <v>#DIV/0!</v>
      </c>
      <c r="M18" s="13" t="e">
        <f t="shared" ca="1" si="3"/>
        <v>#DIV/0!</v>
      </c>
      <c r="N18" s="12"/>
    </row>
    <row r="19" spans="1:14" s="2" customFormat="1" ht="14.65" thickBot="1">
      <c r="B19" s="17">
        <v>43282</v>
      </c>
      <c r="C19" s="14"/>
      <c r="D19" s="14"/>
      <c r="E19" s="123">
        <f t="shared" ca="1" si="0"/>
        <v>775076.2</v>
      </c>
      <c r="F19" s="118">
        <f t="shared" ca="1" si="4"/>
        <v>4395.01</v>
      </c>
      <c r="G19" s="14"/>
      <c r="H19" s="14"/>
      <c r="I19" s="14"/>
      <c r="J19" s="16">
        <f t="shared" si="1"/>
        <v>21.666666666666668</v>
      </c>
      <c r="K19" s="15">
        <f t="shared" ca="1" si="2"/>
        <v>30.899447344162173</v>
      </c>
      <c r="L19" s="14" t="e">
        <f t="shared" si="5"/>
        <v>#DIV/0!</v>
      </c>
      <c r="M19" s="13" t="e">
        <f t="shared" ca="1" si="3"/>
        <v>#DIV/0!</v>
      </c>
      <c r="N19" s="12"/>
    </row>
    <row r="20" spans="1:14" s="2" customFormat="1" ht="14.65" thickBot="1">
      <c r="B20" s="17">
        <v>43313</v>
      </c>
      <c r="C20" s="14"/>
      <c r="D20" s="14"/>
      <c r="E20" s="123">
        <f t="shared" ca="1" si="0"/>
        <v>820949.9</v>
      </c>
      <c r="F20" s="118">
        <f t="shared" ca="1" si="4"/>
        <v>5206.83</v>
      </c>
      <c r="G20" s="14"/>
      <c r="H20" s="14"/>
      <c r="I20" s="14"/>
      <c r="J20" s="16">
        <f t="shared" si="1"/>
        <v>21.666666666666668</v>
      </c>
      <c r="K20" s="15">
        <f t="shared" ca="1" si="2"/>
        <v>32.728263630395574</v>
      </c>
      <c r="L20" s="14" t="e">
        <f t="shared" si="5"/>
        <v>#DIV/0!</v>
      </c>
      <c r="M20" s="13" t="e">
        <f t="shared" ca="1" si="3"/>
        <v>#DIV/0!</v>
      </c>
      <c r="N20" s="12"/>
    </row>
    <row r="21" spans="1:14" s="2" customFormat="1" ht="14.65" thickBot="1">
      <c r="B21" s="17">
        <v>43344</v>
      </c>
      <c r="C21" s="14"/>
      <c r="D21" s="14"/>
      <c r="E21" s="123">
        <f t="shared" ca="1" si="0"/>
        <v>794395.43</v>
      </c>
      <c r="F21" s="118">
        <f t="shared" ca="1" si="4"/>
        <v>5681.75</v>
      </c>
      <c r="G21" s="14"/>
      <c r="H21" s="14"/>
      <c r="I21" s="14"/>
      <c r="J21" s="16">
        <f t="shared" si="1"/>
        <v>21.666666666666668</v>
      </c>
      <c r="K21" s="15">
        <f t="shared" ca="1" si="2"/>
        <v>31.669634236902219</v>
      </c>
      <c r="L21" s="14" t="e">
        <f t="shared" si="5"/>
        <v>#DIV/0!</v>
      </c>
      <c r="M21" s="13" t="e">
        <f t="shared" ca="1" si="3"/>
        <v>#DIV/0!</v>
      </c>
      <c r="N21" s="12"/>
    </row>
    <row r="22" spans="1:14" s="2" customFormat="1" ht="14.65" thickBot="1">
      <c r="B22" s="17">
        <v>43374</v>
      </c>
      <c r="C22" s="14"/>
      <c r="D22" s="14"/>
      <c r="E22" s="123">
        <f t="shared" ca="1" si="0"/>
        <v>824324.09</v>
      </c>
      <c r="F22" s="118">
        <f t="shared" ca="1" si="4"/>
        <v>4779.97</v>
      </c>
      <c r="G22" s="14"/>
      <c r="H22" s="14"/>
      <c r="I22" s="14"/>
      <c r="J22" s="16">
        <f t="shared" si="1"/>
        <v>21.666666666666668</v>
      </c>
      <c r="K22" s="15">
        <f t="shared" ca="1" si="2"/>
        <v>32.862780218873191</v>
      </c>
      <c r="L22" s="14" t="e">
        <f t="shared" si="5"/>
        <v>#DIV/0!</v>
      </c>
      <c r="M22" s="13" t="e">
        <f t="shared" ca="1" si="3"/>
        <v>#DIV/0!</v>
      </c>
      <c r="N22" s="12"/>
    </row>
    <row r="23" spans="1:14" s="2" customFormat="1" ht="14.65" thickBot="1">
      <c r="B23" s="17">
        <v>43405</v>
      </c>
      <c r="C23" s="14"/>
      <c r="D23" s="14"/>
      <c r="E23" s="123">
        <f t="shared" ca="1" si="0"/>
        <v>804901.04</v>
      </c>
      <c r="F23" s="118">
        <f t="shared" ca="1" si="4"/>
        <v>4205.45</v>
      </c>
      <c r="G23" s="14"/>
      <c r="H23" s="14"/>
      <c r="I23" s="14"/>
      <c r="J23" s="16">
        <f t="shared" si="1"/>
        <v>21.666666666666668</v>
      </c>
      <c r="K23" s="15">
        <f t="shared" ca="1" si="2"/>
        <v>32.088454403246253</v>
      </c>
      <c r="L23" s="14" t="e">
        <f t="shared" si="5"/>
        <v>#DIV/0!</v>
      </c>
      <c r="M23" s="13" t="e">
        <f t="shared" ca="1" si="3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23">
        <f ca="1">RANDBETWEEN(76800000,86600000)/100</f>
        <v>803338.45</v>
      </c>
      <c r="F24" s="118">
        <f t="shared" ca="1" si="4"/>
        <v>5552.03</v>
      </c>
      <c r="G24" s="9"/>
      <c r="H24" s="9"/>
      <c r="I24" s="9"/>
      <c r="J24" s="25">
        <f t="shared" si="1"/>
        <v>21.666666666666668</v>
      </c>
      <c r="K24" s="10">
        <f t="shared" ca="1" si="2"/>
        <v>32.026159667031266</v>
      </c>
      <c r="L24" s="9" t="e">
        <f t="shared" si="5"/>
        <v>#DIV/0!</v>
      </c>
      <c r="M24" s="8" t="e">
        <f t="shared" ca="1" si="3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24">
        <f ca="1">SUM(E13:E24)</f>
        <v>9738804.2300000004</v>
      </c>
      <c r="F25" s="124">
        <f ca="1">SUM(F13:F24)</f>
        <v>56313.049999999996</v>
      </c>
      <c r="G25" s="93"/>
      <c r="H25" s="93"/>
      <c r="I25" s="93"/>
      <c r="J25" s="93"/>
      <c r="K25" s="93">
        <f ca="1">E25/E3</f>
        <v>388.25043073182854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18">
        <f ca="1">RANDBETWEEN(7500000, 8600000)/100</f>
        <v>75519.94</v>
      </c>
      <c r="F26" s="118">
        <f ca="1">RANDBETWEEN(460000,590000)/100</f>
        <v>4688.37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3.0107032179084934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18">
        <f t="shared" ref="E27:E37" ca="1" si="10">RANDBETWEEN(7500000, 8600000)/100</f>
        <v>81896.23</v>
      </c>
      <c r="F27" s="118">
        <f t="shared" ref="F27:F37" ca="1" si="11">RANDBETWEEN(460000,590000)/100</f>
        <v>4901.1899999999996</v>
      </c>
      <c r="G27" s="14"/>
      <c r="H27" s="14"/>
      <c r="I27" s="14"/>
      <c r="J27" s="16">
        <f t="shared" si="6"/>
        <v>21.666666666666668</v>
      </c>
      <c r="K27" s="15">
        <f t="shared" ca="1" si="7"/>
        <v>3.2649025303194636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18">
        <f t="shared" ca="1" si="10"/>
        <v>79441.36</v>
      </c>
      <c r="F28" s="118">
        <f t="shared" ca="1" si="11"/>
        <v>5282.44</v>
      </c>
      <c r="G28" s="14"/>
      <c r="H28" s="14"/>
      <c r="I28" s="14"/>
      <c r="J28" s="16">
        <f t="shared" si="6"/>
        <v>21.666666666666668</v>
      </c>
      <c r="K28" s="15">
        <f t="shared" ca="1" si="7"/>
        <v>3.1670358608206928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18">
        <f t="shared" ca="1" si="10"/>
        <v>78659.520000000004</v>
      </c>
      <c r="F29" s="118">
        <f t="shared" ca="1" si="11"/>
        <v>5834.81</v>
      </c>
      <c r="G29" s="14"/>
      <c r="H29" s="14"/>
      <c r="I29" s="14"/>
      <c r="J29" s="16">
        <f t="shared" si="6"/>
        <v>21.666666666666668</v>
      </c>
      <c r="K29" s="15">
        <f t="shared" ca="1" si="7"/>
        <v>3.1358667655606918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18">
        <f t="shared" ca="1" si="10"/>
        <v>83454.240000000005</v>
      </c>
      <c r="F30" s="118">
        <f t="shared" ca="1" si="11"/>
        <v>4686.46</v>
      </c>
      <c r="G30" s="14"/>
      <c r="H30" s="14"/>
      <c r="I30" s="14"/>
      <c r="J30" s="16">
        <f t="shared" si="6"/>
        <v>21.666666666666668</v>
      </c>
      <c r="K30" s="15">
        <f t="shared" ca="1" si="7"/>
        <v>3.3270146787207153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18">
        <f t="shared" ca="1" si="10"/>
        <v>84909.36</v>
      </c>
      <c r="F31" s="118">
        <f t="shared" ca="1" si="11"/>
        <v>4977.09</v>
      </c>
      <c r="G31" s="14"/>
      <c r="H31" s="14"/>
      <c r="I31" s="14"/>
      <c r="J31" s="16">
        <f t="shared" si="6"/>
        <v>21.666666666666668</v>
      </c>
      <c r="K31" s="15">
        <f t="shared" ca="1" si="7"/>
        <v>3.3850249799265031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18">
        <f t="shared" ca="1" si="10"/>
        <v>83399.350000000006</v>
      </c>
      <c r="F32" s="118">
        <f t="shared" ca="1" si="11"/>
        <v>5207.55</v>
      </c>
      <c r="G32" s="14"/>
      <c r="H32" s="14"/>
      <c r="I32" s="14"/>
      <c r="J32" s="16">
        <f t="shared" si="6"/>
        <v>21.666666666666668</v>
      </c>
      <c r="K32" s="15">
        <f t="shared" ca="1" si="7"/>
        <v>3.3248264155993335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18">
        <f t="shared" ca="1" si="10"/>
        <v>82356.240000000005</v>
      </c>
      <c r="F33" s="118">
        <f t="shared" ca="1" si="11"/>
        <v>5813.58</v>
      </c>
      <c r="G33" s="14"/>
      <c r="H33" s="14"/>
      <c r="I33" s="14"/>
      <c r="J33" s="16">
        <f t="shared" si="6"/>
        <v>21.666666666666668</v>
      </c>
      <c r="K33" s="15">
        <f t="shared" ca="1" si="7"/>
        <v>3.2832414430260961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18">
        <f t="shared" ca="1" si="10"/>
        <v>76900.5</v>
      </c>
      <c r="F34" s="118">
        <f t="shared" ca="1" si="11"/>
        <v>5096.6000000000004</v>
      </c>
      <c r="G34" s="14"/>
      <c r="H34" s="14"/>
      <c r="I34" s="14"/>
      <c r="J34" s="16">
        <f t="shared" si="6"/>
        <v>21.666666666666668</v>
      </c>
      <c r="K34" s="15">
        <f t="shared" ca="1" si="7"/>
        <v>3.065741085185874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18">
        <f t="shared" ca="1" si="10"/>
        <v>75849.929999999993</v>
      </c>
      <c r="F35" s="118">
        <f t="shared" ca="1" si="11"/>
        <v>5186.41</v>
      </c>
      <c r="G35" s="14"/>
      <c r="H35" s="14"/>
      <c r="I35" s="14"/>
      <c r="J35" s="16">
        <f t="shared" si="6"/>
        <v>21.666666666666668</v>
      </c>
      <c r="K35" s="15">
        <f t="shared" ca="1" si="7"/>
        <v>3.0238587097544563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18">
        <f t="shared" ca="1" si="10"/>
        <v>85120.6</v>
      </c>
      <c r="F36" s="118">
        <f t="shared" ca="1" si="11"/>
        <v>5396.52</v>
      </c>
      <c r="G36" s="14"/>
      <c r="H36" s="14"/>
      <c r="I36" s="14"/>
      <c r="J36" s="16">
        <f t="shared" si="6"/>
        <v>21.666666666666668</v>
      </c>
      <c r="K36" s="15">
        <f t="shared" ca="1" si="7"/>
        <v>3.3934463445058576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18">
        <f t="shared" ca="1" si="10"/>
        <v>75961.97</v>
      </c>
      <c r="F37" s="118">
        <f t="shared" ca="1" si="11"/>
        <v>4875.03</v>
      </c>
      <c r="G37" s="9"/>
      <c r="H37" s="9"/>
      <c r="I37" s="9"/>
      <c r="J37" s="25">
        <f t="shared" si="6"/>
        <v>21.666666666666668</v>
      </c>
      <c r="K37" s="10">
        <f t="shared" ca="1" si="7"/>
        <v>3.0283253339140423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24">
        <f ca="1">SUM(E26:E37)</f>
        <v>963469.23999999987</v>
      </c>
      <c r="F38" s="124">
        <f ca="1">SUM(F26:F37)</f>
        <v>61946.05</v>
      </c>
      <c r="G38" s="93"/>
      <c r="H38" s="93"/>
      <c r="I38" s="93"/>
      <c r="J38" s="93"/>
      <c r="K38" s="96">
        <f ca="1">SUM(K26:K37)</f>
        <v>38.409987365242216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25">
        <f ca="1">RANDBETWEEN(60000000, 83000000)/100</f>
        <v>800810.45</v>
      </c>
      <c r="F39" s="125">
        <f ca="1">RANDBETWEEN(170000,530000)/100</f>
        <v>2012.01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31.92537757246296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25">
        <f t="shared" ref="E40:E50" ca="1" si="14">RANDBETWEEN(60000000, 83000000)/100</f>
        <v>727904.39</v>
      </c>
      <c r="F40" s="125">
        <f t="shared" ref="F40:F50" ca="1" si="15">RANDBETWEEN(170000,530000)/100</f>
        <v>3586.1</v>
      </c>
      <c r="G40" s="14"/>
      <c r="H40" s="14"/>
      <c r="I40" s="14"/>
      <c r="J40" s="16">
        <f>$L$11</f>
        <v>21.666666666666668</v>
      </c>
      <c r="K40" s="15">
        <f t="shared" ca="1" si="12"/>
        <v>29.018880169961985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25">
        <f t="shared" ca="1" si="14"/>
        <v>721975.1</v>
      </c>
      <c r="F41" s="125">
        <f t="shared" ca="1" si="15"/>
        <v>3513.23</v>
      </c>
      <c r="G41" s="14"/>
      <c r="H41" s="14"/>
      <c r="I41" s="14"/>
      <c r="J41" s="16">
        <f>$L$11</f>
        <v>21.666666666666668</v>
      </c>
      <c r="K41" s="15">
        <f t="shared" ca="1" si="12"/>
        <v>28.782501109240901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25">
        <f t="shared" ca="1" si="14"/>
        <v>650705.22</v>
      </c>
      <c r="F42" s="125">
        <f t="shared" ca="1" si="15"/>
        <v>4635.6899999999996</v>
      </c>
      <c r="G42" s="14"/>
      <c r="H42" s="14"/>
      <c r="I42" s="14"/>
      <c r="J42" s="28">
        <v>20</v>
      </c>
      <c r="K42" s="15">
        <f t="shared" ca="1" si="12"/>
        <v>25.941232206538483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25">
        <f t="shared" ca="1" si="14"/>
        <v>738854.16</v>
      </c>
      <c r="F43" s="125">
        <f t="shared" ca="1" si="15"/>
        <v>4424.63</v>
      </c>
      <c r="G43" s="14"/>
      <c r="H43" s="14"/>
      <c r="I43" s="14"/>
      <c r="J43" s="28">
        <v>18</v>
      </c>
      <c r="K43" s="15">
        <f t="shared" ca="1" si="12"/>
        <v>29.45540736760486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25">
        <f t="shared" ca="1" si="14"/>
        <v>782610.74</v>
      </c>
      <c r="F44" s="125">
        <f t="shared" ca="1" si="15"/>
        <v>3375.76</v>
      </c>
      <c r="G44" s="14"/>
      <c r="H44" s="18"/>
      <c r="I44" s="14"/>
      <c r="J44" s="28">
        <v>22</v>
      </c>
      <c r="K44" s="15">
        <f t="shared" ca="1" si="12"/>
        <v>31.199821838944086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25">
        <f t="shared" ca="1" si="14"/>
        <v>763810.8</v>
      </c>
      <c r="F45" s="125">
        <f t="shared" ca="1" si="15"/>
        <v>4735.79</v>
      </c>
      <c r="G45" s="14"/>
      <c r="H45" s="18"/>
      <c r="I45" s="14"/>
      <c r="J45" s="28">
        <v>21</v>
      </c>
      <c r="K45" s="15">
        <f t="shared" ca="1" si="12"/>
        <v>30.450337135242172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25">
        <f t="shared" ca="1" si="14"/>
        <v>774070.77</v>
      </c>
      <c r="F46" s="125">
        <f t="shared" ca="1" si="15"/>
        <v>3601.83</v>
      </c>
      <c r="G46" s="14"/>
      <c r="H46" s="18"/>
      <c r="I46" s="14"/>
      <c r="J46" s="28">
        <v>20</v>
      </c>
      <c r="K46" s="15">
        <f t="shared" ca="1" si="12"/>
        <v>30.859364535087092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25">
        <f t="shared" ca="1" si="14"/>
        <v>649476.07999999996</v>
      </c>
      <c r="F47" s="125">
        <f t="shared" ca="1" si="15"/>
        <v>4367.8599999999997</v>
      </c>
      <c r="G47" s="14"/>
      <c r="H47" s="18"/>
      <c r="I47" s="14"/>
      <c r="J47" s="28">
        <v>22</v>
      </c>
      <c r="K47" s="15">
        <f t="shared" ca="1" si="12"/>
        <v>25.892230899688133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25">
        <f t="shared" ca="1" si="14"/>
        <v>700399.87</v>
      </c>
      <c r="F48" s="125">
        <f t="shared" ca="1" si="15"/>
        <v>2887.29</v>
      </c>
      <c r="G48" s="14"/>
      <c r="H48" s="18"/>
      <c r="I48" s="14"/>
      <c r="J48" s="28">
        <v>22</v>
      </c>
      <c r="K48" s="15">
        <f t="shared" ca="1" si="12"/>
        <v>27.922375765019019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25">
        <f t="shared" ca="1" si="14"/>
        <v>606700.27</v>
      </c>
      <c r="F49" s="125">
        <f t="shared" ca="1" si="15"/>
        <v>4349.3</v>
      </c>
      <c r="G49" s="14"/>
      <c r="H49" s="18"/>
      <c r="I49" s="14"/>
      <c r="J49" s="28">
        <v>21</v>
      </c>
      <c r="K49" s="15">
        <f t="shared" ca="1" si="12"/>
        <v>24.18691613360593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25">
        <f t="shared" ca="1" si="14"/>
        <v>661327.05000000005</v>
      </c>
      <c r="F50" s="125">
        <f t="shared" ca="1" si="15"/>
        <v>3020.33</v>
      </c>
      <c r="G50" s="9"/>
      <c r="H50" s="27"/>
      <c r="I50" s="9"/>
      <c r="J50" s="26">
        <v>22</v>
      </c>
      <c r="K50" s="10">
        <f t="shared" ca="1" si="12"/>
        <v>26.364685638321895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26">
        <f ca="1">SUM(E39:E50)</f>
        <v>8578644.9000000022</v>
      </c>
      <c r="F51" s="126">
        <f ca="1">SUM(F39:F50)</f>
        <v>44509.820000000007</v>
      </c>
      <c r="G51" s="98">
        <f t="shared" ref="G51" si="17">SUM(G39:G50)</f>
        <v>0</v>
      </c>
      <c r="H51" s="98"/>
      <c r="I51" s="99"/>
      <c r="J51" s="99"/>
      <c r="K51" s="99">
        <f ca="1">SUM(K39:K50)</f>
        <v>341.99913037171746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18">
        <f ca="1">RANDBETWEEN(41000000,71000000)/100</f>
        <v>673635.2</v>
      </c>
      <c r="F52" s="118">
        <f ca="1">RANDBETWEEN(140000,270000)/100</f>
        <v>1586.59</v>
      </c>
      <c r="G52" s="14"/>
      <c r="H52" s="18"/>
      <c r="I52" s="14"/>
      <c r="J52" s="28"/>
      <c r="K52" s="15">
        <f t="shared" ref="K52:K63" ca="1" si="18">E52/$E$3</f>
        <v>26.85536646793458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18">
        <f t="shared" ref="E53:E63" ca="1" si="20">RANDBETWEEN(41000000,71000000)/100</f>
        <v>609763.28</v>
      </c>
      <c r="F53" s="118">
        <f t="shared" ref="F53:F63" ca="1" si="21">RANDBETWEEN(140000,270000)/100</f>
        <v>2488.21</v>
      </c>
      <c r="G53" s="14"/>
      <c r="H53" s="18"/>
      <c r="I53" s="14"/>
      <c r="J53" s="28"/>
      <c r="K53" s="15">
        <f t="shared" ca="1" si="18"/>
        <v>24.309027115996617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18">
        <f t="shared" ca="1" si="20"/>
        <v>524653.79</v>
      </c>
      <c r="F54" s="118">
        <f t="shared" ca="1" si="21"/>
        <v>1976.43</v>
      </c>
      <c r="G54" s="14"/>
      <c r="H54" s="18"/>
      <c r="I54" s="14"/>
      <c r="J54" s="28"/>
      <c r="K54" s="15">
        <f t="shared" ca="1" si="18"/>
        <v>20.916023686471242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18">
        <f t="shared" ca="1" si="20"/>
        <v>603292.82999999996</v>
      </c>
      <c r="F55" s="118">
        <f t="shared" ca="1" si="21"/>
        <v>1894.6</v>
      </c>
      <c r="G55" s="14"/>
      <c r="H55" s="18"/>
      <c r="I55" s="14"/>
      <c r="J55" s="28"/>
      <c r="K55" s="15">
        <f t="shared" ca="1" si="18"/>
        <v>24.051073989493656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18">
        <f t="shared" ca="1" si="20"/>
        <v>615720.78</v>
      </c>
      <c r="F56" s="118">
        <f t="shared" ca="1" si="21"/>
        <v>1590.15</v>
      </c>
      <c r="G56" s="14"/>
      <c r="H56" s="18"/>
      <c r="I56" s="14"/>
      <c r="J56" s="28"/>
      <c r="K56" s="15">
        <f t="shared" ca="1" si="18"/>
        <v>24.546530806024574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18">
        <f t="shared" ca="1" si="20"/>
        <v>564269.36</v>
      </c>
      <c r="F57" s="118">
        <f t="shared" ca="1" si="21"/>
        <v>1448.42</v>
      </c>
      <c r="G57" s="14"/>
      <c r="H57" s="18"/>
      <c r="I57" s="14"/>
      <c r="J57" s="28"/>
      <c r="K57" s="15">
        <f t="shared" ca="1" si="18"/>
        <v>22.495351266422695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18">
        <f t="shared" ca="1" si="20"/>
        <v>599512.03</v>
      </c>
      <c r="F58" s="118">
        <f t="shared" ca="1" si="21"/>
        <v>2595.37</v>
      </c>
      <c r="G58" s="14"/>
      <c r="H58" s="18"/>
      <c r="I58" s="14"/>
      <c r="J58" s="28"/>
      <c r="K58" s="15">
        <f t="shared" ca="1" si="18"/>
        <v>23.900347350591819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18">
        <f t="shared" ca="1" si="20"/>
        <v>704121.15</v>
      </c>
      <c r="F59" s="118">
        <f t="shared" ca="1" si="21"/>
        <v>1443.47</v>
      </c>
      <c r="G59" s="14"/>
      <c r="H59" s="18"/>
      <c r="I59" s="14"/>
      <c r="J59" s="28"/>
      <c r="K59" s="15">
        <f t="shared" ca="1" si="18"/>
        <v>28.070729559668994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18">
        <f t="shared" ca="1" si="20"/>
        <v>693979.63</v>
      </c>
      <c r="F60" s="118">
        <f t="shared" ca="1" si="21"/>
        <v>1409.12</v>
      </c>
      <c r="G60" s="14"/>
      <c r="H60" s="18"/>
      <c r="I60" s="14"/>
      <c r="J60" s="28"/>
      <c r="K60" s="15">
        <f t="shared" ca="1" si="18"/>
        <v>27.666424327190217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18">
        <f t="shared" ca="1" si="20"/>
        <v>441032.61</v>
      </c>
      <c r="F61" s="118">
        <f t="shared" ca="1" si="21"/>
        <v>1718.74</v>
      </c>
      <c r="G61" s="14"/>
      <c r="H61" s="18"/>
      <c r="I61" s="14"/>
      <c r="J61" s="28"/>
      <c r="K61" s="15">
        <f t="shared" ca="1" si="18"/>
        <v>17.582353721806207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18">
        <f t="shared" ca="1" si="20"/>
        <v>516084.91</v>
      </c>
      <c r="F62" s="118">
        <f t="shared" ca="1" si="21"/>
        <v>1499.71</v>
      </c>
      <c r="G62" s="14"/>
      <c r="H62" s="18"/>
      <c r="I62" s="14"/>
      <c r="J62" s="28"/>
      <c r="K62" s="15">
        <f t="shared" ca="1" si="18"/>
        <v>20.574413846872957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18">
        <f t="shared" ca="1" si="20"/>
        <v>542002.07999999996</v>
      </c>
      <c r="F63" s="118">
        <f t="shared" ca="1" si="21"/>
        <v>2008.29</v>
      </c>
      <c r="G63" s="9"/>
      <c r="H63" s="27"/>
      <c r="I63" s="9"/>
      <c r="J63" s="26"/>
      <c r="K63" s="10">
        <f t="shared" ca="1" si="18"/>
        <v>21.607636425149391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24">
        <f ca="1">SUM(E52:E63)</f>
        <v>7088067.6500000004</v>
      </c>
      <c r="F64" s="124">
        <f t="shared" ref="F64:G64" ca="1" si="23">SUM(F52:F63)</f>
        <v>21659.100000000002</v>
      </c>
      <c r="G64" s="92">
        <f t="shared" si="23"/>
        <v>0</v>
      </c>
      <c r="H64" s="93"/>
      <c r="I64" s="93"/>
      <c r="J64" s="93"/>
      <c r="K64" s="93">
        <f ca="1">SUM(K52:K63)</f>
        <v>282.57527856362299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E65" s="119"/>
      <c r="F65" s="119"/>
      <c r="M65" s="24"/>
    </row>
    <row r="66" spans="1:20" ht="57">
      <c r="B66" s="21" t="s">
        <v>12</v>
      </c>
      <c r="C66" s="23" t="s">
        <v>35</v>
      </c>
      <c r="D66" s="23" t="s">
        <v>41</v>
      </c>
      <c r="E66" s="131" t="s">
        <v>36</v>
      </c>
      <c r="F66" s="122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18">
        <f ca="1">RANDBETWEEN(38000000, 44000000)/100</f>
        <v>438673.27</v>
      </c>
      <c r="F67" s="118">
        <f ca="1">RANDBETWEEN(150000,300000)/100</f>
        <v>1700.13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17.488295483278208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178978.69415999998</v>
      </c>
      <c r="S67" s="13">
        <f ca="1">F67*(1.3)</f>
        <v>2210.1690000000003</v>
      </c>
      <c r="T67" s="33">
        <f>(I67/1000)*0.561</f>
        <v>0</v>
      </c>
    </row>
    <row r="68" spans="1:20">
      <c r="B68" s="17">
        <v>44593</v>
      </c>
      <c r="C68" s="14"/>
      <c r="D68" s="14"/>
      <c r="E68" s="118">
        <f t="shared" ref="E68:E78" ca="1" si="28">RANDBETWEEN(38000000, 44000000)/100</f>
        <v>418402.8</v>
      </c>
      <c r="F68" s="118">
        <f t="shared" ref="F68:F78" ca="1" si="29">RANDBETWEEN(150000,300000)/100</f>
        <v>2090.35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16.680186138150052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170708.34239999999</v>
      </c>
      <c r="S68" s="13">
        <f t="shared" ref="S68:S78" ca="1" si="33">F68*(1.3)</f>
        <v>2717.4549999999999</v>
      </c>
      <c r="T68" s="33">
        <f t="shared" ref="T68:T74" si="34">(I68/1000)*0.561</f>
        <v>0</v>
      </c>
    </row>
    <row r="69" spans="1:20" ht="16.5" customHeight="1">
      <c r="B69" s="17">
        <v>44621</v>
      </c>
      <c r="C69" s="14"/>
      <c r="D69" s="14"/>
      <c r="E69" s="118">
        <f t="shared" ca="1" si="28"/>
        <v>387882.84</v>
      </c>
      <c r="F69" s="118">
        <f t="shared" ca="1" si="29"/>
        <v>2977.1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15.463467192366483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158256.19871999999</v>
      </c>
      <c r="S69" s="13">
        <f t="shared" ca="1" si="33"/>
        <v>3870.23</v>
      </c>
      <c r="T69" s="33">
        <f t="shared" si="34"/>
        <v>0</v>
      </c>
    </row>
    <row r="70" spans="1:20">
      <c r="B70" s="17">
        <v>44652</v>
      </c>
      <c r="C70" s="14"/>
      <c r="D70" s="14"/>
      <c r="E70" s="118">
        <f t="shared" ca="1" si="28"/>
        <v>439249.9</v>
      </c>
      <c r="F70" s="118">
        <f t="shared" ca="1" si="29"/>
        <v>2356.5500000000002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17.511283607958163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179213.95920000001</v>
      </c>
      <c r="S70" s="13">
        <f t="shared" ca="1" si="33"/>
        <v>3063.5150000000003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18">
        <f t="shared" ca="1" si="28"/>
        <v>403236.38</v>
      </c>
      <c r="F71" s="118">
        <f t="shared" ca="1" si="29"/>
        <v>1805.22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16.075556559549334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164520.44303999998</v>
      </c>
      <c r="S71" s="13">
        <f t="shared" ca="1" si="33"/>
        <v>2346.7860000000001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18">
        <f t="shared" ca="1" si="28"/>
        <v>400151.74</v>
      </c>
      <c r="F72" s="118">
        <f t="shared" ca="1" si="29"/>
        <v>2424.23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15.95258326833526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163261.90991999998</v>
      </c>
      <c r="S72" s="13">
        <f t="shared" ca="1" si="33"/>
        <v>3151.4990000000003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18">
        <f t="shared" ca="1" si="28"/>
        <v>385901.78</v>
      </c>
      <c r="F73" s="118">
        <f t="shared" ca="1" si="29"/>
        <v>2443.1999999999998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15.384489590995644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157447.92624</v>
      </c>
      <c r="S73" s="13">
        <f t="shared" ca="1" si="33"/>
        <v>3176.16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18">
        <f t="shared" ca="1" si="28"/>
        <v>413748.99</v>
      </c>
      <c r="F74" s="118">
        <f t="shared" ca="1" si="29"/>
        <v>2544.04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16.494655790237505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168809.58791999999</v>
      </c>
      <c r="S74" s="13">
        <f t="shared" ca="1" si="33"/>
        <v>3307.252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18">
        <f t="shared" ca="1" si="28"/>
        <v>424775.12</v>
      </c>
      <c r="F75" s="118">
        <f t="shared" ca="1" si="29"/>
        <v>1796.12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16.934227181211561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173308.24896</v>
      </c>
      <c r="S75" s="13">
        <f t="shared" ca="1" si="33"/>
        <v>2334.9560000000001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18">
        <f t="shared" ca="1" si="28"/>
        <v>432355.5</v>
      </c>
      <c r="F76" s="118">
        <f t="shared" ca="1" si="29"/>
        <v>2783.7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17.236429148784222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176401.04399999999</v>
      </c>
      <c r="S76" s="13">
        <f t="shared" ca="1" si="33"/>
        <v>3618.81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18">
        <f t="shared" ca="1" si="28"/>
        <v>420328.59</v>
      </c>
      <c r="F77" s="118">
        <f t="shared" ca="1" si="29"/>
        <v>1862.06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16.75696032719226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171494.06471999999</v>
      </c>
      <c r="S77" s="13">
        <f t="shared" ca="1" si="33"/>
        <v>2420.6779999999999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18">
        <f t="shared" ca="1" si="28"/>
        <v>439835.46</v>
      </c>
      <c r="F78" s="118">
        <f t="shared" ca="1" si="29"/>
        <v>1733.04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17.534627739008563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179452.86768</v>
      </c>
      <c r="S78" s="73">
        <f t="shared" ca="1" si="33"/>
        <v>2252.9520000000002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24">
        <f ca="1">SUM(E67:E78)</f>
        <v>5004542.37</v>
      </c>
      <c r="F79" s="124">
        <f ca="1">SUM(F67:F78)</f>
        <v>26515.74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199.51276202706725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2041853.2869599997</v>
      </c>
      <c r="S79" s="93">
        <f t="shared" ref="S79:T79" ca="1" si="37">SUM(S67:S78)</f>
        <v>34470.462</v>
      </c>
      <c r="T79" s="96">
        <f t="shared" si="37"/>
        <v>0</v>
      </c>
    </row>
    <row r="80" spans="1:20">
      <c r="B80" s="85">
        <v>44927</v>
      </c>
      <c r="C80" s="87"/>
      <c r="D80" s="87"/>
      <c r="E80" s="125">
        <f ca="1">RANDBETWEEN(40000000, 45000000)/100</f>
        <v>417446.93</v>
      </c>
      <c r="F80" s="125">
        <f ca="1">RANDBETWEEN(210000, 350000)/100</f>
        <v>2902.57</v>
      </c>
      <c r="G80" s="87"/>
      <c r="H80" s="87"/>
      <c r="I80" s="14">
        <f t="shared" ref="I80:I91" si="38">G80+H80</f>
        <v>0</v>
      </c>
      <c r="J80" s="87"/>
      <c r="K80" s="87"/>
      <c r="L80" s="109"/>
      <c r="M80" s="89">
        <f t="shared" ref="M80:M91" ca="1" si="39">E80/$E$3</f>
        <v>16.64207910463146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170318.34743999998</v>
      </c>
      <c r="S80" s="74">
        <f ca="1">F80*(1.3)</f>
        <v>3773.3410000000003</v>
      </c>
      <c r="T80" s="113">
        <f>(I80/1000)*0.561</f>
        <v>0</v>
      </c>
    </row>
    <row r="81" spans="1:20">
      <c r="B81" s="17">
        <v>44958</v>
      </c>
      <c r="C81" s="14"/>
      <c r="D81" s="14"/>
      <c r="E81" s="125">
        <f t="shared" ref="E81:E91" ca="1" si="43">RANDBETWEEN(40000000, 45000000)/100</f>
        <v>403486.86</v>
      </c>
      <c r="F81" s="125">
        <f t="shared" ref="F81:F91" ca="1" si="44">RANDBETWEEN(210000, 350000)/100</f>
        <v>3492.53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16.085542279109248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164622.63887999998</v>
      </c>
      <c r="S81" s="13">
        <f t="shared" ref="S81:S91" ca="1" si="47">F81*(1.3)</f>
        <v>4540.2890000000007</v>
      </c>
      <c r="T81" s="33">
        <f t="shared" ref="T81:T87" si="48">(I81/1000)*0.561</f>
        <v>0</v>
      </c>
    </row>
    <row r="82" spans="1:20" ht="16.5" customHeight="1">
      <c r="B82" s="17">
        <v>44986</v>
      </c>
      <c r="C82" s="14"/>
      <c r="D82" s="14"/>
      <c r="E82" s="125">
        <f t="shared" ca="1" si="43"/>
        <v>403330.47</v>
      </c>
      <c r="F82" s="125">
        <f t="shared" ca="1" si="44"/>
        <v>3051.64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16.079307582997881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164558.83175999997</v>
      </c>
      <c r="S82" s="13">
        <f t="shared" ca="1" si="47"/>
        <v>3967.1320000000001</v>
      </c>
      <c r="T82" s="33">
        <f t="shared" si="48"/>
        <v>0</v>
      </c>
    </row>
    <row r="83" spans="1:20">
      <c r="B83" s="17">
        <v>45017</v>
      </c>
      <c r="C83" s="14"/>
      <c r="D83" s="14"/>
      <c r="E83" s="125">
        <f t="shared" ca="1" si="43"/>
        <v>439514.19</v>
      </c>
      <c r="F83" s="125">
        <f t="shared" ca="1" si="44"/>
        <v>3005.6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17.521819881602724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179321.78951999999</v>
      </c>
      <c r="S83" s="13">
        <f t="shared" ca="1" si="47"/>
        <v>3907.28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125">
        <f t="shared" ca="1" si="43"/>
        <v>438282.72</v>
      </c>
      <c r="F84" s="125">
        <f t="shared" ca="1" si="44"/>
        <v>3031.04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17.47272568619211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178819.34975999998</v>
      </c>
      <c r="S84" s="13">
        <f t="shared" ca="1" si="47"/>
        <v>3940.3519999999999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125">
        <f t="shared" ca="1" si="43"/>
        <v>429827.37</v>
      </c>
      <c r="F85" s="125">
        <f t="shared" ca="1" si="44"/>
        <v>2235.0700000000002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17.135641871592384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175369.56696</v>
      </c>
      <c r="S85" s="13">
        <f t="shared" ca="1" si="47"/>
        <v>2905.5910000000003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125">
        <f t="shared" ca="1" si="43"/>
        <v>445610.51</v>
      </c>
      <c r="F86" s="125">
        <f t="shared" ca="1" si="44"/>
        <v>2439.42</v>
      </c>
      <c r="G86" s="14"/>
      <c r="H86" s="14"/>
      <c r="I86" s="14">
        <f t="shared" si="38"/>
        <v>0</v>
      </c>
      <c r="J86" s="14"/>
      <c r="K86" s="14"/>
      <c r="L86" s="28"/>
      <c r="M86" s="15">
        <f t="shared" ca="1" si="39"/>
        <v>17.764857816238266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181809.08807999999</v>
      </c>
      <c r="S86" s="13">
        <f t="shared" ca="1" si="47"/>
        <v>3171.2460000000001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125">
        <f t="shared" ca="1" si="43"/>
        <v>437722.87</v>
      </c>
      <c r="F87" s="125">
        <f t="shared" ca="1" si="44"/>
        <v>2174.02</v>
      </c>
      <c r="G87" s="14"/>
      <c r="H87" s="14"/>
      <c r="I87" s="14">
        <f t="shared" si="38"/>
        <v>0</v>
      </c>
      <c r="J87" s="14"/>
      <c r="K87" s="14"/>
      <c r="L87" s="28"/>
      <c r="M87" s="15">
        <f t="shared" ca="1" si="39"/>
        <v>17.450406518611391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178590.93096</v>
      </c>
      <c r="S87" s="13">
        <f t="shared" ca="1" si="47"/>
        <v>2826.2260000000001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125">
        <f t="shared" ca="1" si="43"/>
        <v>405112.71</v>
      </c>
      <c r="F88" s="125">
        <f t="shared" ca="1" si="44"/>
        <v>3090.91</v>
      </c>
      <c r="G88" s="14"/>
      <c r="H88" s="14"/>
      <c r="I88" s="14">
        <f t="shared" si="38"/>
        <v>0</v>
      </c>
      <c r="J88" s="14"/>
      <c r="K88" s="14"/>
      <c r="L88" s="28"/>
      <c r="M88" s="15">
        <f t="shared" ca="1" si="39"/>
        <v>16.150358959668537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165285.98567999998</v>
      </c>
      <c r="S88" s="13">
        <f t="shared" ca="1" si="47"/>
        <v>4018.183</v>
      </c>
      <c r="T88" s="33">
        <f t="shared" ref="T88:T91" si="49">(I88/1000)*21.28</f>
        <v>0</v>
      </c>
    </row>
    <row r="89" spans="1:20" s="2" customFormat="1">
      <c r="B89" s="17">
        <v>45200</v>
      </c>
      <c r="C89" s="52"/>
      <c r="D89" s="14"/>
      <c r="E89" s="125">
        <f t="shared" ca="1" si="43"/>
        <v>400190.56</v>
      </c>
      <c r="F89" s="125">
        <f t="shared" ca="1" si="44"/>
        <v>2996.97</v>
      </c>
      <c r="G89" s="14"/>
      <c r="H89" s="14"/>
      <c r="I89" s="14">
        <f t="shared" si="38"/>
        <v>0</v>
      </c>
      <c r="J89" s="14"/>
      <c r="K89" s="14"/>
      <c r="L89" s="28"/>
      <c r="M89" s="15">
        <f t="shared" ca="1" si="39"/>
        <v>15.954130879455173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163277.74847999998</v>
      </c>
      <c r="S89" s="13">
        <f t="shared" ca="1" si="47"/>
        <v>3896.0609999999997</v>
      </c>
      <c r="T89" s="33">
        <f t="shared" si="49"/>
        <v>0</v>
      </c>
    </row>
    <row r="90" spans="1:20" s="2" customFormat="1">
      <c r="B90" s="17">
        <v>45231</v>
      </c>
      <c r="C90" s="52"/>
      <c r="D90" s="14"/>
      <c r="E90" s="125">
        <f t="shared" ca="1" si="43"/>
        <v>412203.1</v>
      </c>
      <c r="F90" s="125">
        <f t="shared" ca="1" si="44"/>
        <v>2883.32</v>
      </c>
      <c r="G90" s="14"/>
      <c r="H90" s="14"/>
      <c r="I90" s="14">
        <f t="shared" si="38"/>
        <v>0</v>
      </c>
      <c r="J90" s="14"/>
      <c r="K90" s="14"/>
      <c r="L90" s="28"/>
      <c r="M90" s="15">
        <f t="shared" ca="1" si="39"/>
        <v>16.433026821814959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168178.86479999998</v>
      </c>
      <c r="S90" s="13">
        <f t="shared" ca="1" si="47"/>
        <v>3748.3160000000003</v>
      </c>
      <c r="T90" s="33">
        <f t="shared" si="49"/>
        <v>0</v>
      </c>
    </row>
    <row r="91" spans="1:20" s="2" customFormat="1" ht="14.65" thickBot="1">
      <c r="B91" s="101">
        <v>45261</v>
      </c>
      <c r="C91" s="102"/>
      <c r="D91" s="103"/>
      <c r="E91" s="125">
        <f t="shared" ca="1" si="43"/>
        <v>434162.84</v>
      </c>
      <c r="F91" s="125">
        <f t="shared" ca="1" si="44"/>
        <v>3236.2</v>
      </c>
      <c r="G91" s="103"/>
      <c r="H91" s="103"/>
      <c r="I91" s="103">
        <f t="shared" si="38"/>
        <v>0</v>
      </c>
      <c r="J91" s="103"/>
      <c r="K91" s="103"/>
      <c r="L91" s="104"/>
      <c r="M91" s="105">
        <f t="shared" ca="1" si="39"/>
        <v>17.308481170460283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177138.43872000001</v>
      </c>
      <c r="S91" s="73">
        <f t="shared" ca="1" si="47"/>
        <v>4207.0599999999995</v>
      </c>
      <c r="T91" s="108">
        <f t="shared" si="49"/>
        <v>0</v>
      </c>
    </row>
    <row r="92" spans="1:20" ht="14.65" thickBot="1">
      <c r="A92" s="91" t="s">
        <v>63</v>
      </c>
      <c r="B92" s="115"/>
      <c r="C92" s="93">
        <f>SUM(C80:C91)</f>
        <v>0</v>
      </c>
      <c r="D92" s="93">
        <f>SUM(D80:D91)</f>
        <v>0</v>
      </c>
      <c r="E92" s="124">
        <f ca="1">SUM(E80:E91)</f>
        <v>5066891.129999999</v>
      </c>
      <c r="F92" s="124">
        <f ca="1">SUM(F80:F91)</f>
        <v>34539.29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119">
        <f ca="1">RANDBETWEEN(38000000,43000000)/100</f>
        <v>423909.62</v>
      </c>
      <c r="F93" s="119">
        <f ca="1">RANDBETWEEN(130000,300000)/100</f>
        <v>2007.03</v>
      </c>
    </row>
    <row r="94" spans="1:20">
      <c r="B94" s="85">
        <v>45323</v>
      </c>
      <c r="E94" s="119">
        <f ca="1">RANDBETWEEN(38000000,43000000)/100</f>
        <v>407264.95</v>
      </c>
      <c r="F94" s="119">
        <f t="shared" ref="F94:F95" ca="1" si="50">RANDBETWEEN(130000,300000)/100</f>
        <v>2815.23</v>
      </c>
    </row>
    <row r="95" spans="1:20">
      <c r="B95" s="85">
        <v>45352</v>
      </c>
      <c r="F95" s="119">
        <f t="shared" ca="1" si="50"/>
        <v>1730.48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124"/>
      <c r="F105" s="128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A51C-86CE-4F5E-BE38-58E3D6FB947F}">
  <dimension ref="A1:T105"/>
  <sheetViews>
    <sheetView topLeftCell="A81" zoomScaleNormal="100" workbookViewId="0">
      <selection activeCell="F93" sqref="F93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" style="2" customWidth="1"/>
    <col min="6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70</v>
      </c>
      <c r="D3" s="14"/>
      <c r="E3" s="138">
        <v>16815.450199999999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38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38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57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35">
        <f ca="1">RANDBETWEEN(10000000, 12000000)/100</f>
        <v>113804.3</v>
      </c>
      <c r="F13" s="118">
        <f ca="1">RANDBETWEEN(80000, 130000)/100</f>
        <v>922.42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6.7678413986204191</v>
      </c>
      <c r="L13" s="14" t="e">
        <f t="shared" ref="L13:L24" si="2">(C13/$E$4)*(55/60)</f>
        <v>#DIV/0!</v>
      </c>
      <c r="M13" s="13" t="e">
        <f t="shared" ref="M13:M24" ca="1" si="3">F13*1000/(H13+0.25*I13)/J13</f>
        <v>#DIV/0!</v>
      </c>
      <c r="N13" s="12"/>
    </row>
    <row r="14" spans="2:14">
      <c r="B14" s="17">
        <v>43132</v>
      </c>
      <c r="C14" s="14"/>
      <c r="D14" s="14"/>
      <c r="E14" s="135">
        <f t="shared" ref="E14:E24" ca="1" si="4">RANDBETWEEN(10000000, 12000000)/100</f>
        <v>103569.98</v>
      </c>
      <c r="F14" s="118">
        <f t="shared" ref="F14:F24" ca="1" si="5">RANDBETWEEN(80000, 130000)/100</f>
        <v>1266.21</v>
      </c>
      <c r="G14" s="14"/>
      <c r="H14" s="14"/>
      <c r="I14" s="14"/>
      <c r="J14" s="16">
        <f t="shared" si="0"/>
        <v>21.666666666666668</v>
      </c>
      <c r="K14" s="15">
        <f t="shared" ca="1" si="1"/>
        <v>6.1592154101232452</v>
      </c>
      <c r="L14" s="14" t="e">
        <f t="shared" si="2"/>
        <v>#DIV/0!</v>
      </c>
      <c r="M14" s="13" t="e">
        <f t="shared" ca="1" si="3"/>
        <v>#DIV/0!</v>
      </c>
      <c r="N14" s="12"/>
    </row>
    <row r="15" spans="2:14">
      <c r="B15" s="17">
        <v>43160</v>
      </c>
      <c r="C15" s="14"/>
      <c r="D15" s="14"/>
      <c r="E15" s="135">
        <f t="shared" ca="1" si="4"/>
        <v>100568.68</v>
      </c>
      <c r="F15" s="118">
        <f t="shared" ca="1" si="5"/>
        <v>854.26</v>
      </c>
      <c r="G15" s="14"/>
      <c r="H15" s="14"/>
      <c r="I15" s="14"/>
      <c r="J15" s="16">
        <f t="shared" si="0"/>
        <v>21.666666666666668</v>
      </c>
      <c r="K15" s="15">
        <f t="shared" ca="1" si="1"/>
        <v>5.980730744871761</v>
      </c>
      <c r="L15" s="14" t="e">
        <f t="shared" si="2"/>
        <v>#DIV/0!</v>
      </c>
      <c r="M15" s="13" t="e">
        <f t="shared" ca="1" si="3"/>
        <v>#DIV/0!</v>
      </c>
      <c r="N15" s="12"/>
    </row>
    <row r="16" spans="2:14">
      <c r="B16" s="17">
        <v>43191</v>
      </c>
      <c r="C16" s="14"/>
      <c r="D16" s="14"/>
      <c r="E16" s="135">
        <f t="shared" ca="1" si="4"/>
        <v>116494.37</v>
      </c>
      <c r="F16" s="118">
        <f t="shared" ca="1" si="5"/>
        <v>1087.28</v>
      </c>
      <c r="G16" s="14"/>
      <c r="H16" s="14"/>
      <c r="I16" s="14"/>
      <c r="J16" s="16">
        <f t="shared" si="0"/>
        <v>21.666666666666668</v>
      </c>
      <c r="K16" s="15">
        <f t="shared" ca="1" si="1"/>
        <v>6.9278174901317833</v>
      </c>
      <c r="L16" s="14" t="e">
        <f t="shared" si="2"/>
        <v>#DIV/0!</v>
      </c>
      <c r="M16" s="13" t="e">
        <f t="shared" ca="1" si="3"/>
        <v>#DIV/0!</v>
      </c>
      <c r="N16" s="12"/>
    </row>
    <row r="17" spans="1:14" s="2" customFormat="1">
      <c r="B17" s="17">
        <v>43221</v>
      </c>
      <c r="C17" s="14"/>
      <c r="D17" s="14"/>
      <c r="E17" s="135">
        <f t="shared" ca="1" si="4"/>
        <v>119514.61</v>
      </c>
      <c r="F17" s="118">
        <f t="shared" ca="1" si="5"/>
        <v>1078.75</v>
      </c>
      <c r="G17" s="14"/>
      <c r="H17" s="14"/>
      <c r="I17" s="14"/>
      <c r="J17" s="16">
        <f t="shared" si="0"/>
        <v>21.666666666666668</v>
      </c>
      <c r="K17" s="15">
        <f t="shared" ca="1" si="1"/>
        <v>7.1074285004870106</v>
      </c>
      <c r="L17" s="14" t="e">
        <f t="shared" si="2"/>
        <v>#DIV/0!</v>
      </c>
      <c r="M17" s="13" t="e">
        <f t="shared" ca="1" si="3"/>
        <v>#DIV/0!</v>
      </c>
      <c r="N17" s="12"/>
    </row>
    <row r="18" spans="1:14" s="2" customFormat="1">
      <c r="B18" s="17">
        <v>43252</v>
      </c>
      <c r="C18" s="14"/>
      <c r="D18" s="14"/>
      <c r="E18" s="135">
        <f t="shared" ca="1" si="4"/>
        <v>113022.57</v>
      </c>
      <c r="F18" s="118">
        <f t="shared" ca="1" si="5"/>
        <v>1150.96</v>
      </c>
      <c r="G18" s="14"/>
      <c r="H18" s="14"/>
      <c r="I18" s="14"/>
      <c r="J18" s="16">
        <f t="shared" si="0"/>
        <v>21.666666666666668</v>
      </c>
      <c r="K18" s="15">
        <f t="shared" ca="1" si="1"/>
        <v>6.7213526046421288</v>
      </c>
      <c r="L18" s="14" t="e">
        <f t="shared" si="2"/>
        <v>#DIV/0!</v>
      </c>
      <c r="M18" s="13" t="e">
        <f t="shared" ca="1" si="3"/>
        <v>#DIV/0!</v>
      </c>
      <c r="N18" s="12"/>
    </row>
    <row r="19" spans="1:14" s="2" customFormat="1">
      <c r="B19" s="17">
        <v>43282</v>
      </c>
      <c r="C19" s="14"/>
      <c r="D19" s="14"/>
      <c r="E19" s="135">
        <f t="shared" ca="1" si="4"/>
        <v>102635.12</v>
      </c>
      <c r="F19" s="118">
        <f t="shared" ca="1" si="5"/>
        <v>1297.8699999999999</v>
      </c>
      <c r="G19" s="14"/>
      <c r="H19" s="14"/>
      <c r="I19" s="14"/>
      <c r="J19" s="16">
        <f t="shared" si="0"/>
        <v>21.666666666666668</v>
      </c>
      <c r="K19" s="15">
        <f t="shared" ca="1" si="1"/>
        <v>6.1036201100342824</v>
      </c>
      <c r="L19" s="14" t="e">
        <f t="shared" si="2"/>
        <v>#DIV/0!</v>
      </c>
      <c r="M19" s="13" t="e">
        <f t="shared" ca="1" si="3"/>
        <v>#DIV/0!</v>
      </c>
      <c r="N19" s="12"/>
    </row>
    <row r="20" spans="1:14" s="2" customFormat="1">
      <c r="B20" s="17">
        <v>43313</v>
      </c>
      <c r="C20" s="14"/>
      <c r="D20" s="14"/>
      <c r="E20" s="135">
        <f t="shared" ca="1" si="4"/>
        <v>111493.05</v>
      </c>
      <c r="F20" s="118">
        <f t="shared" ca="1" si="5"/>
        <v>1088.07</v>
      </c>
      <c r="G20" s="14"/>
      <c r="H20" s="14"/>
      <c r="I20" s="14"/>
      <c r="J20" s="16">
        <f t="shared" si="0"/>
        <v>21.666666666666668</v>
      </c>
      <c r="K20" s="15">
        <f t="shared" ca="1" si="1"/>
        <v>6.6303933985662784</v>
      </c>
      <c r="L20" s="14" t="e">
        <f t="shared" si="2"/>
        <v>#DIV/0!</v>
      </c>
      <c r="M20" s="13" t="e">
        <f t="shared" ca="1" si="3"/>
        <v>#DIV/0!</v>
      </c>
      <c r="N20" s="12"/>
    </row>
    <row r="21" spans="1:14" s="2" customFormat="1">
      <c r="B21" s="17">
        <v>43344</v>
      </c>
      <c r="C21" s="14"/>
      <c r="D21" s="14"/>
      <c r="E21" s="135">
        <f t="shared" ca="1" si="4"/>
        <v>111323.26</v>
      </c>
      <c r="F21" s="118">
        <f t="shared" ca="1" si="5"/>
        <v>860.98</v>
      </c>
      <c r="G21" s="14"/>
      <c r="H21" s="14"/>
      <c r="I21" s="14"/>
      <c r="J21" s="16">
        <f t="shared" si="0"/>
        <v>21.666666666666668</v>
      </c>
      <c r="K21" s="15">
        <f t="shared" ca="1" si="1"/>
        <v>6.6202961369419651</v>
      </c>
      <c r="L21" s="14" t="e">
        <f t="shared" si="2"/>
        <v>#DIV/0!</v>
      </c>
      <c r="M21" s="13" t="e">
        <f t="shared" ca="1" si="3"/>
        <v>#DIV/0!</v>
      </c>
      <c r="N21" s="12"/>
    </row>
    <row r="22" spans="1:14" s="2" customFormat="1">
      <c r="B22" s="17">
        <v>43374</v>
      </c>
      <c r="C22" s="14"/>
      <c r="D22" s="14"/>
      <c r="E22" s="135">
        <f t="shared" ca="1" si="4"/>
        <v>119810.69</v>
      </c>
      <c r="F22" s="118">
        <f t="shared" ca="1" si="5"/>
        <v>1167.9100000000001</v>
      </c>
      <c r="G22" s="14"/>
      <c r="H22" s="14"/>
      <c r="I22" s="14"/>
      <c r="J22" s="16">
        <f t="shared" si="0"/>
        <v>21.666666666666668</v>
      </c>
      <c r="K22" s="15">
        <f t="shared" ca="1" si="1"/>
        <v>7.1250361170823728</v>
      </c>
      <c r="L22" s="14" t="e">
        <f t="shared" si="2"/>
        <v>#DIV/0!</v>
      </c>
      <c r="M22" s="13" t="e">
        <f t="shared" ca="1" si="3"/>
        <v>#DIV/0!</v>
      </c>
      <c r="N22" s="12"/>
    </row>
    <row r="23" spans="1:14" s="2" customFormat="1">
      <c r="B23" s="17">
        <v>43405</v>
      </c>
      <c r="C23" s="14"/>
      <c r="D23" s="14"/>
      <c r="E23" s="135">
        <f t="shared" ca="1" si="4"/>
        <v>109551.11</v>
      </c>
      <c r="F23" s="118">
        <f t="shared" ca="1" si="5"/>
        <v>1038.3599999999999</v>
      </c>
      <c r="G23" s="14"/>
      <c r="H23" s="14"/>
      <c r="I23" s="14"/>
      <c r="J23" s="16">
        <f t="shared" si="0"/>
        <v>21.666666666666668</v>
      </c>
      <c r="K23" s="15">
        <f t="shared" ca="1" si="1"/>
        <v>6.514907938652752</v>
      </c>
      <c r="L23" s="14" t="e">
        <f t="shared" si="2"/>
        <v>#DIV/0!</v>
      </c>
      <c r="M23" s="13" t="e">
        <f t="shared" ca="1" si="3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35">
        <f t="shared" ca="1" si="4"/>
        <v>105565.19</v>
      </c>
      <c r="F24" s="118">
        <f t="shared" ca="1" si="5"/>
        <v>1227.69</v>
      </c>
      <c r="G24" s="9"/>
      <c r="H24" s="9"/>
      <c r="I24" s="9"/>
      <c r="J24" s="25">
        <f t="shared" si="0"/>
        <v>21.666666666666668</v>
      </c>
      <c r="K24" s="10">
        <f t="shared" ca="1" si="1"/>
        <v>6.2778687899774459</v>
      </c>
      <c r="L24" s="9" t="e">
        <f t="shared" si="2"/>
        <v>#DIV/0!</v>
      </c>
      <c r="M24" s="8" t="e">
        <f t="shared" ca="1" si="3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33">
        <f ca="1">SUM(E13:E24)</f>
        <v>1327352.9300000002</v>
      </c>
      <c r="F25" s="124">
        <f ca="1">SUM(F13:F24)</f>
        <v>13040.76</v>
      </c>
      <c r="G25" s="93"/>
      <c r="H25" s="93"/>
      <c r="I25" s="93"/>
      <c r="J25" s="93"/>
      <c r="K25" s="93">
        <f ca="1">E25/E3</f>
        <v>78.93650864013145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35">
        <f ca="1">RANDBETWEEN(9300000, 12000000)/100</f>
        <v>100684.3</v>
      </c>
      <c r="F26" s="13">
        <f ca="1">RANDBETWEEN(70000,100000)/100</f>
        <v>704.4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5.9876065643487797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35">
        <f t="shared" ref="E27:E37" ca="1" si="10">RANDBETWEEN(9300000, 12000000)/100</f>
        <v>107386.74</v>
      </c>
      <c r="F27" s="13">
        <f t="shared" ref="F27:F37" ca="1" si="11">RANDBETWEEN(70000,100000)/100</f>
        <v>752.22</v>
      </c>
      <c r="G27" s="14"/>
      <c r="H27" s="14"/>
      <c r="I27" s="14"/>
      <c r="J27" s="16">
        <f t="shared" si="6"/>
        <v>21.666666666666668</v>
      </c>
      <c r="K27" s="15">
        <f t="shared" ca="1" si="7"/>
        <v>6.3861947627188718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35">
        <f t="shared" ca="1" si="10"/>
        <v>93743.24</v>
      </c>
      <c r="F28" s="13">
        <f t="shared" ca="1" si="11"/>
        <v>890.35</v>
      </c>
      <c r="G28" s="14"/>
      <c r="H28" s="14"/>
      <c r="I28" s="14"/>
      <c r="J28" s="16">
        <f t="shared" si="6"/>
        <v>21.666666666666668</v>
      </c>
      <c r="K28" s="15">
        <f t="shared" ca="1" si="7"/>
        <v>5.5748278449303728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35">
        <f t="shared" ca="1" si="10"/>
        <v>109584.02</v>
      </c>
      <c r="F29" s="13">
        <f t="shared" ca="1" si="11"/>
        <v>978.11</v>
      </c>
      <c r="G29" s="14"/>
      <c r="H29" s="14"/>
      <c r="I29" s="14"/>
      <c r="J29" s="16">
        <f t="shared" si="6"/>
        <v>21.666666666666668</v>
      </c>
      <c r="K29" s="15">
        <f t="shared" ca="1" si="7"/>
        <v>6.5168650673414623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35">
        <f t="shared" ca="1" si="10"/>
        <v>118349.78</v>
      </c>
      <c r="F30" s="13">
        <f t="shared" ca="1" si="11"/>
        <v>886.5</v>
      </c>
      <c r="G30" s="14"/>
      <c r="H30" s="14"/>
      <c r="I30" s="14"/>
      <c r="J30" s="16">
        <f t="shared" si="6"/>
        <v>21.666666666666668</v>
      </c>
      <c r="K30" s="15">
        <f t="shared" ca="1" si="7"/>
        <v>7.0381570872244623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35">
        <f t="shared" ca="1" si="10"/>
        <v>108862.93</v>
      </c>
      <c r="F31" s="13">
        <f t="shared" ca="1" si="11"/>
        <v>915</v>
      </c>
      <c r="G31" s="14"/>
      <c r="H31" s="14"/>
      <c r="I31" s="14"/>
      <c r="J31" s="16">
        <f t="shared" si="6"/>
        <v>21.666666666666668</v>
      </c>
      <c r="K31" s="15">
        <f t="shared" ca="1" si="7"/>
        <v>6.4739824807069395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35">
        <f t="shared" ca="1" si="10"/>
        <v>112987.62</v>
      </c>
      <c r="F32" s="13">
        <f t="shared" ca="1" si="11"/>
        <v>873.1</v>
      </c>
      <c r="G32" s="14"/>
      <c r="H32" s="14"/>
      <c r="I32" s="14"/>
      <c r="J32" s="16">
        <f t="shared" si="6"/>
        <v>21.666666666666668</v>
      </c>
      <c r="K32" s="15">
        <f t="shared" ca="1" si="7"/>
        <v>6.7192741589517482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35">
        <f t="shared" ca="1" si="10"/>
        <v>102879.46</v>
      </c>
      <c r="F33" s="13">
        <f t="shared" ca="1" si="11"/>
        <v>985.45</v>
      </c>
      <c r="G33" s="14"/>
      <c r="H33" s="14"/>
      <c r="I33" s="14"/>
      <c r="J33" s="16">
        <f t="shared" si="6"/>
        <v>21.666666666666668</v>
      </c>
      <c r="K33" s="15">
        <f t="shared" ca="1" si="7"/>
        <v>6.1181507944402229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35">
        <f t="shared" ca="1" si="10"/>
        <v>99356</v>
      </c>
      <c r="F34" s="13">
        <f t="shared" ca="1" si="11"/>
        <v>859.36</v>
      </c>
      <c r="G34" s="14"/>
      <c r="H34" s="14"/>
      <c r="I34" s="14"/>
      <c r="J34" s="16">
        <f t="shared" si="6"/>
        <v>21.666666666666668</v>
      </c>
      <c r="K34" s="15">
        <f t="shared" ca="1" si="7"/>
        <v>5.9086137342906229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35">
        <f t="shared" ca="1" si="10"/>
        <v>100721.58</v>
      </c>
      <c r="F35" s="13">
        <f t="shared" ca="1" si="11"/>
        <v>872.09</v>
      </c>
      <c r="G35" s="14"/>
      <c r="H35" s="14"/>
      <c r="I35" s="14"/>
      <c r="J35" s="16">
        <f t="shared" si="6"/>
        <v>21.666666666666668</v>
      </c>
      <c r="K35" s="15">
        <f t="shared" ca="1" si="7"/>
        <v>5.9898235730851859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35">
        <f t="shared" ca="1" si="10"/>
        <v>114561.3</v>
      </c>
      <c r="F36" s="13">
        <f t="shared" ca="1" si="11"/>
        <v>728.82</v>
      </c>
      <c r="G36" s="14"/>
      <c r="H36" s="14"/>
      <c r="I36" s="14"/>
      <c r="J36" s="16">
        <f t="shared" si="6"/>
        <v>21.666666666666668</v>
      </c>
      <c r="K36" s="15">
        <f t="shared" ca="1" si="7"/>
        <v>6.8128595212990497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35">
        <f t="shared" ca="1" si="10"/>
        <v>108165.77</v>
      </c>
      <c r="F37" s="13">
        <f t="shared" ca="1" si="11"/>
        <v>776.01</v>
      </c>
      <c r="G37" s="9"/>
      <c r="H37" s="9"/>
      <c r="I37" s="9"/>
      <c r="J37" s="25">
        <f t="shared" si="6"/>
        <v>21.666666666666668</v>
      </c>
      <c r="K37" s="10">
        <f t="shared" ca="1" si="7"/>
        <v>6.4325229900773042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33">
        <f ca="1">SUM(E26:E37)</f>
        <v>1277282.74</v>
      </c>
      <c r="F38" s="124">
        <f ca="1">SUM(F26:F37)</f>
        <v>10221.41</v>
      </c>
      <c r="G38" s="93"/>
      <c r="H38" s="93"/>
      <c r="I38" s="93"/>
      <c r="J38" s="93"/>
      <c r="K38" s="96">
        <f ca="1">SUM(K26:K37)</f>
        <v>75.958878579415028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36">
        <f ca="1">RANDBETWEEN(6900000,9800000)/100</f>
        <v>72143.649999999994</v>
      </c>
      <c r="F39" s="125">
        <f ca="1">RANDBETWEEN(-150000, 85000)/100</f>
        <v>-1490.61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4.2903192684070985</v>
      </c>
      <c r="L39" s="87" t="e">
        <f t="shared" ref="L39:L50" si="13">(C39/$E$4)*(55/60)</f>
        <v>#DIV/0!</v>
      </c>
      <c r="M39" s="74" t="e">
        <f t="shared" ref="M39:M50" ca="1" si="14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36">
        <f t="shared" ref="E40:E50" ca="1" si="15">RANDBETWEEN(6900000,9800000)/100</f>
        <v>97801.07</v>
      </c>
      <c r="F40" s="118">
        <v>803.9</v>
      </c>
      <c r="G40" s="14"/>
      <c r="H40" s="14"/>
      <c r="I40" s="14"/>
      <c r="J40" s="16">
        <f>$L$11</f>
        <v>21.666666666666668</v>
      </c>
      <c r="K40" s="15">
        <f t="shared" ca="1" si="12"/>
        <v>5.8161434179145566</v>
      </c>
      <c r="L40" s="14" t="e">
        <f t="shared" si="13"/>
        <v>#DIV/0!</v>
      </c>
      <c r="M40" s="13" t="e">
        <f t="shared" si="14"/>
        <v>#DIV/0!</v>
      </c>
      <c r="N40" s="12"/>
    </row>
    <row r="41" spans="1:14" s="2" customFormat="1">
      <c r="B41" s="17">
        <v>43891</v>
      </c>
      <c r="C41" s="14"/>
      <c r="D41" s="14"/>
      <c r="E41" s="136">
        <f t="shared" ca="1" si="15"/>
        <v>85776.42</v>
      </c>
      <c r="F41" s="118">
        <v>800.8</v>
      </c>
      <c r="G41" s="14"/>
      <c r="H41" s="14"/>
      <c r="I41" s="14"/>
      <c r="J41" s="16">
        <f>$L$11</f>
        <v>21.666666666666668</v>
      </c>
      <c r="K41" s="15">
        <f t="shared" ca="1" si="12"/>
        <v>5.1010480825544597</v>
      </c>
      <c r="L41" s="14" t="e">
        <f t="shared" si="13"/>
        <v>#DIV/0!</v>
      </c>
      <c r="M41" s="13" t="e">
        <f t="shared" si="14"/>
        <v>#DIV/0!</v>
      </c>
      <c r="N41" s="12"/>
    </row>
    <row r="42" spans="1:14" s="2" customFormat="1">
      <c r="B42" s="17">
        <v>43922</v>
      </c>
      <c r="C42" s="14"/>
      <c r="D42" s="14"/>
      <c r="E42" s="136">
        <f t="shared" ca="1" si="15"/>
        <v>79990.679999999993</v>
      </c>
      <c r="F42" s="118">
        <v>802.3</v>
      </c>
      <c r="G42" s="14"/>
      <c r="H42" s="14"/>
      <c r="I42" s="14"/>
      <c r="J42" s="28">
        <v>20</v>
      </c>
      <c r="K42" s="15">
        <f t="shared" ca="1" si="12"/>
        <v>4.7569752250819901</v>
      </c>
      <c r="L42" s="14" t="e">
        <f t="shared" si="13"/>
        <v>#DIV/0!</v>
      </c>
      <c r="M42" s="13" t="e">
        <f t="shared" si="14"/>
        <v>#DIV/0!</v>
      </c>
      <c r="N42" s="12"/>
    </row>
    <row r="43" spans="1:14">
      <c r="B43" s="17">
        <v>43952</v>
      </c>
      <c r="C43" s="14"/>
      <c r="D43" s="14"/>
      <c r="E43" s="136">
        <f t="shared" ca="1" si="15"/>
        <v>86337.04</v>
      </c>
      <c r="F43" s="118">
        <v>724.8</v>
      </c>
      <c r="G43" s="14"/>
      <c r="H43" s="14"/>
      <c r="I43" s="14"/>
      <c r="J43" s="28">
        <v>18</v>
      </c>
      <c r="K43" s="15">
        <f t="shared" ca="1" si="12"/>
        <v>5.1343876597487705</v>
      </c>
      <c r="L43" s="14" t="e">
        <f t="shared" si="13"/>
        <v>#DIV/0!</v>
      </c>
      <c r="M43" s="13" t="e">
        <f t="shared" si="14"/>
        <v>#DIV/0!</v>
      </c>
      <c r="N43" s="12"/>
    </row>
    <row r="44" spans="1:14">
      <c r="B44" s="17">
        <v>43983</v>
      </c>
      <c r="C44" s="14"/>
      <c r="D44" s="14"/>
      <c r="E44" s="136">
        <f t="shared" ca="1" si="15"/>
        <v>97912.14</v>
      </c>
      <c r="F44" s="118">
        <v>854.2</v>
      </c>
      <c r="G44" s="14"/>
      <c r="H44" s="18"/>
      <c r="I44" s="14"/>
      <c r="J44" s="28">
        <v>22</v>
      </c>
      <c r="K44" s="15">
        <f t="shared" ca="1" si="12"/>
        <v>5.8227486529025549</v>
      </c>
      <c r="L44" s="14" t="e">
        <f t="shared" si="13"/>
        <v>#DIV/0!</v>
      </c>
      <c r="M44" s="13" t="e">
        <f t="shared" si="14"/>
        <v>#DIV/0!</v>
      </c>
      <c r="N44" s="12"/>
    </row>
    <row r="45" spans="1:14">
      <c r="B45" s="17">
        <v>44013</v>
      </c>
      <c r="C45" s="14"/>
      <c r="D45" s="14"/>
      <c r="E45" s="136">
        <f t="shared" ca="1" si="15"/>
        <v>76599.61</v>
      </c>
      <c r="F45" s="118">
        <v>694.7</v>
      </c>
      <c r="G45" s="14"/>
      <c r="H45" s="18"/>
      <c r="I45" s="14"/>
      <c r="J45" s="28">
        <v>21</v>
      </c>
      <c r="K45" s="15">
        <f t="shared" ca="1" si="12"/>
        <v>4.5553112815260812</v>
      </c>
      <c r="L45" s="14" t="e">
        <f t="shared" si="13"/>
        <v>#DIV/0!</v>
      </c>
      <c r="M45" s="13" t="e">
        <f t="shared" si="14"/>
        <v>#DIV/0!</v>
      </c>
      <c r="N45" s="12"/>
    </row>
    <row r="46" spans="1:14">
      <c r="B46" s="17">
        <v>44044</v>
      </c>
      <c r="C46" s="14"/>
      <c r="D46" s="14"/>
      <c r="E46" s="136">
        <f t="shared" ca="1" si="15"/>
        <v>80524.320000000007</v>
      </c>
      <c r="F46" s="118">
        <v>766.7</v>
      </c>
      <c r="G46" s="14"/>
      <c r="H46" s="18"/>
      <c r="I46" s="14"/>
      <c r="J46" s="28">
        <v>20</v>
      </c>
      <c r="K46" s="15">
        <f t="shared" ca="1" si="12"/>
        <v>4.7887103254600945</v>
      </c>
      <c r="L46" s="14" t="e">
        <f t="shared" si="13"/>
        <v>#DIV/0!</v>
      </c>
      <c r="M46" s="13" t="e">
        <f t="shared" si="14"/>
        <v>#DIV/0!</v>
      </c>
      <c r="N46" s="12"/>
    </row>
    <row r="47" spans="1:14">
      <c r="B47" s="17">
        <v>44075</v>
      </c>
      <c r="C47" s="14"/>
      <c r="D47" s="14"/>
      <c r="E47" s="136">
        <f t="shared" ca="1" si="15"/>
        <v>74913.19</v>
      </c>
      <c r="F47" s="118">
        <v>689.7</v>
      </c>
      <c r="G47" s="14"/>
      <c r="H47" s="18"/>
      <c r="I47" s="14"/>
      <c r="J47" s="28">
        <v>22</v>
      </c>
      <c r="K47" s="15">
        <f t="shared" ca="1" si="12"/>
        <v>4.4550213707629434</v>
      </c>
      <c r="L47" s="14" t="e">
        <f t="shared" si="13"/>
        <v>#DIV/0!</v>
      </c>
      <c r="M47" s="13" t="e">
        <f t="shared" si="14"/>
        <v>#DIV/0!</v>
      </c>
      <c r="N47" s="12"/>
    </row>
    <row r="48" spans="1:14">
      <c r="B48" s="17">
        <v>44105</v>
      </c>
      <c r="C48" s="14"/>
      <c r="D48" s="14"/>
      <c r="E48" s="136">
        <f t="shared" ca="1" si="15"/>
        <v>82774.880000000005</v>
      </c>
      <c r="F48" s="118">
        <v>712.7</v>
      </c>
      <c r="G48" s="14"/>
      <c r="H48" s="18"/>
      <c r="I48" s="14"/>
      <c r="J48" s="28">
        <v>22</v>
      </c>
      <c r="K48" s="15">
        <f t="shared" ca="1" si="12"/>
        <v>4.9225491447145444</v>
      </c>
      <c r="L48" s="14" t="e">
        <f t="shared" si="13"/>
        <v>#DIV/0!</v>
      </c>
      <c r="M48" s="13" t="e">
        <f t="shared" si="14"/>
        <v>#DIV/0!</v>
      </c>
      <c r="N48" s="12"/>
    </row>
    <row r="49" spans="1:14">
      <c r="B49" s="17">
        <v>44136</v>
      </c>
      <c r="C49" s="14"/>
      <c r="D49" s="14"/>
      <c r="E49" s="136">
        <f t="shared" ca="1" si="15"/>
        <v>94568.8</v>
      </c>
      <c r="F49" s="118">
        <v>-1527</v>
      </c>
      <c r="G49" s="14"/>
      <c r="H49" s="18"/>
      <c r="I49" s="14"/>
      <c r="J49" s="28">
        <v>21</v>
      </c>
      <c r="K49" s="15">
        <f t="shared" ca="1" si="12"/>
        <v>5.62392317037102</v>
      </c>
      <c r="L49" s="14" t="e">
        <f t="shared" si="13"/>
        <v>#DIV/0!</v>
      </c>
      <c r="M49" s="13" t="e">
        <f t="shared" si="14"/>
        <v>#DIV/0!</v>
      </c>
      <c r="N49" s="12"/>
    </row>
    <row r="50" spans="1:14" ht="14.65" thickBot="1">
      <c r="B50" s="11">
        <v>44166</v>
      </c>
      <c r="C50" s="9"/>
      <c r="D50" s="9"/>
      <c r="E50" s="136">
        <f t="shared" ca="1" si="15"/>
        <v>89952.16</v>
      </c>
      <c r="F50" s="123">
        <v>451</v>
      </c>
      <c r="G50" s="9"/>
      <c r="H50" s="27"/>
      <c r="I50" s="9"/>
      <c r="J50" s="26">
        <v>22</v>
      </c>
      <c r="K50" s="10">
        <f t="shared" ca="1" si="12"/>
        <v>5.3493756592969488</v>
      </c>
      <c r="L50" s="9" t="e">
        <f t="shared" si="13"/>
        <v>#DIV/0!</v>
      </c>
      <c r="M50" s="8" t="e">
        <f t="shared" si="14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37">
        <f ca="1">SUM(E39:E50)</f>
        <v>1019293.96</v>
      </c>
      <c r="F51" s="126">
        <f ca="1">SUM(F39:F50)</f>
        <v>4283.1899999999996</v>
      </c>
      <c r="G51" s="98">
        <f>SUM(G39:G50)</f>
        <v>0</v>
      </c>
      <c r="H51" s="98"/>
      <c r="I51" s="99"/>
      <c r="J51" s="99"/>
      <c r="K51" s="99">
        <f ca="1">SUM(K39:K50)</f>
        <v>60.616513258741065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35">
        <f ca="1">RANDBETWEEN(8600000, 13000000)/100</f>
        <v>126442.14</v>
      </c>
      <c r="F52" s="13">
        <f ca="1">RANDBETWEEN(45000, 90000)/100</f>
        <v>473.82</v>
      </c>
      <c r="G52" s="14"/>
      <c r="H52" s="18"/>
      <c r="I52" s="14"/>
      <c r="J52" s="28"/>
      <c r="K52" s="15">
        <f t="shared" ref="K52:K63" ca="1" si="16">E52/$E$3</f>
        <v>7.5194026027325753</v>
      </c>
      <c r="L52" s="14" t="e">
        <f t="shared" ref="L52:L63" si="17">(C52/$E$4)*(55/60)</f>
        <v>#DIV/0!</v>
      </c>
      <c r="M52" s="13" t="e">
        <f t="shared" ref="M52:M63" ca="1" si="18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35">
        <f t="shared" ref="E53:E63" ca="1" si="19">RANDBETWEEN(8600000, 13000000)/100</f>
        <v>93448.8</v>
      </c>
      <c r="F53" s="13">
        <f t="shared" ref="F53:F63" ca="1" si="20">RANDBETWEEN(45000, 90000)/100</f>
        <v>634.84</v>
      </c>
      <c r="G53" s="14"/>
      <c r="H53" s="18"/>
      <c r="I53" s="14"/>
      <c r="J53" s="28"/>
      <c r="K53" s="15">
        <f t="shared" ca="1" si="16"/>
        <v>5.5573177576892947</v>
      </c>
      <c r="L53" s="14" t="e">
        <f t="shared" si="17"/>
        <v>#DIV/0!</v>
      </c>
      <c r="M53" s="13" t="e">
        <f t="shared" ca="1" si="18"/>
        <v>#DIV/0!</v>
      </c>
      <c r="N53" s="12"/>
    </row>
    <row r="54" spans="1:14" s="2" customFormat="1">
      <c r="B54" s="17">
        <v>44256</v>
      </c>
      <c r="C54" s="14"/>
      <c r="D54" s="14"/>
      <c r="E54" s="135">
        <f t="shared" ca="1" si="19"/>
        <v>113978.35</v>
      </c>
      <c r="F54" s="13">
        <f t="shared" ca="1" si="20"/>
        <v>753.63</v>
      </c>
      <c r="G54" s="14"/>
      <c r="H54" s="18"/>
      <c r="I54" s="14"/>
      <c r="J54" s="28"/>
      <c r="K54" s="15">
        <f t="shared" ca="1" si="16"/>
        <v>6.7781919986893966</v>
      </c>
      <c r="L54" s="14" t="e">
        <f t="shared" si="17"/>
        <v>#DIV/0!</v>
      </c>
      <c r="M54" s="13" t="e">
        <f t="shared" ca="1" si="18"/>
        <v>#DIV/0!</v>
      </c>
      <c r="N54" s="12"/>
    </row>
    <row r="55" spans="1:14" s="2" customFormat="1">
      <c r="B55" s="17">
        <v>44287</v>
      </c>
      <c r="C55" s="14"/>
      <c r="D55" s="14"/>
      <c r="E55" s="135">
        <f t="shared" ca="1" si="19"/>
        <v>108574.87</v>
      </c>
      <c r="F55" s="13">
        <f t="shared" ca="1" si="20"/>
        <v>552.35</v>
      </c>
      <c r="G55" s="14"/>
      <c r="H55" s="18"/>
      <c r="I55" s="14"/>
      <c r="J55" s="28"/>
      <c r="K55" s="15">
        <f t="shared" ca="1" si="16"/>
        <v>6.4568518064416738</v>
      </c>
      <c r="L55" s="14" t="e">
        <f t="shared" si="17"/>
        <v>#DIV/0!</v>
      </c>
      <c r="M55" s="13" t="e">
        <f t="shared" ca="1" si="18"/>
        <v>#DIV/0!</v>
      </c>
      <c r="N55" s="12"/>
    </row>
    <row r="56" spans="1:14" s="2" customFormat="1">
      <c r="B56" s="17">
        <v>44317</v>
      </c>
      <c r="C56" s="14"/>
      <c r="D56" s="14"/>
      <c r="E56" s="135">
        <f t="shared" ca="1" si="19"/>
        <v>108099.51</v>
      </c>
      <c r="F56" s="13">
        <f t="shared" ca="1" si="20"/>
        <v>872.38</v>
      </c>
      <c r="G56" s="14"/>
      <c r="H56" s="18"/>
      <c r="I56" s="14"/>
      <c r="J56" s="28"/>
      <c r="K56" s="15">
        <f t="shared" ca="1" si="16"/>
        <v>6.4285825662877585</v>
      </c>
      <c r="L56" s="14" t="e">
        <f t="shared" si="17"/>
        <v>#DIV/0!</v>
      </c>
      <c r="M56" s="13" t="e">
        <f t="shared" ca="1" si="18"/>
        <v>#DIV/0!</v>
      </c>
      <c r="N56" s="12"/>
    </row>
    <row r="57" spans="1:14" s="2" customFormat="1">
      <c r="B57" s="17">
        <v>44348</v>
      </c>
      <c r="C57" s="14"/>
      <c r="D57" s="14"/>
      <c r="E57" s="135">
        <f t="shared" ca="1" si="19"/>
        <v>109310.64</v>
      </c>
      <c r="F57" s="13">
        <f t="shared" ca="1" si="20"/>
        <v>552.91999999999996</v>
      </c>
      <c r="G57" s="14"/>
      <c r="H57" s="18"/>
      <c r="I57" s="14"/>
      <c r="J57" s="28"/>
      <c r="K57" s="15">
        <f t="shared" ca="1" si="16"/>
        <v>6.5006073997352747</v>
      </c>
      <c r="L57" s="14" t="e">
        <f t="shared" si="17"/>
        <v>#DIV/0!</v>
      </c>
      <c r="M57" s="13" t="e">
        <f t="shared" ca="1" si="18"/>
        <v>#DIV/0!</v>
      </c>
      <c r="N57" s="12"/>
    </row>
    <row r="58" spans="1:14" s="2" customFormat="1">
      <c r="B58" s="17">
        <v>44378</v>
      </c>
      <c r="C58" s="14"/>
      <c r="D58" s="14"/>
      <c r="E58" s="135">
        <f t="shared" ca="1" si="19"/>
        <v>115775.23</v>
      </c>
      <c r="F58" s="13">
        <f t="shared" ca="1" si="20"/>
        <v>812.78</v>
      </c>
      <c r="G58" s="14"/>
      <c r="H58" s="18"/>
      <c r="I58" s="14"/>
      <c r="J58" s="28"/>
      <c r="K58" s="15">
        <f t="shared" ca="1" si="16"/>
        <v>6.8850508682782694</v>
      </c>
      <c r="L58" s="14" t="e">
        <f t="shared" si="17"/>
        <v>#DIV/0!</v>
      </c>
      <c r="M58" s="13" t="e">
        <f t="shared" ca="1" si="18"/>
        <v>#DIV/0!</v>
      </c>
      <c r="N58" s="12"/>
    </row>
    <row r="59" spans="1:14" s="2" customFormat="1">
      <c r="B59" s="17">
        <v>44409</v>
      </c>
      <c r="C59" s="14"/>
      <c r="D59" s="14"/>
      <c r="E59" s="135">
        <f t="shared" ca="1" si="19"/>
        <v>121413.41</v>
      </c>
      <c r="F59" s="13">
        <f t="shared" ca="1" si="20"/>
        <v>682.4</v>
      </c>
      <c r="G59" s="14"/>
      <c r="H59" s="18"/>
      <c r="I59" s="14"/>
      <c r="J59" s="28"/>
      <c r="K59" s="15">
        <f t="shared" ca="1" si="16"/>
        <v>7.2203484626299215</v>
      </c>
      <c r="L59" s="14" t="e">
        <f t="shared" si="17"/>
        <v>#DIV/0!</v>
      </c>
      <c r="M59" s="13" t="e">
        <f t="shared" ca="1" si="18"/>
        <v>#DIV/0!</v>
      </c>
      <c r="N59" s="12"/>
    </row>
    <row r="60" spans="1:14" s="2" customFormat="1">
      <c r="B60" s="17">
        <v>44440</v>
      </c>
      <c r="C60" s="14"/>
      <c r="D60" s="14"/>
      <c r="E60" s="135">
        <f t="shared" ca="1" si="19"/>
        <v>86088.73</v>
      </c>
      <c r="F60" s="13">
        <f t="shared" ca="1" si="20"/>
        <v>729.61</v>
      </c>
      <c r="G60" s="14"/>
      <c r="H60" s="18"/>
      <c r="I60" s="14"/>
      <c r="J60" s="28"/>
      <c r="K60" s="15">
        <f t="shared" ca="1" si="16"/>
        <v>5.1196208829425212</v>
      </c>
      <c r="L60" s="14" t="e">
        <f t="shared" si="17"/>
        <v>#DIV/0!</v>
      </c>
      <c r="M60" s="13" t="e">
        <f t="shared" ca="1" si="18"/>
        <v>#DIV/0!</v>
      </c>
      <c r="N60" s="12"/>
    </row>
    <row r="61" spans="1:14" s="2" customFormat="1">
      <c r="B61" s="17">
        <v>44470</v>
      </c>
      <c r="C61" s="14"/>
      <c r="D61" s="14"/>
      <c r="E61" s="135">
        <f t="shared" ca="1" si="19"/>
        <v>101147.14</v>
      </c>
      <c r="F61" s="13">
        <f t="shared" ca="1" si="20"/>
        <v>533.57000000000005</v>
      </c>
      <c r="G61" s="14"/>
      <c r="H61" s="18"/>
      <c r="I61" s="14"/>
      <c r="J61" s="28"/>
      <c r="K61" s="15">
        <f t="shared" ca="1" si="16"/>
        <v>6.0151312511395032</v>
      </c>
      <c r="L61" s="14" t="e">
        <f t="shared" si="17"/>
        <v>#DIV/0!</v>
      </c>
      <c r="M61" s="13" t="e">
        <f t="shared" ca="1" si="18"/>
        <v>#DIV/0!</v>
      </c>
      <c r="N61" s="12"/>
    </row>
    <row r="62" spans="1:14" s="2" customFormat="1">
      <c r="B62" s="17">
        <v>44501</v>
      </c>
      <c r="C62" s="14"/>
      <c r="D62" s="14"/>
      <c r="E62" s="135">
        <f t="shared" ca="1" si="19"/>
        <v>113228.42</v>
      </c>
      <c r="F62" s="13">
        <f t="shared" ca="1" si="20"/>
        <v>584.80999999999995</v>
      </c>
      <c r="G62" s="14"/>
      <c r="H62" s="18"/>
      <c r="I62" s="14"/>
      <c r="J62" s="28"/>
      <c r="K62" s="15">
        <f t="shared" ca="1" si="16"/>
        <v>6.7335943226783188</v>
      </c>
      <c r="L62" s="14" t="e">
        <f t="shared" si="17"/>
        <v>#DIV/0!</v>
      </c>
      <c r="M62" s="13" t="e">
        <f t="shared" ca="1" si="18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35">
        <f t="shared" ca="1" si="19"/>
        <v>113659.92</v>
      </c>
      <c r="F63" s="13">
        <f t="shared" ca="1" si="20"/>
        <v>571.79999999999995</v>
      </c>
      <c r="G63" s="9"/>
      <c r="H63" s="27"/>
      <c r="I63" s="9"/>
      <c r="J63" s="26"/>
      <c r="K63" s="10">
        <f t="shared" ca="1" si="16"/>
        <v>6.7592552472963225</v>
      </c>
      <c r="L63" s="9" t="e">
        <f t="shared" si="17"/>
        <v>#DIV/0!</v>
      </c>
      <c r="M63" s="8" t="e">
        <f t="shared" ca="1" si="18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33">
        <f ca="1">SUM(E52:E63)</f>
        <v>1311167.1599999999</v>
      </c>
      <c r="F64" s="124">
        <f ca="1">SUM(F52:F63)</f>
        <v>7754.9099999999989</v>
      </c>
      <c r="G64" s="92">
        <f>SUM(G52:G63)</f>
        <v>0</v>
      </c>
      <c r="H64" s="93"/>
      <c r="I64" s="93"/>
      <c r="J64" s="93"/>
      <c r="K64" s="93">
        <f ca="1">SUM(K52:K63)</f>
        <v>77.973955166540833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35">
        <f ca="1">RANDBETWEEN(1000000, 13000000)/100</f>
        <v>39164.410000000003</v>
      </c>
      <c r="F67" s="13">
        <f ca="1">RANDBETWEEN(73000, 110000)/100</f>
        <v>894.06</v>
      </c>
      <c r="G67" s="14"/>
      <c r="H67" s="14"/>
      <c r="I67" s="14">
        <f t="shared" ref="I67:I78" si="21">G67+H67</f>
        <v>0</v>
      </c>
      <c r="J67" s="14"/>
      <c r="K67" s="14"/>
      <c r="L67" s="28"/>
      <c r="M67" s="15">
        <f t="shared" ref="M67:M78" ca="1" si="22">E67/$E$3</f>
        <v>2.3290729379341863</v>
      </c>
      <c r="N67" s="14" t="e">
        <f t="shared" ref="N67:N78" si="23">(C67/$E$4)*(55/60)</f>
        <v>#DIV/0!</v>
      </c>
      <c r="O67" s="13" t="e">
        <f t="shared" ref="O67:O78" ca="1" si="24">F67*1000/(J67+0.25*K67)/L67</f>
        <v>#DIV/0!</v>
      </c>
      <c r="P67" s="35" t="e">
        <f t="shared" ref="P67:P78" si="25">I67/(J67+K67)/L67</f>
        <v>#DIV/0!</v>
      </c>
      <c r="Q67" s="36" t="e">
        <f t="shared" ref="Q67:Q78" si="26">H67/I67*100</f>
        <v>#DIV/0!</v>
      </c>
      <c r="R67" s="34">
        <f t="shared" ref="R67:R78" ca="1" si="27">E67*0.408</f>
        <v>15979.07928</v>
      </c>
      <c r="S67" s="13">
        <f t="shared" ref="S67:S78" ca="1" si="28">F67*(1.3)</f>
        <v>1162.278</v>
      </c>
      <c r="T67" s="33">
        <f t="shared" ref="T67:T74" si="29">(I67/1000)*0.561</f>
        <v>0</v>
      </c>
    </row>
    <row r="68" spans="1:20">
      <c r="B68" s="17">
        <v>44593</v>
      </c>
      <c r="C68" s="14"/>
      <c r="D68" s="14"/>
      <c r="E68" s="135">
        <f t="shared" ref="E68:E78" ca="1" si="30">RANDBETWEEN(1000000, 13000000)/100</f>
        <v>14362.52</v>
      </c>
      <c r="F68" s="13">
        <f t="shared" ref="F68:F78" ca="1" si="31">RANDBETWEEN(73000, 110000)/100</f>
        <v>1042.9000000000001</v>
      </c>
      <c r="G68" s="14"/>
      <c r="H68" s="14"/>
      <c r="I68" s="14">
        <f t="shared" si="21"/>
        <v>0</v>
      </c>
      <c r="J68" s="14"/>
      <c r="K68" s="14"/>
      <c r="L68" s="28"/>
      <c r="M68" s="15">
        <f t="shared" ca="1" si="22"/>
        <v>0.85412640334779744</v>
      </c>
      <c r="N68" s="14" t="e">
        <f t="shared" si="23"/>
        <v>#DIV/0!</v>
      </c>
      <c r="O68" s="13" t="e">
        <f t="shared" ca="1" si="24"/>
        <v>#DIV/0!</v>
      </c>
      <c r="P68" s="35" t="e">
        <f t="shared" si="25"/>
        <v>#DIV/0!</v>
      </c>
      <c r="Q68" s="36" t="e">
        <f t="shared" si="26"/>
        <v>#DIV/0!</v>
      </c>
      <c r="R68" s="34">
        <f t="shared" ca="1" si="27"/>
        <v>5859.90816</v>
      </c>
      <c r="S68" s="13">
        <f t="shared" ca="1" si="28"/>
        <v>1355.7700000000002</v>
      </c>
      <c r="T68" s="33">
        <f t="shared" si="29"/>
        <v>0</v>
      </c>
    </row>
    <row r="69" spans="1:20" ht="16.5" customHeight="1">
      <c r="B69" s="17">
        <v>44621</v>
      </c>
      <c r="C69" s="14"/>
      <c r="D69" s="14"/>
      <c r="E69" s="135">
        <f t="shared" ca="1" si="30"/>
        <v>85818.53</v>
      </c>
      <c r="F69" s="13">
        <f t="shared" ca="1" si="31"/>
        <v>926.7</v>
      </c>
      <c r="G69" s="14"/>
      <c r="H69" s="14"/>
      <c r="I69" s="14">
        <f t="shared" si="21"/>
        <v>0</v>
      </c>
      <c r="J69" s="14"/>
      <c r="K69" s="14"/>
      <c r="L69" s="28"/>
      <c r="M69" s="15">
        <f t="shared" ca="1" si="22"/>
        <v>5.1035523271330554</v>
      </c>
      <c r="N69" s="14" t="e">
        <f t="shared" si="23"/>
        <v>#DIV/0!</v>
      </c>
      <c r="O69" s="13" t="e">
        <f t="shared" ca="1" si="24"/>
        <v>#DIV/0!</v>
      </c>
      <c r="P69" s="35" t="e">
        <f t="shared" si="25"/>
        <v>#DIV/0!</v>
      </c>
      <c r="Q69" s="36" t="e">
        <f t="shared" si="26"/>
        <v>#DIV/0!</v>
      </c>
      <c r="R69" s="34">
        <f t="shared" ca="1" si="27"/>
        <v>35013.96024</v>
      </c>
      <c r="S69" s="13">
        <f t="shared" ca="1" si="28"/>
        <v>1204.71</v>
      </c>
      <c r="T69" s="33">
        <f t="shared" si="29"/>
        <v>0</v>
      </c>
    </row>
    <row r="70" spans="1:20">
      <c r="B70" s="17">
        <v>44652</v>
      </c>
      <c r="C70" s="14"/>
      <c r="D70" s="14"/>
      <c r="E70" s="135">
        <f t="shared" ca="1" si="30"/>
        <v>81475.7</v>
      </c>
      <c r="F70" s="13">
        <f t="shared" ca="1" si="31"/>
        <v>869.16</v>
      </c>
      <c r="G70" s="14"/>
      <c r="H70" s="14"/>
      <c r="I70" s="14">
        <f t="shared" si="21"/>
        <v>0</v>
      </c>
      <c r="J70" s="14"/>
      <c r="K70" s="14"/>
      <c r="L70" s="28"/>
      <c r="M70" s="15">
        <f t="shared" ca="1" si="22"/>
        <v>4.8452880553861117</v>
      </c>
      <c r="N70" s="14" t="e">
        <f t="shared" si="23"/>
        <v>#DIV/0!</v>
      </c>
      <c r="O70" s="13" t="e">
        <f t="shared" ca="1" si="24"/>
        <v>#DIV/0!</v>
      </c>
      <c r="P70" s="35" t="e">
        <f t="shared" si="25"/>
        <v>#DIV/0!</v>
      </c>
      <c r="Q70" s="36" t="e">
        <f t="shared" si="26"/>
        <v>#DIV/0!</v>
      </c>
      <c r="R70" s="34">
        <f t="shared" ca="1" si="27"/>
        <v>33242.085599999999</v>
      </c>
      <c r="S70" s="13">
        <f t="shared" ca="1" si="28"/>
        <v>1129.9079999999999</v>
      </c>
      <c r="T70" s="33">
        <f t="shared" si="29"/>
        <v>0</v>
      </c>
    </row>
    <row r="71" spans="1:20" s="2" customFormat="1">
      <c r="B71" s="17">
        <v>44682</v>
      </c>
      <c r="C71" s="14"/>
      <c r="D71" s="14"/>
      <c r="E71" s="135">
        <f t="shared" ca="1" si="30"/>
        <v>27790.33</v>
      </c>
      <c r="F71" s="13">
        <f t="shared" ca="1" si="31"/>
        <v>996.95</v>
      </c>
      <c r="G71" s="14"/>
      <c r="H71" s="14"/>
      <c r="I71" s="14">
        <f t="shared" si="21"/>
        <v>0</v>
      </c>
      <c r="J71" s="14"/>
      <c r="K71" s="14"/>
      <c r="L71" s="28"/>
      <c r="M71" s="15">
        <f t="shared" ca="1" si="22"/>
        <v>1.6526664269744025</v>
      </c>
      <c r="N71" s="14" t="e">
        <f t="shared" si="23"/>
        <v>#DIV/0!</v>
      </c>
      <c r="O71" s="13" t="e">
        <f t="shared" ca="1" si="24"/>
        <v>#DIV/0!</v>
      </c>
      <c r="P71" s="35" t="e">
        <f t="shared" si="25"/>
        <v>#DIV/0!</v>
      </c>
      <c r="Q71" s="36" t="e">
        <f t="shared" si="26"/>
        <v>#DIV/0!</v>
      </c>
      <c r="R71" s="34">
        <f t="shared" ca="1" si="27"/>
        <v>11338.45464</v>
      </c>
      <c r="S71" s="13">
        <f t="shared" ca="1" si="28"/>
        <v>1296.0350000000001</v>
      </c>
      <c r="T71" s="33">
        <f t="shared" si="29"/>
        <v>0</v>
      </c>
    </row>
    <row r="72" spans="1:20" s="2" customFormat="1">
      <c r="B72" s="17">
        <v>44713</v>
      </c>
      <c r="C72" s="14"/>
      <c r="D72" s="14"/>
      <c r="E72" s="135">
        <f t="shared" ca="1" si="30"/>
        <v>30266.98</v>
      </c>
      <c r="F72" s="13">
        <f t="shared" ca="1" si="31"/>
        <v>805.28</v>
      </c>
      <c r="G72" s="14"/>
      <c r="H72" s="14"/>
      <c r="I72" s="14">
        <f t="shared" si="21"/>
        <v>0</v>
      </c>
      <c r="J72" s="14"/>
      <c r="K72" s="14"/>
      <c r="L72" s="28"/>
      <c r="M72" s="15">
        <f t="shared" ca="1" si="22"/>
        <v>1.7999506192227908</v>
      </c>
      <c r="N72" s="14" t="e">
        <f t="shared" si="23"/>
        <v>#DIV/0!</v>
      </c>
      <c r="O72" s="13" t="e">
        <f t="shared" ca="1" si="24"/>
        <v>#DIV/0!</v>
      </c>
      <c r="P72" s="35" t="e">
        <f t="shared" si="25"/>
        <v>#DIV/0!</v>
      </c>
      <c r="Q72" s="36" t="e">
        <f t="shared" si="26"/>
        <v>#DIV/0!</v>
      </c>
      <c r="R72" s="34">
        <f t="shared" ca="1" si="27"/>
        <v>12348.927839999998</v>
      </c>
      <c r="S72" s="13">
        <f t="shared" ca="1" si="28"/>
        <v>1046.864</v>
      </c>
      <c r="T72" s="33">
        <f t="shared" si="29"/>
        <v>0</v>
      </c>
    </row>
    <row r="73" spans="1:20" s="2" customFormat="1">
      <c r="B73" s="17">
        <v>44743</v>
      </c>
      <c r="C73" s="14"/>
      <c r="D73" s="14"/>
      <c r="E73" s="135">
        <f t="shared" ca="1" si="30"/>
        <v>106419.91</v>
      </c>
      <c r="F73" s="13">
        <f t="shared" ca="1" si="31"/>
        <v>876.42</v>
      </c>
      <c r="G73" s="14"/>
      <c r="H73" s="14"/>
      <c r="I73" s="14">
        <f t="shared" si="21"/>
        <v>0</v>
      </c>
      <c r="J73" s="14"/>
      <c r="K73" s="14"/>
      <c r="L73" s="28"/>
      <c r="M73" s="15">
        <f t="shared" ca="1" si="22"/>
        <v>6.3286982349125571</v>
      </c>
      <c r="N73" s="14" t="e">
        <f t="shared" si="23"/>
        <v>#DIV/0!</v>
      </c>
      <c r="O73" s="13" t="e">
        <f t="shared" ca="1" si="24"/>
        <v>#DIV/0!</v>
      </c>
      <c r="P73" s="35" t="e">
        <f t="shared" si="25"/>
        <v>#DIV/0!</v>
      </c>
      <c r="Q73" s="36" t="e">
        <f t="shared" si="26"/>
        <v>#DIV/0!</v>
      </c>
      <c r="R73" s="34">
        <f t="shared" ca="1" si="27"/>
        <v>43419.323279999997</v>
      </c>
      <c r="S73" s="13">
        <f t="shared" ca="1" si="28"/>
        <v>1139.346</v>
      </c>
      <c r="T73" s="33">
        <f t="shared" si="29"/>
        <v>0</v>
      </c>
    </row>
    <row r="74" spans="1:20" s="2" customFormat="1">
      <c r="B74" s="17">
        <v>44774</v>
      </c>
      <c r="C74" s="14"/>
      <c r="D74" s="14"/>
      <c r="E74" s="135">
        <f t="shared" ca="1" si="30"/>
        <v>128033.07</v>
      </c>
      <c r="F74" s="13">
        <f t="shared" ca="1" si="31"/>
        <v>893.89</v>
      </c>
      <c r="G74" s="14"/>
      <c r="H74" s="14"/>
      <c r="I74" s="14">
        <f t="shared" si="21"/>
        <v>0</v>
      </c>
      <c r="J74" s="14"/>
      <c r="K74" s="14"/>
      <c r="L74" s="28"/>
      <c r="M74" s="15">
        <f t="shared" ca="1" si="22"/>
        <v>7.6140138073734125</v>
      </c>
      <c r="N74" s="14" t="e">
        <f t="shared" si="23"/>
        <v>#DIV/0!</v>
      </c>
      <c r="O74" s="13" t="e">
        <f t="shared" ca="1" si="24"/>
        <v>#DIV/0!</v>
      </c>
      <c r="P74" s="35" t="e">
        <f t="shared" si="25"/>
        <v>#DIV/0!</v>
      </c>
      <c r="Q74" s="36" t="e">
        <f t="shared" si="26"/>
        <v>#DIV/0!</v>
      </c>
      <c r="R74" s="34">
        <f t="shared" ca="1" si="27"/>
        <v>52237.492559999999</v>
      </c>
      <c r="S74" s="13">
        <f t="shared" ca="1" si="28"/>
        <v>1162.057</v>
      </c>
      <c r="T74" s="33">
        <f t="shared" si="29"/>
        <v>0</v>
      </c>
    </row>
    <row r="75" spans="1:20" s="2" customFormat="1">
      <c r="B75" s="17">
        <v>44805</v>
      </c>
      <c r="C75" s="14"/>
      <c r="D75" s="14"/>
      <c r="E75" s="135">
        <f t="shared" ca="1" si="30"/>
        <v>23240.61</v>
      </c>
      <c r="F75" s="13">
        <f t="shared" ca="1" si="31"/>
        <v>733.65</v>
      </c>
      <c r="G75" s="14"/>
      <c r="H75" s="14"/>
      <c r="I75" s="14">
        <f t="shared" si="21"/>
        <v>0</v>
      </c>
      <c r="J75" s="14"/>
      <c r="K75" s="14"/>
      <c r="L75" s="28"/>
      <c r="M75" s="15">
        <f t="shared" ca="1" si="22"/>
        <v>1.382098589308064</v>
      </c>
      <c r="N75" s="14" t="e">
        <f t="shared" si="23"/>
        <v>#DIV/0!</v>
      </c>
      <c r="O75" s="13" t="e">
        <f t="shared" ca="1" si="24"/>
        <v>#DIV/0!</v>
      </c>
      <c r="P75" s="35" t="e">
        <f t="shared" si="25"/>
        <v>#DIV/0!</v>
      </c>
      <c r="Q75" s="36" t="e">
        <f t="shared" si="26"/>
        <v>#DIV/0!</v>
      </c>
      <c r="R75" s="34">
        <f t="shared" ca="1" si="27"/>
        <v>9482.1688799999993</v>
      </c>
      <c r="S75" s="13">
        <f t="shared" ca="1" si="28"/>
        <v>953.745</v>
      </c>
      <c r="T75" s="33">
        <f>(I75/1000)*21.28</f>
        <v>0</v>
      </c>
    </row>
    <row r="76" spans="1:20" s="2" customFormat="1">
      <c r="B76" s="17">
        <v>44835</v>
      </c>
      <c r="C76" s="52"/>
      <c r="D76" s="14"/>
      <c r="E76" s="135">
        <f t="shared" ca="1" si="30"/>
        <v>89959.61</v>
      </c>
      <c r="F76" s="13">
        <f t="shared" ca="1" si="31"/>
        <v>894.93</v>
      </c>
      <c r="G76" s="14"/>
      <c r="H76" s="14"/>
      <c r="I76" s="14">
        <f t="shared" si="21"/>
        <v>0</v>
      </c>
      <c r="J76" s="14"/>
      <c r="K76" s="14"/>
      <c r="L76" s="28"/>
      <c r="M76" s="15">
        <f t="shared" ca="1" si="22"/>
        <v>5.3498187042295191</v>
      </c>
      <c r="N76" s="14" t="e">
        <f t="shared" si="23"/>
        <v>#DIV/0!</v>
      </c>
      <c r="O76" s="13" t="e">
        <f t="shared" ca="1" si="24"/>
        <v>#DIV/0!</v>
      </c>
      <c r="P76" s="35" t="e">
        <f t="shared" si="25"/>
        <v>#DIV/0!</v>
      </c>
      <c r="Q76" s="36" t="e">
        <f t="shared" si="26"/>
        <v>#DIV/0!</v>
      </c>
      <c r="R76" s="34">
        <f t="shared" ca="1" si="27"/>
        <v>36703.520879999996</v>
      </c>
      <c r="S76" s="13">
        <f t="shared" ca="1" si="28"/>
        <v>1163.4089999999999</v>
      </c>
      <c r="T76" s="33">
        <f>(I76/1000)*21.28</f>
        <v>0</v>
      </c>
    </row>
    <row r="77" spans="1:20" s="2" customFormat="1">
      <c r="B77" s="17">
        <v>44866</v>
      </c>
      <c r="C77" s="52"/>
      <c r="D77" s="14"/>
      <c r="E77" s="135">
        <f t="shared" ca="1" si="30"/>
        <v>34732.339999999997</v>
      </c>
      <c r="F77" s="13">
        <f t="shared" ca="1" si="31"/>
        <v>1006.9</v>
      </c>
      <c r="G77" s="14"/>
      <c r="H77" s="14"/>
      <c r="I77" s="14">
        <f t="shared" si="21"/>
        <v>0</v>
      </c>
      <c r="J77" s="14"/>
      <c r="K77" s="14"/>
      <c r="L77" s="28"/>
      <c r="M77" s="15">
        <f t="shared" ca="1" si="22"/>
        <v>2.0655016420553522</v>
      </c>
      <c r="N77" s="14" t="e">
        <f t="shared" si="23"/>
        <v>#DIV/0!</v>
      </c>
      <c r="O77" s="13" t="e">
        <f t="shared" ca="1" si="24"/>
        <v>#DIV/0!</v>
      </c>
      <c r="P77" s="35" t="e">
        <f t="shared" si="25"/>
        <v>#DIV/0!</v>
      </c>
      <c r="Q77" s="36" t="e">
        <f t="shared" si="26"/>
        <v>#DIV/0!</v>
      </c>
      <c r="R77" s="34">
        <f t="shared" ca="1" si="27"/>
        <v>14170.794719999998</v>
      </c>
      <c r="S77" s="13">
        <f t="shared" ca="1" si="28"/>
        <v>1308.97</v>
      </c>
      <c r="T77" s="33">
        <f>(I77/1000)*21.28</f>
        <v>0</v>
      </c>
    </row>
    <row r="78" spans="1:20" s="2" customFormat="1" ht="14.65" thickBot="1">
      <c r="B78" s="101">
        <v>44896</v>
      </c>
      <c r="C78" s="102"/>
      <c r="D78" s="103"/>
      <c r="E78" s="135">
        <f t="shared" ca="1" si="30"/>
        <v>128924.19</v>
      </c>
      <c r="F78" s="13">
        <f t="shared" ca="1" si="31"/>
        <v>1012.71</v>
      </c>
      <c r="G78" s="103"/>
      <c r="H78" s="103"/>
      <c r="I78" s="14">
        <f t="shared" si="21"/>
        <v>0</v>
      </c>
      <c r="J78" s="103"/>
      <c r="K78" s="103"/>
      <c r="L78" s="104"/>
      <c r="M78" s="105">
        <f t="shared" ca="1" si="22"/>
        <v>7.6670079282206789</v>
      </c>
      <c r="N78" s="103" t="e">
        <f t="shared" si="23"/>
        <v>#DIV/0!</v>
      </c>
      <c r="O78" s="73" t="e">
        <f t="shared" ca="1" si="24"/>
        <v>#DIV/0!</v>
      </c>
      <c r="P78" s="106" t="e">
        <f t="shared" si="25"/>
        <v>#DIV/0!</v>
      </c>
      <c r="Q78" s="107" t="e">
        <f t="shared" si="26"/>
        <v>#DIV/0!</v>
      </c>
      <c r="R78" s="105">
        <f t="shared" ca="1" si="27"/>
        <v>52601.069519999997</v>
      </c>
      <c r="S78" s="73">
        <f t="shared" ca="1" si="28"/>
        <v>1316.5230000000001</v>
      </c>
      <c r="T78" s="108">
        <f>(I78/1000)*21.28</f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33">
        <f ca="1">SUM(E67:E78)</f>
        <v>790188.2</v>
      </c>
      <c r="F79" s="124">
        <f ca="1">SUM(F67:F78)</f>
        <v>10953.55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46.991795676097929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322396.7856</v>
      </c>
      <c r="S79" s="93">
        <f ca="1">SUM(S67:S78)</f>
        <v>14239.615000000002</v>
      </c>
      <c r="T79" s="96">
        <f>SUM(T67:T78)</f>
        <v>0</v>
      </c>
    </row>
    <row r="80" spans="1:20">
      <c r="B80" s="85">
        <v>44927</v>
      </c>
      <c r="C80" s="87"/>
      <c r="D80" s="87"/>
      <c r="E80" s="136">
        <f ca="1">RANDBETWEEN(10000000, 13000000)/100</f>
        <v>125693.65</v>
      </c>
      <c r="F80" s="74">
        <f ca="1">RANDBETWEEN(62000, 120000)/100</f>
        <v>1056.8800000000001</v>
      </c>
      <c r="G80" s="87"/>
      <c r="H80" s="87"/>
      <c r="I80" s="14">
        <f t="shared" ref="I80:I91" si="32">G80+H80</f>
        <v>0</v>
      </c>
      <c r="J80" s="87"/>
      <c r="K80" s="87"/>
      <c r="L80" s="109"/>
      <c r="M80" s="89">
        <f t="shared" ref="M80:M92" ca="1" si="33">E80/$E$3</f>
        <v>7.4748905622520887</v>
      </c>
      <c r="N80" s="87" t="e">
        <f t="shared" ref="N80:N91" si="34">(C80/$E$4)*(55/60)</f>
        <v>#DIV/0!</v>
      </c>
      <c r="O80" s="74" t="e">
        <f t="shared" ref="O80:O91" ca="1" si="35">F80*1000/(J80+0.25*K80)/L80</f>
        <v>#DIV/0!</v>
      </c>
      <c r="P80" s="110" t="e">
        <f t="shared" ref="P80:P91" si="36">I80/(J80+K80)/L80</f>
        <v>#DIV/0!</v>
      </c>
      <c r="Q80" s="111" t="e">
        <f t="shared" ref="Q80:Q91" si="37">H80/I80*100</f>
        <v>#DIV/0!</v>
      </c>
      <c r="R80" s="112">
        <f t="shared" ref="R80:R92" ca="1" si="38">E80*0.408</f>
        <v>51283.009199999993</v>
      </c>
      <c r="S80" s="74">
        <f t="shared" ref="S80:S91" ca="1" si="39">F80*(1.3)</f>
        <v>1373.9440000000002</v>
      </c>
      <c r="T80" s="113">
        <f t="shared" ref="T80:T87" si="40">(I80/1000)*0.561</f>
        <v>0</v>
      </c>
    </row>
    <row r="81" spans="1:20">
      <c r="B81" s="17">
        <v>44958</v>
      </c>
      <c r="C81" s="14"/>
      <c r="D81" s="14"/>
      <c r="E81" s="136">
        <f t="shared" ref="E81:E91" ca="1" si="41">RANDBETWEEN(10000000, 13000000)/100</f>
        <v>113756.03</v>
      </c>
      <c r="F81" s="74">
        <f t="shared" ref="F81:F91" ca="1" si="42">RANDBETWEEN(62000, 120000)/100</f>
        <v>1088.1500000000001</v>
      </c>
      <c r="G81" s="14"/>
      <c r="H81" s="14"/>
      <c r="I81" s="14">
        <f t="shared" si="32"/>
        <v>0</v>
      </c>
      <c r="J81" s="14"/>
      <c r="K81" s="14"/>
      <c r="L81" s="28"/>
      <c r="M81" s="15">
        <f t="shared" ca="1" si="33"/>
        <v>6.7649708242720736</v>
      </c>
      <c r="N81" s="14" t="e">
        <f t="shared" si="34"/>
        <v>#DIV/0!</v>
      </c>
      <c r="O81" s="13" t="e">
        <f t="shared" ca="1" si="35"/>
        <v>#DIV/0!</v>
      </c>
      <c r="P81" s="35" t="e">
        <f t="shared" si="36"/>
        <v>#DIV/0!</v>
      </c>
      <c r="Q81" s="36" t="e">
        <f t="shared" si="37"/>
        <v>#DIV/0!</v>
      </c>
      <c r="R81" s="34">
        <f t="shared" ca="1" si="38"/>
        <v>46412.460239999993</v>
      </c>
      <c r="S81" s="13">
        <f t="shared" ca="1" si="39"/>
        <v>1414.5950000000003</v>
      </c>
      <c r="T81" s="33">
        <f t="shared" si="40"/>
        <v>0</v>
      </c>
    </row>
    <row r="82" spans="1:20" ht="16.5" customHeight="1">
      <c r="B82" s="17">
        <v>44986</v>
      </c>
      <c r="C82" s="14"/>
      <c r="D82" s="14"/>
      <c r="E82" s="136">
        <f t="shared" ca="1" si="41"/>
        <v>113829.93</v>
      </c>
      <c r="F82" s="74">
        <f t="shared" ca="1" si="42"/>
        <v>776.97</v>
      </c>
      <c r="G82" s="14"/>
      <c r="H82" s="14"/>
      <c r="I82" s="14">
        <f t="shared" si="32"/>
        <v>0</v>
      </c>
      <c r="J82" s="14"/>
      <c r="K82" s="14"/>
      <c r="L82" s="28"/>
      <c r="M82" s="15">
        <f t="shared" ca="1" si="33"/>
        <v>6.7693655921266975</v>
      </c>
      <c r="N82" s="14" t="e">
        <f t="shared" si="34"/>
        <v>#DIV/0!</v>
      </c>
      <c r="O82" s="13" t="e">
        <f t="shared" ca="1" si="35"/>
        <v>#DIV/0!</v>
      </c>
      <c r="P82" s="35" t="e">
        <f t="shared" si="36"/>
        <v>#DIV/0!</v>
      </c>
      <c r="Q82" s="36" t="e">
        <f t="shared" si="37"/>
        <v>#DIV/0!</v>
      </c>
      <c r="R82" s="34">
        <f t="shared" ca="1" si="38"/>
        <v>46442.611439999993</v>
      </c>
      <c r="S82" s="13">
        <f t="shared" ca="1" si="39"/>
        <v>1010.061</v>
      </c>
      <c r="T82" s="33">
        <f t="shared" si="40"/>
        <v>0</v>
      </c>
    </row>
    <row r="83" spans="1:20">
      <c r="B83" s="17">
        <v>45017</v>
      </c>
      <c r="C83" s="14"/>
      <c r="D83" s="14"/>
      <c r="E83" s="136">
        <f t="shared" ca="1" si="41"/>
        <v>116891.42</v>
      </c>
      <c r="F83" s="74">
        <f t="shared" ca="1" si="42"/>
        <v>853.55</v>
      </c>
      <c r="G83" s="14"/>
      <c r="H83" s="14"/>
      <c r="I83" s="14">
        <f t="shared" si="32"/>
        <v>0</v>
      </c>
      <c r="J83" s="14"/>
      <c r="K83" s="14"/>
      <c r="L83" s="28"/>
      <c r="M83" s="15">
        <f t="shared" ca="1" si="33"/>
        <v>6.9514297036186399</v>
      </c>
      <c r="N83" s="14" t="e">
        <f t="shared" si="34"/>
        <v>#DIV/0!</v>
      </c>
      <c r="O83" s="13" t="e">
        <f t="shared" ca="1" si="35"/>
        <v>#DIV/0!</v>
      </c>
      <c r="P83" s="35" t="e">
        <f t="shared" si="36"/>
        <v>#DIV/0!</v>
      </c>
      <c r="Q83" s="36" t="e">
        <f t="shared" si="37"/>
        <v>#DIV/0!</v>
      </c>
      <c r="R83" s="34">
        <f t="shared" ca="1" si="38"/>
        <v>47691.699359999999</v>
      </c>
      <c r="S83" s="13">
        <f t="shared" ca="1" si="39"/>
        <v>1109.615</v>
      </c>
      <c r="T83" s="33">
        <f t="shared" si="40"/>
        <v>0</v>
      </c>
    </row>
    <row r="84" spans="1:20" s="2" customFormat="1">
      <c r="B84" s="17">
        <v>45047</v>
      </c>
      <c r="C84" s="14"/>
      <c r="D84" s="14"/>
      <c r="E84" s="136">
        <f t="shared" ca="1" si="41"/>
        <v>118290.59</v>
      </c>
      <c r="F84" s="74">
        <f t="shared" ca="1" si="42"/>
        <v>1036.1300000000001</v>
      </c>
      <c r="G84" s="14"/>
      <c r="H84" s="14"/>
      <c r="I84" s="14">
        <f t="shared" si="32"/>
        <v>0</v>
      </c>
      <c r="J84" s="14"/>
      <c r="K84" s="14"/>
      <c r="L84" s="28"/>
      <c r="M84" s="15">
        <f t="shared" ca="1" si="33"/>
        <v>7.0346371101024703</v>
      </c>
      <c r="N84" s="14" t="e">
        <f t="shared" si="34"/>
        <v>#DIV/0!</v>
      </c>
      <c r="O84" s="13" t="e">
        <f t="shared" ca="1" si="35"/>
        <v>#DIV/0!</v>
      </c>
      <c r="P84" s="35" t="e">
        <f t="shared" si="36"/>
        <v>#DIV/0!</v>
      </c>
      <c r="Q84" s="36" t="e">
        <f t="shared" si="37"/>
        <v>#DIV/0!</v>
      </c>
      <c r="R84" s="34">
        <f t="shared" ca="1" si="38"/>
        <v>48262.560719999994</v>
      </c>
      <c r="S84" s="13">
        <f t="shared" ca="1" si="39"/>
        <v>1346.9690000000003</v>
      </c>
      <c r="T84" s="33">
        <f t="shared" si="40"/>
        <v>0</v>
      </c>
    </row>
    <row r="85" spans="1:20" s="2" customFormat="1">
      <c r="B85" s="17">
        <v>45078</v>
      </c>
      <c r="C85" s="14"/>
      <c r="D85" s="14"/>
      <c r="E85" s="136">
        <f t="shared" ca="1" si="41"/>
        <v>127007.01</v>
      </c>
      <c r="F85" s="74">
        <f t="shared" ca="1" si="42"/>
        <v>852.2</v>
      </c>
      <c r="G85" s="14"/>
      <c r="H85" s="14"/>
      <c r="I85" s="14">
        <f t="shared" si="32"/>
        <v>0</v>
      </c>
      <c r="J85" s="14"/>
      <c r="K85" s="14"/>
      <c r="L85" s="28"/>
      <c r="M85" s="15">
        <f t="shared" ca="1" si="33"/>
        <v>7.552994923680366</v>
      </c>
      <c r="N85" s="14" t="e">
        <f t="shared" si="34"/>
        <v>#DIV/0!</v>
      </c>
      <c r="O85" s="13" t="e">
        <f t="shared" ca="1" si="35"/>
        <v>#DIV/0!</v>
      </c>
      <c r="P85" s="35" t="e">
        <f t="shared" si="36"/>
        <v>#DIV/0!</v>
      </c>
      <c r="Q85" s="36" t="e">
        <f t="shared" si="37"/>
        <v>#DIV/0!</v>
      </c>
      <c r="R85" s="34">
        <f t="shared" ca="1" si="38"/>
        <v>51818.860079999991</v>
      </c>
      <c r="S85" s="13">
        <f t="shared" ca="1" si="39"/>
        <v>1107.8600000000001</v>
      </c>
      <c r="T85" s="33">
        <f t="shared" si="40"/>
        <v>0</v>
      </c>
    </row>
    <row r="86" spans="1:20" s="2" customFormat="1">
      <c r="B86" s="17">
        <v>45108</v>
      </c>
      <c r="C86" s="14"/>
      <c r="D86" s="14"/>
      <c r="E86" s="136">
        <f t="shared" ca="1" si="41"/>
        <v>107711.43</v>
      </c>
      <c r="F86" s="74">
        <f t="shared" ca="1" si="42"/>
        <v>724.32</v>
      </c>
      <c r="G86" s="14"/>
      <c r="H86" s="14"/>
      <c r="I86" s="14">
        <f t="shared" si="32"/>
        <v>0</v>
      </c>
      <c r="J86" s="14"/>
      <c r="K86" s="14"/>
      <c r="L86" s="28"/>
      <c r="M86" s="15">
        <f t="shared" ca="1" si="33"/>
        <v>6.4055037907935404</v>
      </c>
      <c r="N86" s="14" t="e">
        <f t="shared" si="34"/>
        <v>#DIV/0!</v>
      </c>
      <c r="O86" s="13" t="e">
        <f t="shared" ca="1" si="35"/>
        <v>#DIV/0!</v>
      </c>
      <c r="P86" s="35" t="e">
        <f t="shared" si="36"/>
        <v>#DIV/0!</v>
      </c>
      <c r="Q86" s="36" t="e">
        <f t="shared" si="37"/>
        <v>#DIV/0!</v>
      </c>
      <c r="R86" s="34">
        <f t="shared" ca="1" si="38"/>
        <v>43946.263439999995</v>
      </c>
      <c r="S86" s="13">
        <f t="shared" ca="1" si="39"/>
        <v>941.6160000000001</v>
      </c>
      <c r="T86" s="33">
        <f t="shared" si="40"/>
        <v>0</v>
      </c>
    </row>
    <row r="87" spans="1:20" s="2" customFormat="1">
      <c r="B87" s="17">
        <v>45139</v>
      </c>
      <c r="C87" s="14"/>
      <c r="D87" s="14"/>
      <c r="E87" s="136">
        <f t="shared" ca="1" si="41"/>
        <v>129477.9</v>
      </c>
      <c r="F87" s="74">
        <f t="shared" ca="1" si="42"/>
        <v>905.35</v>
      </c>
      <c r="G87" s="14"/>
      <c r="H87" s="14"/>
      <c r="I87" s="14">
        <f t="shared" si="32"/>
        <v>0</v>
      </c>
      <c r="J87" s="14"/>
      <c r="K87" s="14"/>
      <c r="L87" s="28"/>
      <c r="M87" s="15">
        <f t="shared" ca="1" si="33"/>
        <v>7.6999365738063918</v>
      </c>
      <c r="N87" s="14" t="e">
        <f t="shared" si="34"/>
        <v>#DIV/0!</v>
      </c>
      <c r="O87" s="13" t="e">
        <f t="shared" ca="1" si="35"/>
        <v>#DIV/0!</v>
      </c>
      <c r="P87" s="35" t="e">
        <f t="shared" si="36"/>
        <v>#DIV/0!</v>
      </c>
      <c r="Q87" s="36" t="e">
        <f t="shared" si="37"/>
        <v>#DIV/0!</v>
      </c>
      <c r="R87" s="34">
        <f t="shared" ca="1" si="38"/>
        <v>52826.983199999995</v>
      </c>
      <c r="S87" s="13">
        <f t="shared" ca="1" si="39"/>
        <v>1176.9550000000002</v>
      </c>
      <c r="T87" s="33">
        <f t="shared" si="40"/>
        <v>0</v>
      </c>
    </row>
    <row r="88" spans="1:20" s="2" customFormat="1">
      <c r="B88" s="17">
        <v>45170</v>
      </c>
      <c r="C88" s="14"/>
      <c r="D88" s="14"/>
      <c r="E88" s="136">
        <f t="shared" ca="1" si="41"/>
        <v>123813.31</v>
      </c>
      <c r="F88" s="74">
        <f t="shared" ca="1" si="42"/>
        <v>1074.0899999999999</v>
      </c>
      <c r="G88" s="14"/>
      <c r="H88" s="14"/>
      <c r="I88" s="14">
        <f t="shared" si="32"/>
        <v>0</v>
      </c>
      <c r="J88" s="14"/>
      <c r="K88" s="14"/>
      <c r="L88" s="28"/>
      <c r="M88" s="15">
        <f t="shared" ca="1" si="33"/>
        <v>7.3630684000360578</v>
      </c>
      <c r="N88" s="14" t="e">
        <f t="shared" si="34"/>
        <v>#DIV/0!</v>
      </c>
      <c r="O88" s="13" t="e">
        <f t="shared" ca="1" si="35"/>
        <v>#DIV/0!</v>
      </c>
      <c r="P88" s="35" t="e">
        <f t="shared" si="36"/>
        <v>#DIV/0!</v>
      </c>
      <c r="Q88" s="36" t="e">
        <f t="shared" si="37"/>
        <v>#DIV/0!</v>
      </c>
      <c r="R88" s="34">
        <f t="shared" ca="1" si="38"/>
        <v>50515.830479999997</v>
      </c>
      <c r="S88" s="13">
        <f t="shared" ca="1" si="39"/>
        <v>1396.317</v>
      </c>
      <c r="T88" s="33">
        <f>(I88/1000)*21.28</f>
        <v>0</v>
      </c>
    </row>
    <row r="89" spans="1:20" s="2" customFormat="1">
      <c r="B89" s="17">
        <v>45200</v>
      </c>
      <c r="C89" s="52"/>
      <c r="D89" s="14"/>
      <c r="E89" s="136">
        <f t="shared" ca="1" si="41"/>
        <v>123319.33</v>
      </c>
      <c r="F89" s="74">
        <f t="shared" ca="1" si="42"/>
        <v>921.17</v>
      </c>
      <c r="G89" s="14"/>
      <c r="H89" s="14"/>
      <c r="I89" s="14">
        <f t="shared" si="32"/>
        <v>0</v>
      </c>
      <c r="J89" s="14"/>
      <c r="K89" s="14"/>
      <c r="L89" s="28"/>
      <c r="M89" s="15">
        <f t="shared" ca="1" si="33"/>
        <v>7.3336918448963093</v>
      </c>
      <c r="N89" s="14" t="e">
        <f t="shared" si="34"/>
        <v>#DIV/0!</v>
      </c>
      <c r="O89" s="13" t="e">
        <f t="shared" ca="1" si="35"/>
        <v>#DIV/0!</v>
      </c>
      <c r="P89" s="35" t="e">
        <f t="shared" si="36"/>
        <v>#DIV/0!</v>
      </c>
      <c r="Q89" s="36" t="e">
        <f t="shared" si="37"/>
        <v>#DIV/0!</v>
      </c>
      <c r="R89" s="34">
        <f t="shared" ca="1" si="38"/>
        <v>50314.286639999998</v>
      </c>
      <c r="S89" s="13">
        <f t="shared" ca="1" si="39"/>
        <v>1197.521</v>
      </c>
      <c r="T89" s="33">
        <f>(I89/1000)*21.28</f>
        <v>0</v>
      </c>
    </row>
    <row r="90" spans="1:20" s="2" customFormat="1">
      <c r="B90" s="17">
        <v>45231</v>
      </c>
      <c r="C90" s="52"/>
      <c r="D90" s="14"/>
      <c r="E90" s="136">
        <f t="shared" ca="1" si="41"/>
        <v>124191.14</v>
      </c>
      <c r="F90" s="74">
        <f t="shared" ca="1" si="42"/>
        <v>1091.68</v>
      </c>
      <c r="G90" s="14"/>
      <c r="H90" s="14"/>
      <c r="I90" s="14">
        <f t="shared" si="32"/>
        <v>0</v>
      </c>
      <c r="J90" s="14"/>
      <c r="K90" s="14"/>
      <c r="L90" s="28"/>
      <c r="M90" s="15">
        <f t="shared" ca="1" si="33"/>
        <v>7.3855376170660003</v>
      </c>
      <c r="N90" s="14" t="e">
        <f t="shared" si="34"/>
        <v>#DIV/0!</v>
      </c>
      <c r="O90" s="13" t="e">
        <f t="shared" ca="1" si="35"/>
        <v>#DIV/0!</v>
      </c>
      <c r="P90" s="35" t="e">
        <f t="shared" si="36"/>
        <v>#DIV/0!</v>
      </c>
      <c r="Q90" s="36" t="e">
        <f t="shared" si="37"/>
        <v>#DIV/0!</v>
      </c>
      <c r="R90" s="34">
        <f t="shared" ca="1" si="38"/>
        <v>50669.985119999998</v>
      </c>
      <c r="S90" s="13">
        <f t="shared" ca="1" si="39"/>
        <v>1419.1840000000002</v>
      </c>
      <c r="T90" s="33">
        <f>(I90/1000)*21.28</f>
        <v>0</v>
      </c>
    </row>
    <row r="91" spans="1:20" s="2" customFormat="1" ht="14.65" thickBot="1">
      <c r="B91" s="101">
        <v>45261</v>
      </c>
      <c r="C91" s="102"/>
      <c r="D91" s="103"/>
      <c r="E91" s="136">
        <f t="shared" ca="1" si="41"/>
        <v>113064.25</v>
      </c>
      <c r="F91" s="74">
        <f t="shared" ca="1" si="42"/>
        <v>638.34</v>
      </c>
      <c r="G91" s="103"/>
      <c r="H91" s="103"/>
      <c r="I91" s="103">
        <f t="shared" si="32"/>
        <v>0</v>
      </c>
      <c r="J91" s="103"/>
      <c r="K91" s="103"/>
      <c r="L91" s="104"/>
      <c r="M91" s="105">
        <f t="shared" ca="1" si="33"/>
        <v>6.7238312774997846</v>
      </c>
      <c r="N91" s="103" t="e">
        <f t="shared" si="34"/>
        <v>#DIV/0!</v>
      </c>
      <c r="O91" s="73" t="e">
        <f t="shared" ca="1" si="35"/>
        <v>#DIV/0!</v>
      </c>
      <c r="P91" s="106" t="e">
        <f t="shared" si="36"/>
        <v>#DIV/0!</v>
      </c>
      <c r="Q91" s="107" t="e">
        <f t="shared" si="37"/>
        <v>#DIV/0!</v>
      </c>
      <c r="R91" s="105">
        <f t="shared" ca="1" si="38"/>
        <v>46130.214</v>
      </c>
      <c r="S91" s="73">
        <f t="shared" ca="1" si="39"/>
        <v>829.8420000000001</v>
      </c>
      <c r="T91" s="108">
        <f>(I91/1000)*21.28</f>
        <v>0</v>
      </c>
    </row>
    <row r="92" spans="1:20" ht="14.65" thickBot="1">
      <c r="A92" s="91" t="s">
        <v>63</v>
      </c>
      <c r="B92" s="115"/>
      <c r="C92" s="115"/>
      <c r="D92" s="93"/>
      <c r="E92" s="133">
        <f ca="1">SUM(E80:E91)</f>
        <v>1437045.99</v>
      </c>
      <c r="F92" s="124">
        <f ca="1">SUM(F80:F91)</f>
        <v>11018.83</v>
      </c>
      <c r="G92" s="115"/>
      <c r="H92" s="115"/>
      <c r="I92" s="115"/>
      <c r="J92" s="93"/>
      <c r="K92" s="93"/>
      <c r="L92" s="93"/>
      <c r="M92" s="93">
        <f t="shared" ca="1" si="33"/>
        <v>85.459858220150423</v>
      </c>
      <c r="N92" s="93"/>
      <c r="O92" s="115"/>
      <c r="P92" s="115"/>
      <c r="Q92" s="115"/>
      <c r="R92" s="115">
        <f t="shared" ca="1" si="38"/>
        <v>586314.76391999994</v>
      </c>
      <c r="S92" s="115"/>
      <c r="T92" s="116"/>
    </row>
    <row r="93" spans="1:20">
      <c r="B93" s="85">
        <v>45292</v>
      </c>
      <c r="E93" s="134">
        <f ca="1">RANDBETWEEN(11000000, 13000000)/100</f>
        <v>123400.36</v>
      </c>
      <c r="F93" s="119">
        <f ca="1">RANDBETWEEN(92000, 110000)/100</f>
        <v>975.68</v>
      </c>
    </row>
    <row r="94" spans="1:20">
      <c r="B94" s="85">
        <v>45323</v>
      </c>
      <c r="E94" s="134">
        <f ca="1">RANDBETWEEN(11000000, 13000000)/100</f>
        <v>129362.46</v>
      </c>
      <c r="F94" s="119">
        <f ca="1">RANDBETWEEN(92000, 110000)/100</f>
        <v>921.01</v>
      </c>
    </row>
    <row r="95" spans="1:20">
      <c r="B95" s="85">
        <v>45352</v>
      </c>
      <c r="E95" s="134"/>
      <c r="F95" s="24"/>
    </row>
    <row r="96" spans="1:20">
      <c r="B96" s="85">
        <v>45383</v>
      </c>
      <c r="E96" s="134"/>
      <c r="F96" s="24"/>
    </row>
    <row r="97" spans="1:20">
      <c r="B97" s="85">
        <v>45413</v>
      </c>
      <c r="E97" s="134"/>
      <c r="F97" s="24"/>
    </row>
    <row r="98" spans="1:20">
      <c r="B98" s="85">
        <v>45444</v>
      </c>
      <c r="E98" s="134"/>
      <c r="F98" s="24"/>
    </row>
    <row r="99" spans="1:20">
      <c r="B99" s="85">
        <v>45474</v>
      </c>
      <c r="E99" s="134"/>
      <c r="F99" s="24"/>
    </row>
    <row r="100" spans="1:20">
      <c r="B100" s="85">
        <v>45505</v>
      </c>
      <c r="E100" s="134"/>
      <c r="F100" s="24"/>
    </row>
    <row r="101" spans="1:20">
      <c r="B101" s="85">
        <v>45536</v>
      </c>
      <c r="E101" s="134"/>
      <c r="F101" s="24"/>
    </row>
    <row r="102" spans="1:20">
      <c r="B102" s="85">
        <v>45566</v>
      </c>
      <c r="E102" s="134"/>
      <c r="F102" s="24"/>
    </row>
    <row r="103" spans="1:20">
      <c r="B103" s="85">
        <v>45597</v>
      </c>
      <c r="E103" s="134"/>
      <c r="F103" s="24"/>
    </row>
    <row r="104" spans="1:20" ht="14.65" thickBot="1">
      <c r="B104" s="85">
        <v>45627</v>
      </c>
      <c r="E104" s="134"/>
      <c r="F104" s="24"/>
    </row>
    <row r="105" spans="1:20" ht="14.65" thickBot="1">
      <c r="A105" s="91" t="s">
        <v>66</v>
      </c>
      <c r="B105" s="115"/>
      <c r="C105" s="115"/>
      <c r="D105" s="93"/>
      <c r="E105" s="133">
        <f ca="1">SUM(E93:E104)</f>
        <v>252762.82</v>
      </c>
      <c r="F105" s="124">
        <f ca="1">SUM(F93:F104)</f>
        <v>1896.69</v>
      </c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9F49-4293-4052-835F-34BB38106910}">
  <dimension ref="A1:T105"/>
  <sheetViews>
    <sheetView topLeftCell="B3" zoomScaleNormal="100" workbookViewId="0">
      <selection activeCell="E16" sqref="E16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" style="2" customWidth="1"/>
    <col min="6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71</v>
      </c>
      <c r="D3" s="14"/>
      <c r="E3" s="138">
        <v>16815.450199999999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38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38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57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35">
        <f ca="1">RANDBETWEEN(10000000, 12000000)/100</f>
        <v>112139.32</v>
      </c>
      <c r="F13" s="118">
        <f ca="1">RANDBETWEEN(47000, 150000)/100</f>
        <v>841.86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6.6688265057571883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135">
        <f t="shared" ref="E14:E24" ca="1" si="3">RANDBETWEEN(10000000, 12000000)/100</f>
        <v>118729.47</v>
      </c>
      <c r="F14" s="118">
        <f t="shared" ref="F14:F24" ca="1" si="4">RANDBETWEEN(47000, 150000)/100</f>
        <v>649.02</v>
      </c>
      <c r="G14" s="14"/>
      <c r="H14" s="14"/>
      <c r="I14" s="14"/>
      <c r="J14" s="16">
        <f t="shared" si="0"/>
        <v>21.666666666666668</v>
      </c>
      <c r="K14" s="15">
        <f t="shared" ca="1" si="1"/>
        <v>7.0607369168147525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135">
        <f t="shared" ca="1" si="3"/>
        <v>112937.58</v>
      </c>
      <c r="F15" s="118">
        <f t="shared" ca="1" si="4"/>
        <v>837.14</v>
      </c>
      <c r="G15" s="14"/>
      <c r="H15" s="14"/>
      <c r="I15" s="14"/>
      <c r="J15" s="16">
        <f t="shared" si="0"/>
        <v>21.666666666666668</v>
      </c>
      <c r="K15" s="15">
        <f t="shared" ca="1" si="1"/>
        <v>6.7162983242637182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135">
        <f t="shared" ca="1" si="3"/>
        <v>119333.18</v>
      </c>
      <c r="F16" s="118">
        <f t="shared" ca="1" si="4"/>
        <v>1350.56</v>
      </c>
      <c r="G16" s="14"/>
      <c r="H16" s="14"/>
      <c r="I16" s="14"/>
      <c r="J16" s="16">
        <f t="shared" si="0"/>
        <v>21.666666666666668</v>
      </c>
      <c r="K16" s="15">
        <f t="shared" ca="1" si="1"/>
        <v>7.0966390183237555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135">
        <f t="shared" ca="1" si="3"/>
        <v>116676.79</v>
      </c>
      <c r="F17" s="118">
        <f t="shared" ca="1" si="4"/>
        <v>1448.23</v>
      </c>
      <c r="G17" s="14"/>
      <c r="H17" s="14"/>
      <c r="I17" s="14"/>
      <c r="J17" s="16">
        <f t="shared" si="0"/>
        <v>21.666666666666668</v>
      </c>
      <c r="K17" s="15">
        <f t="shared" ca="1" si="1"/>
        <v>6.9386658467223192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135">
        <f ca="1">RANDBETWEEN(10000000, 12000000)/100</f>
        <v>107874.12</v>
      </c>
      <c r="F18" s="118">
        <f t="shared" ca="1" si="4"/>
        <v>503.63</v>
      </c>
      <c r="G18" s="14"/>
      <c r="H18" s="14"/>
      <c r="I18" s="14"/>
      <c r="J18" s="16">
        <f t="shared" si="0"/>
        <v>21.666666666666668</v>
      </c>
      <c r="K18" s="15">
        <f t="shared" ca="1" si="1"/>
        <v>6.4151788216767462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135">
        <f t="shared" ca="1" si="3"/>
        <v>100111.63</v>
      </c>
      <c r="F19" s="118">
        <f t="shared" ca="1" si="4"/>
        <v>1437.31</v>
      </c>
      <c r="G19" s="14"/>
      <c r="H19" s="14"/>
      <c r="I19" s="14"/>
      <c r="J19" s="16">
        <f t="shared" si="0"/>
        <v>21.666666666666668</v>
      </c>
      <c r="K19" s="15">
        <f t="shared" ca="1" si="1"/>
        <v>5.9535503842769559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135">
        <f t="shared" ca="1" si="3"/>
        <v>112801.26</v>
      </c>
      <c r="F20" s="118">
        <f t="shared" ca="1" si="4"/>
        <v>1133.08</v>
      </c>
      <c r="G20" s="14"/>
      <c r="H20" s="14"/>
      <c r="I20" s="14"/>
      <c r="J20" s="16">
        <f t="shared" si="0"/>
        <v>21.666666666666668</v>
      </c>
      <c r="K20" s="15">
        <f t="shared" ca="1" si="1"/>
        <v>6.7081914940344562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135">
        <f t="shared" ca="1" si="3"/>
        <v>111617.4</v>
      </c>
      <c r="F21" s="118">
        <f t="shared" ca="1" si="4"/>
        <v>534.12</v>
      </c>
      <c r="G21" s="14"/>
      <c r="H21" s="14"/>
      <c r="I21" s="14"/>
      <c r="J21" s="16">
        <f t="shared" si="0"/>
        <v>21.666666666666668</v>
      </c>
      <c r="K21" s="15">
        <f t="shared" ca="1" si="1"/>
        <v>6.6377883834475035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135">
        <f t="shared" ca="1" si="3"/>
        <v>111203.41</v>
      </c>
      <c r="F22" s="118">
        <f t="shared" ca="1" si="4"/>
        <v>1476.14</v>
      </c>
      <c r="G22" s="14"/>
      <c r="H22" s="14"/>
      <c r="I22" s="14"/>
      <c r="J22" s="16">
        <f t="shared" si="0"/>
        <v>21.666666666666668</v>
      </c>
      <c r="K22" s="15">
        <f t="shared" ca="1" si="1"/>
        <v>6.6131687630938369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135">
        <f t="shared" ca="1" si="3"/>
        <v>104586.8</v>
      </c>
      <c r="F23" s="118">
        <f t="shared" ca="1" si="4"/>
        <v>1036.78</v>
      </c>
      <c r="G23" s="14"/>
      <c r="H23" s="14"/>
      <c r="I23" s="14"/>
      <c r="J23" s="16">
        <f t="shared" si="0"/>
        <v>21.666666666666668</v>
      </c>
      <c r="K23" s="15">
        <f t="shared" ca="1" si="1"/>
        <v>6.2196847991616666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35">
        <f t="shared" ca="1" si="3"/>
        <v>108214.97</v>
      </c>
      <c r="F24" s="118">
        <f t="shared" ca="1" si="4"/>
        <v>1319.83</v>
      </c>
      <c r="G24" s="9"/>
      <c r="H24" s="9"/>
      <c r="I24" s="9"/>
      <c r="J24" s="25">
        <f t="shared" si="0"/>
        <v>21.666666666666668</v>
      </c>
      <c r="K24" s="10">
        <f t="shared" ca="1" si="1"/>
        <v>6.4354488707058231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33">
        <f ca="1">SUM(E13:E24)</f>
        <v>1336225.93</v>
      </c>
      <c r="F25" s="124">
        <f ca="1">SUM(F13:F24)</f>
        <v>12567.7</v>
      </c>
      <c r="G25" s="93"/>
      <c r="H25" s="93"/>
      <c r="I25" s="93"/>
      <c r="J25" s="93"/>
      <c r="K25" s="93">
        <f ca="1">E25/E3</f>
        <v>79.464178128278718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35">
        <f ca="1">RANDBETWEEN(10000000, 13000000)/100</f>
        <v>119927.18</v>
      </c>
      <c r="F26" s="118">
        <f ca="1">RANDBETWEEN(81000, 150000)/100</f>
        <v>1490.52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7.1319636746924564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35">
        <f t="shared" ref="E27:E37" ca="1" si="10">RANDBETWEEN(10000000, 13000000)/100</f>
        <v>126737.52</v>
      </c>
      <c r="F27" s="118">
        <f t="shared" ref="F27:F37" ca="1" si="11">RANDBETWEEN(81000, 150000)/100</f>
        <v>1427.35</v>
      </c>
      <c r="G27" s="14"/>
      <c r="H27" s="14"/>
      <c r="I27" s="14"/>
      <c r="J27" s="16">
        <f t="shared" si="6"/>
        <v>21.666666666666668</v>
      </c>
      <c r="K27" s="15">
        <f t="shared" ca="1" si="7"/>
        <v>7.536968590945011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35">
        <f t="shared" ca="1" si="10"/>
        <v>110164.1</v>
      </c>
      <c r="F28" s="118">
        <f t="shared" ca="1" si="11"/>
        <v>1028.79</v>
      </c>
      <c r="G28" s="14"/>
      <c r="H28" s="14"/>
      <c r="I28" s="14"/>
      <c r="J28" s="16">
        <f t="shared" si="6"/>
        <v>21.666666666666668</v>
      </c>
      <c r="K28" s="15">
        <f t="shared" ca="1" si="7"/>
        <v>6.5513619135811192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35">
        <f t="shared" ca="1" si="10"/>
        <v>123397.43</v>
      </c>
      <c r="F29" s="118">
        <f t="shared" ca="1" si="11"/>
        <v>967.96</v>
      </c>
      <c r="G29" s="14"/>
      <c r="H29" s="14"/>
      <c r="I29" s="14"/>
      <c r="J29" s="16">
        <f t="shared" si="6"/>
        <v>21.666666666666668</v>
      </c>
      <c r="K29" s="15">
        <f t="shared" ca="1" si="7"/>
        <v>7.3383363830484898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35">
        <f t="shared" ca="1" si="10"/>
        <v>113234.63</v>
      </c>
      <c r="F30" s="118">
        <f t="shared" ca="1" si="11"/>
        <v>1151.9100000000001</v>
      </c>
      <c r="G30" s="14"/>
      <c r="H30" s="14"/>
      <c r="I30" s="14"/>
      <c r="J30" s="16">
        <f t="shared" si="6"/>
        <v>21.666666666666668</v>
      </c>
      <c r="K30" s="15">
        <f t="shared" ca="1" si="7"/>
        <v>6.7339636259039919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35">
        <f t="shared" ca="1" si="10"/>
        <v>109555.16</v>
      </c>
      <c r="F31" s="118">
        <f t="shared" ca="1" si="11"/>
        <v>925.57</v>
      </c>
      <c r="G31" s="14"/>
      <c r="H31" s="14"/>
      <c r="I31" s="14"/>
      <c r="J31" s="16">
        <f t="shared" si="6"/>
        <v>21.666666666666668</v>
      </c>
      <c r="K31" s="15">
        <f t="shared" ca="1" si="7"/>
        <v>6.5151487885825388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35">
        <f t="shared" ca="1" si="10"/>
        <v>127197.7</v>
      </c>
      <c r="F32" s="118">
        <f t="shared" ca="1" si="11"/>
        <v>815.89</v>
      </c>
      <c r="G32" s="14"/>
      <c r="H32" s="14"/>
      <c r="I32" s="14"/>
      <c r="J32" s="16">
        <f t="shared" si="6"/>
        <v>21.666666666666668</v>
      </c>
      <c r="K32" s="15">
        <f t="shared" ca="1" si="7"/>
        <v>7.5643350898806148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35">
        <f t="shared" ca="1" si="10"/>
        <v>105519.41</v>
      </c>
      <c r="F33" s="118">
        <f t="shared" ca="1" si="11"/>
        <v>1272.97</v>
      </c>
      <c r="G33" s="14"/>
      <c r="H33" s="14"/>
      <c r="I33" s="14"/>
      <c r="J33" s="16">
        <f t="shared" si="6"/>
        <v>21.666666666666668</v>
      </c>
      <c r="K33" s="15">
        <f t="shared" ca="1" si="7"/>
        <v>6.2751462937340809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35">
        <f t="shared" ca="1" si="10"/>
        <v>124540.87</v>
      </c>
      <c r="F34" s="118">
        <f t="shared" ca="1" si="11"/>
        <v>1100.04</v>
      </c>
      <c r="G34" s="14"/>
      <c r="H34" s="14"/>
      <c r="I34" s="14"/>
      <c r="J34" s="16">
        <f t="shared" si="6"/>
        <v>21.666666666666668</v>
      </c>
      <c r="K34" s="15">
        <f t="shared" ca="1" si="7"/>
        <v>7.4063357518670534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35">
        <f t="shared" ca="1" si="10"/>
        <v>106915.37</v>
      </c>
      <c r="F35" s="118">
        <f t="shared" ca="1" si="11"/>
        <v>890.12</v>
      </c>
      <c r="G35" s="14"/>
      <c r="H35" s="14"/>
      <c r="I35" s="14"/>
      <c r="J35" s="16">
        <f t="shared" si="6"/>
        <v>21.666666666666668</v>
      </c>
      <c r="K35" s="15">
        <f t="shared" ca="1" si="7"/>
        <v>6.3581628043476348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35">
        <f t="shared" ca="1" si="10"/>
        <v>109563.52</v>
      </c>
      <c r="F36" s="118">
        <f t="shared" ca="1" si="11"/>
        <v>1103.08</v>
      </c>
      <c r="G36" s="14"/>
      <c r="H36" s="14"/>
      <c r="I36" s="14"/>
      <c r="J36" s="16">
        <f t="shared" si="6"/>
        <v>21.666666666666668</v>
      </c>
      <c r="K36" s="15">
        <f t="shared" ca="1" si="7"/>
        <v>6.5156459504129129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35">
        <f t="shared" ca="1" si="10"/>
        <v>118676.6</v>
      </c>
      <c r="F37" s="118">
        <f t="shared" ca="1" si="11"/>
        <v>1036.72</v>
      </c>
      <c r="G37" s="9"/>
      <c r="H37" s="9"/>
      <c r="I37" s="9"/>
      <c r="J37" s="25">
        <f t="shared" si="6"/>
        <v>21.666666666666668</v>
      </c>
      <c r="K37" s="10">
        <f t="shared" ca="1" si="7"/>
        <v>7.0575927845214643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33">
        <f ca="1">SUM(E26:E37)</f>
        <v>1395429.4900000002</v>
      </c>
      <c r="F38" s="124">
        <f ca="1">SUM(F26:F37)</f>
        <v>13210.92</v>
      </c>
      <c r="G38" s="93"/>
      <c r="H38" s="93"/>
      <c r="I38" s="93"/>
      <c r="J38" s="93"/>
      <c r="K38" s="96">
        <f ca="1">SUM(K26:K37)</f>
        <v>82.984961651517366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36">
        <f ca="1">RANDBETWEEN(9000000, 13000000)/100</f>
        <v>118058.81</v>
      </c>
      <c r="F39" s="125">
        <f ca="1">RANDBETWEEN(63000, 120000)/100</f>
        <v>786.8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7.0208533578244605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36">
        <f t="shared" ref="E40:E50" ca="1" si="14">RANDBETWEEN(9000000, 13000000)/100</f>
        <v>114075.16</v>
      </c>
      <c r="F40" s="125">
        <f t="shared" ref="F40:F50" ca="1" si="15">RANDBETWEEN(63000, 120000)/100</f>
        <v>882.24</v>
      </c>
      <c r="G40" s="14"/>
      <c r="H40" s="14"/>
      <c r="I40" s="14"/>
      <c r="J40" s="16">
        <f>$L$11</f>
        <v>21.666666666666668</v>
      </c>
      <c r="K40" s="15">
        <f t="shared" ca="1" si="12"/>
        <v>6.7839492040480733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36">
        <f t="shared" ca="1" si="14"/>
        <v>113483.19</v>
      </c>
      <c r="F41" s="125">
        <f t="shared" ca="1" si="15"/>
        <v>699.74</v>
      </c>
      <c r="G41" s="14"/>
      <c r="H41" s="14"/>
      <c r="I41" s="14"/>
      <c r="J41" s="16">
        <f>$L$11</f>
        <v>21.666666666666668</v>
      </c>
      <c r="K41" s="15">
        <f t="shared" ca="1" si="12"/>
        <v>6.7487452699898576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36">
        <f t="shared" ca="1" si="14"/>
        <v>90021.85</v>
      </c>
      <c r="F42" s="125">
        <f t="shared" ca="1" si="15"/>
        <v>1044.07</v>
      </c>
      <c r="G42" s="14"/>
      <c r="H42" s="14"/>
      <c r="I42" s="14"/>
      <c r="J42" s="28">
        <v>20</v>
      </c>
      <c r="K42" s="15">
        <f t="shared" ca="1" si="12"/>
        <v>5.3535200621628318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36">
        <f t="shared" ca="1" si="14"/>
        <v>120962.28</v>
      </c>
      <c r="F43" s="125">
        <f t="shared" ca="1" si="15"/>
        <v>645.87</v>
      </c>
      <c r="G43" s="14"/>
      <c r="H43" s="14"/>
      <c r="I43" s="14"/>
      <c r="J43" s="28">
        <v>18</v>
      </c>
      <c r="K43" s="15">
        <f t="shared" ca="1" si="12"/>
        <v>7.1935201592164333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36">
        <f t="shared" ca="1" si="14"/>
        <v>99569.83</v>
      </c>
      <c r="F44" s="125">
        <f t="shared" ca="1" si="15"/>
        <v>720.2</v>
      </c>
      <c r="G44" s="14"/>
      <c r="H44" s="18"/>
      <c r="I44" s="14"/>
      <c r="J44" s="28">
        <v>22</v>
      </c>
      <c r="K44" s="15">
        <f t="shared" ca="1" si="12"/>
        <v>5.9213300158921705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36">
        <f t="shared" ca="1" si="14"/>
        <v>128134.19</v>
      </c>
      <c r="F45" s="125">
        <f t="shared" ca="1" si="15"/>
        <v>945.11</v>
      </c>
      <c r="G45" s="14"/>
      <c r="H45" s="18"/>
      <c r="I45" s="14"/>
      <c r="J45" s="28">
        <v>21</v>
      </c>
      <c r="K45" s="15">
        <f t="shared" ca="1" si="12"/>
        <v>7.6200273246326766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36">
        <f t="shared" ca="1" si="14"/>
        <v>99169.93</v>
      </c>
      <c r="F46" s="125">
        <f t="shared" ca="1" si="15"/>
        <v>961.78</v>
      </c>
      <c r="G46" s="14"/>
      <c r="H46" s="18"/>
      <c r="I46" s="14"/>
      <c r="J46" s="28">
        <v>20</v>
      </c>
      <c r="K46" s="15">
        <f t="shared" ca="1" si="12"/>
        <v>5.8975483154176862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36">
        <f t="shared" ca="1" si="14"/>
        <v>105821.72</v>
      </c>
      <c r="F47" s="125">
        <f t="shared" ca="1" si="15"/>
        <v>672.06</v>
      </c>
      <c r="G47" s="14"/>
      <c r="H47" s="18"/>
      <c r="I47" s="14"/>
      <c r="J47" s="28">
        <v>22</v>
      </c>
      <c r="K47" s="15">
        <f t="shared" ca="1" si="12"/>
        <v>6.2931244029374849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36">
        <f t="shared" ca="1" si="14"/>
        <v>107755.43</v>
      </c>
      <c r="F48" s="125">
        <f t="shared" ca="1" si="15"/>
        <v>823.54</v>
      </c>
      <c r="G48" s="14"/>
      <c r="H48" s="18"/>
      <c r="I48" s="14"/>
      <c r="J48" s="28">
        <v>22</v>
      </c>
      <c r="K48" s="15">
        <f t="shared" ca="1" si="12"/>
        <v>6.4081204320060365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36">
        <f t="shared" ca="1" si="14"/>
        <v>90483.36</v>
      </c>
      <c r="F49" s="125">
        <f t="shared" ca="1" si="15"/>
        <v>967.37</v>
      </c>
      <c r="G49" s="14"/>
      <c r="H49" s="18"/>
      <c r="I49" s="14"/>
      <c r="J49" s="28">
        <v>21</v>
      </c>
      <c r="K49" s="15">
        <f t="shared" ca="1" si="12"/>
        <v>5.380965655025995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36">
        <f t="shared" ca="1" si="14"/>
        <v>120083.9</v>
      </c>
      <c r="F50" s="125">
        <f t="shared" ca="1" si="15"/>
        <v>1100.52</v>
      </c>
      <c r="G50" s="9"/>
      <c r="H50" s="27"/>
      <c r="I50" s="9"/>
      <c r="J50" s="26">
        <v>22</v>
      </c>
      <c r="K50" s="10">
        <f t="shared" ca="1" si="12"/>
        <v>7.1412836749384203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37">
        <f ca="1">SUM(E39:E50)</f>
        <v>1307619.6499999999</v>
      </c>
      <c r="F51" s="126">
        <f ca="1">SUM(F39:F50)</f>
        <v>10249.299999999999</v>
      </c>
      <c r="G51" s="98">
        <f t="shared" ref="G51" si="17">SUM(G39:G50)</f>
        <v>0</v>
      </c>
      <c r="H51" s="98"/>
      <c r="I51" s="99"/>
      <c r="J51" s="99"/>
      <c r="K51" s="99">
        <f ca="1">SUM(K39:K50)</f>
        <v>77.762987874092119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35">
        <f ca="1">RANDBETWEEN(10000000, 13000000)/100</f>
        <v>122285.55</v>
      </c>
      <c r="F52" s="118">
        <f ca="1">RANDBETWEEN(52000, 110000)/100</f>
        <v>704.55</v>
      </c>
      <c r="G52" s="14"/>
      <c r="H52" s="18"/>
      <c r="I52" s="14"/>
      <c r="J52" s="28"/>
      <c r="K52" s="15">
        <f t="shared" ref="K52:K63" ca="1" si="18">E52/$E$3</f>
        <v>7.2722138596087076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35">
        <f t="shared" ref="E53:E63" ca="1" si="20">RANDBETWEEN(10000000, 13000000)/100</f>
        <v>103053.96</v>
      </c>
      <c r="F53" s="118">
        <f t="shared" ref="F53:F63" ca="1" si="21">RANDBETWEEN(52000, 110000)/100</f>
        <v>720.7</v>
      </c>
      <c r="G53" s="14"/>
      <c r="H53" s="18"/>
      <c r="I53" s="14"/>
      <c r="J53" s="28"/>
      <c r="K53" s="15">
        <f t="shared" ca="1" si="18"/>
        <v>6.1285281556125097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35">
        <f t="shared" ca="1" si="20"/>
        <v>100449.16</v>
      </c>
      <c r="F54" s="118">
        <f t="shared" ca="1" si="21"/>
        <v>670.61</v>
      </c>
      <c r="G54" s="14"/>
      <c r="H54" s="18"/>
      <c r="I54" s="14"/>
      <c r="J54" s="28"/>
      <c r="K54" s="15">
        <f t="shared" ca="1" si="18"/>
        <v>5.9736229958327254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35">
        <f t="shared" ca="1" si="20"/>
        <v>107649.22</v>
      </c>
      <c r="F55" s="118">
        <f t="shared" ca="1" si="21"/>
        <v>543.27</v>
      </c>
      <c r="G55" s="14"/>
      <c r="H55" s="18"/>
      <c r="I55" s="14"/>
      <c r="J55" s="28"/>
      <c r="K55" s="15">
        <f t="shared" ca="1" si="18"/>
        <v>6.4018042169337814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35">
        <f t="shared" ca="1" si="20"/>
        <v>125733.93</v>
      </c>
      <c r="F56" s="118">
        <f t="shared" ca="1" si="21"/>
        <v>893.32</v>
      </c>
      <c r="G56" s="14"/>
      <c r="H56" s="18"/>
      <c r="I56" s="14"/>
      <c r="J56" s="28"/>
      <c r="K56" s="15">
        <f t="shared" ca="1" si="18"/>
        <v>7.4772859783438923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35">
        <f t="shared" ca="1" si="20"/>
        <v>113535.74</v>
      </c>
      <c r="F57" s="118">
        <f t="shared" ca="1" si="21"/>
        <v>904.43</v>
      </c>
      <c r="G57" s="14"/>
      <c r="H57" s="18"/>
      <c r="I57" s="14"/>
      <c r="J57" s="28"/>
      <c r="K57" s="15">
        <f t="shared" ca="1" si="18"/>
        <v>6.7518703721652367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35">
        <f t="shared" ca="1" si="20"/>
        <v>123478.52</v>
      </c>
      <c r="F58" s="118">
        <f t="shared" ca="1" si="21"/>
        <v>709.48</v>
      </c>
      <c r="G58" s="14"/>
      <c r="H58" s="18"/>
      <c r="I58" s="14"/>
      <c r="J58" s="28"/>
      <c r="K58" s="15">
        <f t="shared" ca="1" si="18"/>
        <v>7.3431587338648843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35">
        <f t="shared" ca="1" si="20"/>
        <v>112753.76</v>
      </c>
      <c r="F59" s="118">
        <f t="shared" ca="1" si="21"/>
        <v>728.71</v>
      </c>
      <c r="G59" s="14"/>
      <c r="H59" s="18"/>
      <c r="I59" s="14"/>
      <c r="J59" s="28"/>
      <c r="K59" s="15">
        <f t="shared" ca="1" si="18"/>
        <v>6.7053667109073301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35">
        <f t="shared" ca="1" si="20"/>
        <v>109774.81</v>
      </c>
      <c r="F60" s="118">
        <f t="shared" ca="1" si="21"/>
        <v>665.62</v>
      </c>
      <c r="G60" s="14"/>
      <c r="H60" s="18"/>
      <c r="I60" s="14"/>
      <c r="J60" s="28"/>
      <c r="K60" s="15">
        <f t="shared" ca="1" si="18"/>
        <v>6.5282111804535568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35">
        <f t="shared" ca="1" si="20"/>
        <v>126363.99</v>
      </c>
      <c r="F61" s="118">
        <f t="shared" ca="1" si="21"/>
        <v>1099.3599999999999</v>
      </c>
      <c r="G61" s="14"/>
      <c r="H61" s="18"/>
      <c r="I61" s="14"/>
      <c r="J61" s="28"/>
      <c r="K61" s="15">
        <f t="shared" ca="1" si="18"/>
        <v>7.5147550911244716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35">
        <f t="shared" ca="1" si="20"/>
        <v>114626.62</v>
      </c>
      <c r="F62" s="118">
        <f t="shared" ca="1" si="21"/>
        <v>841.65</v>
      </c>
      <c r="G62" s="14"/>
      <c r="H62" s="18"/>
      <c r="I62" s="14"/>
      <c r="J62" s="28"/>
      <c r="K62" s="15">
        <f t="shared" ca="1" si="18"/>
        <v>6.8167440441172369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35">
        <f t="shared" ca="1" si="20"/>
        <v>125003.41</v>
      </c>
      <c r="F63" s="118">
        <f t="shared" ca="1" si="21"/>
        <v>587.36</v>
      </c>
      <c r="G63" s="9"/>
      <c r="H63" s="27"/>
      <c r="I63" s="9"/>
      <c r="J63" s="26"/>
      <c r="K63" s="10">
        <f t="shared" ca="1" si="18"/>
        <v>7.4338425979222373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33">
        <f ca="1">SUM(E52:E63)</f>
        <v>1384708.6700000002</v>
      </c>
      <c r="F64" s="124">
        <f t="shared" ref="F64:G64" ca="1" si="23">SUM(F52:F63)</f>
        <v>9069.0600000000013</v>
      </c>
      <c r="G64" s="92">
        <f t="shared" si="23"/>
        <v>0</v>
      </c>
      <c r="H64" s="93"/>
      <c r="I64" s="93"/>
      <c r="J64" s="93"/>
      <c r="K64" s="93">
        <f ca="1">SUM(K52:K63)</f>
        <v>82.347403936886565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35">
        <f ca="1">RANDBETWEEN(9800000, 12000000)/100</f>
        <v>107203.48</v>
      </c>
      <c r="F67" s="118">
        <f ca="1">RANDBETWEEN(56000, 120000)/100</f>
        <v>862.71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6.3752964520688238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43739.019839999994</v>
      </c>
      <c r="S67" s="13">
        <f ca="1">F67*(1.3)</f>
        <v>1121.5230000000001</v>
      </c>
      <c r="T67" s="33">
        <f>(I67/1000)*0.561</f>
        <v>0</v>
      </c>
    </row>
    <row r="68" spans="1:20">
      <c r="B68" s="17">
        <v>44593</v>
      </c>
      <c r="C68" s="14"/>
      <c r="D68" s="14"/>
      <c r="E68" s="135">
        <f t="shared" ref="E68:E78" ca="1" si="28">RANDBETWEEN(9800000, 12000000)/100</f>
        <v>102618.13</v>
      </c>
      <c r="F68" s="118">
        <f t="shared" ref="F68:F78" ca="1" si="29">RANDBETWEEN(56000, 120000)/100</f>
        <v>1139.21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6.1026097297115491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41868.197039999999</v>
      </c>
      <c r="S68" s="13">
        <f t="shared" ref="S68:S78" ca="1" si="33">F68*(1.3)</f>
        <v>1480.9730000000002</v>
      </c>
      <c r="T68" s="33">
        <f t="shared" ref="T68:T74" si="34">(I68/1000)*0.561</f>
        <v>0</v>
      </c>
    </row>
    <row r="69" spans="1:20" ht="16.5" customHeight="1">
      <c r="B69" s="17">
        <v>44621</v>
      </c>
      <c r="C69" s="14"/>
      <c r="D69" s="14"/>
      <c r="E69" s="135">
        <f t="shared" ca="1" si="28"/>
        <v>114765.78</v>
      </c>
      <c r="F69" s="118">
        <f t="shared" ca="1" si="29"/>
        <v>751.13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6.8250197666429413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46824.438239999996</v>
      </c>
      <c r="S69" s="13">
        <f t="shared" ca="1" si="33"/>
        <v>976.46900000000005</v>
      </c>
      <c r="T69" s="33">
        <f t="shared" si="34"/>
        <v>0</v>
      </c>
    </row>
    <row r="70" spans="1:20">
      <c r="B70" s="17">
        <v>44652</v>
      </c>
      <c r="C70" s="14"/>
      <c r="D70" s="14"/>
      <c r="E70" s="135">
        <f t="shared" ca="1" si="28"/>
        <v>105099.64</v>
      </c>
      <c r="F70" s="118">
        <f t="shared" ca="1" si="29"/>
        <v>1067.31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6.2501829418756811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42880.653119999995</v>
      </c>
      <c r="S70" s="13">
        <f t="shared" ca="1" si="33"/>
        <v>1387.5029999999999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35">
        <f t="shared" ca="1" si="28"/>
        <v>100166.15</v>
      </c>
      <c r="F71" s="118">
        <f t="shared" ca="1" si="29"/>
        <v>829.01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5.9567926406157117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40867.789199999992</v>
      </c>
      <c r="S71" s="13">
        <f t="shared" ca="1" si="33"/>
        <v>1077.713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35">
        <f t="shared" ca="1" si="28"/>
        <v>118543.23</v>
      </c>
      <c r="F72" s="118">
        <f t="shared" ca="1" si="29"/>
        <v>984.78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7.0496613881916765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48365.637839999996</v>
      </c>
      <c r="S72" s="13">
        <f t="shared" ca="1" si="33"/>
        <v>1280.2139999999999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35">
        <f t="shared" ca="1" si="28"/>
        <v>107518.78</v>
      </c>
      <c r="F73" s="118">
        <f t="shared" ca="1" si="29"/>
        <v>690.75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6.3940470651210992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43867.662239999998</v>
      </c>
      <c r="S73" s="13">
        <f t="shared" ca="1" si="33"/>
        <v>897.97500000000002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35">
        <f t="shared" ca="1" si="28"/>
        <v>104769.82</v>
      </c>
      <c r="F74" s="118">
        <f t="shared" ca="1" si="29"/>
        <v>890.33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6.2305688372232826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42746.086560000003</v>
      </c>
      <c r="S74" s="13">
        <f t="shared" ca="1" si="33"/>
        <v>1157.4290000000001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35">
        <f t="shared" ca="1" si="28"/>
        <v>108518.02</v>
      </c>
      <c r="F75" s="118">
        <f t="shared" ca="1" si="29"/>
        <v>789.84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6.4534709870568916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44275.352160000002</v>
      </c>
      <c r="S75" s="13">
        <f t="shared" ca="1" si="33"/>
        <v>1026.7920000000001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35">
        <f t="shared" ca="1" si="28"/>
        <v>117157.32</v>
      </c>
      <c r="F76" s="118">
        <f t="shared" ca="1" si="29"/>
        <v>1119.6500000000001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6.9672425422187034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47800.186560000002</v>
      </c>
      <c r="S76" s="13">
        <f t="shared" ca="1" si="33"/>
        <v>1455.5450000000001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35">
        <f t="shared" ca="1" si="28"/>
        <v>102263.69</v>
      </c>
      <c r="F77" s="118">
        <f t="shared" ca="1" si="29"/>
        <v>691.79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6.0815314953625208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41723.585520000001</v>
      </c>
      <c r="S77" s="13">
        <f t="shared" ca="1" si="33"/>
        <v>899.327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35">
        <f t="shared" ca="1" si="28"/>
        <v>106162.55</v>
      </c>
      <c r="F78" s="118">
        <f t="shared" ca="1" si="29"/>
        <v>903.64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6.3133932625841922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43314.320399999997</v>
      </c>
      <c r="S78" s="73">
        <f t="shared" ca="1" si="33"/>
        <v>1174.732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33">
        <f ca="1">SUM(E67:E78)</f>
        <v>1294786.5900000001</v>
      </c>
      <c r="F79" s="124">
        <f ca="1">SUM(F67:F78)</f>
        <v>10720.149999999998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76.999817108673085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528272.92871999997</v>
      </c>
      <c r="S79" s="93">
        <f t="shared" ref="S79:T79" ca="1" si="37">SUM(S67:S78)</f>
        <v>13936.194999999998</v>
      </c>
      <c r="T79" s="96">
        <f t="shared" si="37"/>
        <v>0</v>
      </c>
    </row>
    <row r="80" spans="1:20">
      <c r="B80" s="85">
        <v>44927</v>
      </c>
      <c r="C80" s="87"/>
      <c r="D80" s="87"/>
      <c r="E80" s="136">
        <f ca="1">RANDBETWEEN(9700000, 12000000)/100</f>
        <v>106399.86</v>
      </c>
      <c r="F80" s="125">
        <f ca="1">RANDBETWEEN(67000, 110000)/100</f>
        <v>690.74</v>
      </c>
      <c r="G80" s="87"/>
      <c r="H80" s="87"/>
      <c r="I80" s="14">
        <f t="shared" ref="I80:I91" si="38">G80+H80</f>
        <v>0</v>
      </c>
      <c r="J80" s="87"/>
      <c r="K80" s="87"/>
      <c r="L80" s="109"/>
      <c r="M80" s="89">
        <f t="shared" ref="M80:M91" ca="1" si="39">E80/$E$3</f>
        <v>6.3275058790873171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43411.142879999999</v>
      </c>
      <c r="S80" s="74">
        <f ca="1">F80*(1.3)</f>
        <v>897.96199999999999</v>
      </c>
      <c r="T80" s="113">
        <f>(I80/1000)*0.561</f>
        <v>0</v>
      </c>
    </row>
    <row r="81" spans="1:20">
      <c r="B81" s="17">
        <v>44958</v>
      </c>
      <c r="C81" s="14"/>
      <c r="D81" s="14"/>
      <c r="E81" s="136">
        <f t="shared" ref="E81:E91" ca="1" si="43">RANDBETWEEN(9700000, 12000000)/100</f>
        <v>99309.64</v>
      </c>
      <c r="F81" s="125">
        <f t="shared" ref="F81:F91" ca="1" si="44">RANDBETWEEN(67000, 110000)/100</f>
        <v>806.48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5.9058567459585474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40518.333119999996</v>
      </c>
      <c r="S81" s="13">
        <f t="shared" ref="S81:S91" ca="1" si="47">F81*(1.3)</f>
        <v>1048.424</v>
      </c>
      <c r="T81" s="33">
        <f t="shared" ref="T81:T87" si="48">(I81/1000)*0.561</f>
        <v>0</v>
      </c>
    </row>
    <row r="82" spans="1:20" ht="16.5" customHeight="1">
      <c r="B82" s="17">
        <v>44986</v>
      </c>
      <c r="C82" s="14"/>
      <c r="D82" s="14"/>
      <c r="E82" s="136">
        <f t="shared" ca="1" si="43"/>
        <v>118721.42</v>
      </c>
      <c r="F82" s="125">
        <f t="shared" ca="1" si="44"/>
        <v>894.66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7.0602581904111021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48438.339359999998</v>
      </c>
      <c r="S82" s="13">
        <f t="shared" ca="1" si="47"/>
        <v>1163.058</v>
      </c>
      <c r="T82" s="33">
        <f t="shared" si="48"/>
        <v>0</v>
      </c>
    </row>
    <row r="83" spans="1:20">
      <c r="B83" s="17">
        <v>45017</v>
      </c>
      <c r="C83" s="14"/>
      <c r="D83" s="14"/>
      <c r="E83" s="136">
        <f t="shared" ca="1" si="43"/>
        <v>97817.37</v>
      </c>
      <c r="F83" s="125">
        <f t="shared" ca="1" si="44"/>
        <v>689.43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5.8171127645455485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39909.486959999995</v>
      </c>
      <c r="S83" s="13">
        <f t="shared" ca="1" si="47"/>
        <v>896.25900000000001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136">
        <f t="shared" ca="1" si="43"/>
        <v>115366.71</v>
      </c>
      <c r="F84" s="125">
        <f t="shared" ca="1" si="44"/>
        <v>767.83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6.8607565440026113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47069.617680000003</v>
      </c>
      <c r="S84" s="13">
        <f t="shared" ca="1" si="47"/>
        <v>998.17900000000009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136">
        <f t="shared" ca="1" si="43"/>
        <v>104708.28</v>
      </c>
      <c r="F85" s="125">
        <f t="shared" ca="1" si="44"/>
        <v>715.02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6.2269091076728946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42720.978239999997</v>
      </c>
      <c r="S85" s="13">
        <f t="shared" ca="1" si="47"/>
        <v>929.52599999999995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136">
        <f t="shared" ca="1" si="43"/>
        <v>115573.88</v>
      </c>
      <c r="F86" s="125">
        <f t="shared" ca="1" si="44"/>
        <v>842.09</v>
      </c>
      <c r="G86" s="14"/>
      <c r="H86" s="14"/>
      <c r="I86" s="14">
        <f t="shared" si="38"/>
        <v>0</v>
      </c>
      <c r="J86" s="14"/>
      <c r="K86" s="14"/>
      <c r="L86" s="28"/>
      <c r="M86" s="15">
        <f t="shared" ca="1" si="39"/>
        <v>6.8730767612751755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47154.143039999995</v>
      </c>
      <c r="S86" s="13">
        <f t="shared" ca="1" si="47"/>
        <v>1094.7170000000001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136">
        <f t="shared" ca="1" si="43"/>
        <v>110734.01</v>
      </c>
      <c r="F87" s="125">
        <f t="shared" ca="1" si="44"/>
        <v>971.97</v>
      </c>
      <c r="G87" s="14"/>
      <c r="H87" s="14"/>
      <c r="I87" s="14">
        <f t="shared" si="38"/>
        <v>0</v>
      </c>
      <c r="J87" s="14"/>
      <c r="K87" s="14"/>
      <c r="L87" s="28"/>
      <c r="M87" s="15">
        <f t="shared" ca="1" si="39"/>
        <v>6.5852539588859775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45179.476079999993</v>
      </c>
      <c r="S87" s="13">
        <f t="shared" ca="1" si="47"/>
        <v>1263.5610000000001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136">
        <f t="shared" ca="1" si="43"/>
        <v>115079.52</v>
      </c>
      <c r="F88" s="125">
        <f t="shared" ca="1" si="44"/>
        <v>747.1</v>
      </c>
      <c r="G88" s="14"/>
      <c r="H88" s="14"/>
      <c r="I88" s="14">
        <f t="shared" si="38"/>
        <v>0</v>
      </c>
      <c r="J88" s="14"/>
      <c r="K88" s="14"/>
      <c r="L88" s="28"/>
      <c r="M88" s="15">
        <f t="shared" ca="1" si="39"/>
        <v>6.8436776078704105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46952.444159999999</v>
      </c>
      <c r="S88" s="13">
        <f t="shared" ca="1" si="47"/>
        <v>971.23</v>
      </c>
      <c r="T88" s="33">
        <f t="shared" ref="T88:T91" si="49">(I88/1000)*21.28</f>
        <v>0</v>
      </c>
    </row>
    <row r="89" spans="1:20" s="2" customFormat="1">
      <c r="B89" s="17">
        <v>45200</v>
      </c>
      <c r="C89" s="52"/>
      <c r="D89" s="14"/>
      <c r="E89" s="136">
        <f t="shared" ca="1" si="43"/>
        <v>108788.09</v>
      </c>
      <c r="F89" s="125">
        <f t="shared" ca="1" si="44"/>
        <v>713.23</v>
      </c>
      <c r="G89" s="14"/>
      <c r="H89" s="14"/>
      <c r="I89" s="14">
        <f t="shared" si="38"/>
        <v>0</v>
      </c>
      <c r="J89" s="14"/>
      <c r="K89" s="14"/>
      <c r="L89" s="28"/>
      <c r="M89" s="15">
        <f t="shared" ca="1" si="39"/>
        <v>6.4695318118809571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44385.540719999997</v>
      </c>
      <c r="S89" s="13">
        <f t="shared" ca="1" si="47"/>
        <v>927.19900000000007</v>
      </c>
      <c r="T89" s="33">
        <f t="shared" si="49"/>
        <v>0</v>
      </c>
    </row>
    <row r="90" spans="1:20" s="2" customFormat="1">
      <c r="B90" s="17">
        <v>45231</v>
      </c>
      <c r="C90" s="52"/>
      <c r="D90" s="14"/>
      <c r="E90" s="136">
        <f t="shared" ca="1" si="43"/>
        <v>114999.99</v>
      </c>
      <c r="F90" s="125">
        <f t="shared" ca="1" si="44"/>
        <v>976.84</v>
      </c>
      <c r="G90" s="14"/>
      <c r="H90" s="14"/>
      <c r="I90" s="14">
        <f t="shared" si="38"/>
        <v>0</v>
      </c>
      <c r="J90" s="14"/>
      <c r="K90" s="14"/>
      <c r="L90" s="28"/>
      <c r="M90" s="15">
        <f t="shared" ca="1" si="39"/>
        <v>6.8389480288788231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46919.995920000001</v>
      </c>
      <c r="S90" s="13">
        <f t="shared" ca="1" si="47"/>
        <v>1269.8920000000001</v>
      </c>
      <c r="T90" s="33">
        <f t="shared" si="49"/>
        <v>0</v>
      </c>
    </row>
    <row r="91" spans="1:20" s="2" customFormat="1" ht="14.65" thickBot="1">
      <c r="B91" s="101">
        <v>45261</v>
      </c>
      <c r="C91" s="102"/>
      <c r="D91" s="103"/>
      <c r="E91" s="136">
        <f t="shared" ca="1" si="43"/>
        <v>106668.57</v>
      </c>
      <c r="F91" s="125">
        <f t="shared" ca="1" si="44"/>
        <v>954.03</v>
      </c>
      <c r="G91" s="103"/>
      <c r="H91" s="103"/>
      <c r="I91" s="103">
        <f t="shared" si="38"/>
        <v>0</v>
      </c>
      <c r="J91" s="103"/>
      <c r="K91" s="103"/>
      <c r="L91" s="104"/>
      <c r="M91" s="105">
        <f t="shared" ca="1" si="39"/>
        <v>6.3434858259102702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43520.776559999998</v>
      </c>
      <c r="S91" s="73">
        <f t="shared" ca="1" si="47"/>
        <v>1240.239</v>
      </c>
      <c r="T91" s="108">
        <f t="shared" si="49"/>
        <v>0</v>
      </c>
    </row>
    <row r="92" spans="1:20" ht="14.65" thickBot="1">
      <c r="A92" s="91" t="s">
        <v>63</v>
      </c>
      <c r="B92" s="115"/>
      <c r="C92" s="115"/>
      <c r="D92" s="93"/>
      <c r="E92" s="133">
        <f ca="1">SUM(E80:E91)</f>
        <v>1314167.3400000001</v>
      </c>
      <c r="F92" s="124">
        <f ca="1">SUM(F80:F91)</f>
        <v>9769.4200000000019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134">
        <f ca="1">RANDBETWEEN(10000000, 13000000)/100</f>
        <v>125451.15</v>
      </c>
      <c r="F93" s="119">
        <f ca="1">RANDBETWEEN(72000, 89000)/100</f>
        <v>728.01</v>
      </c>
    </row>
    <row r="94" spans="1:20">
      <c r="B94" s="85">
        <v>45323</v>
      </c>
      <c r="E94" s="134">
        <f ca="1">RANDBETWEEN(10000000, 13000000)/100</f>
        <v>111395.8</v>
      </c>
      <c r="F94" s="119">
        <f ca="1">RANDBETWEEN(72000, 89000)/100</f>
        <v>752.65</v>
      </c>
    </row>
    <row r="95" spans="1:20">
      <c r="B95" s="85">
        <v>45352</v>
      </c>
      <c r="E95" s="134"/>
      <c r="F95" s="119"/>
    </row>
    <row r="96" spans="1:20">
      <c r="B96" s="85">
        <v>45383</v>
      </c>
      <c r="E96" s="134"/>
      <c r="F96" s="119"/>
    </row>
    <row r="97" spans="1:20">
      <c r="B97" s="85">
        <v>45413</v>
      </c>
      <c r="E97" s="134"/>
      <c r="F97" s="119"/>
    </row>
    <row r="98" spans="1:20">
      <c r="B98" s="85">
        <v>45444</v>
      </c>
      <c r="E98" s="134"/>
      <c r="F98" s="119"/>
    </row>
    <row r="99" spans="1:20">
      <c r="B99" s="85">
        <v>45474</v>
      </c>
      <c r="E99" s="134"/>
      <c r="F99" s="119"/>
    </row>
    <row r="100" spans="1:20">
      <c r="B100" s="85">
        <v>45505</v>
      </c>
      <c r="E100" s="134"/>
      <c r="F100" s="119"/>
    </row>
    <row r="101" spans="1:20">
      <c r="B101" s="85">
        <v>45536</v>
      </c>
      <c r="E101" s="134"/>
      <c r="F101" s="119"/>
    </row>
    <row r="102" spans="1:20">
      <c r="B102" s="85">
        <v>45566</v>
      </c>
      <c r="E102" s="134"/>
      <c r="F102" s="119"/>
    </row>
    <row r="103" spans="1:20">
      <c r="B103" s="85">
        <v>45597</v>
      </c>
      <c r="E103" s="134"/>
      <c r="F103" s="119"/>
    </row>
    <row r="104" spans="1:20" ht="14.65" thickBot="1">
      <c r="B104" s="85">
        <v>45627</v>
      </c>
      <c r="E104" s="134"/>
      <c r="F104" s="119"/>
    </row>
    <row r="105" spans="1:20" ht="14.65" thickBot="1">
      <c r="A105" s="91" t="s">
        <v>66</v>
      </c>
      <c r="B105" s="115"/>
      <c r="C105" s="115"/>
      <c r="D105" s="93"/>
      <c r="E105" s="133">
        <f ca="1">SUM(E93:E104)</f>
        <v>236846.95</v>
      </c>
      <c r="F105" s="124">
        <f ca="1">SUM(F93:F104)</f>
        <v>1480.6599999999999</v>
      </c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FFC2-FE8C-4811-8963-85979E13BF16}">
  <dimension ref="A1:T105"/>
  <sheetViews>
    <sheetView topLeftCell="A5" zoomScaleNormal="100" workbookViewId="0">
      <selection activeCell="E17" sqref="E17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" style="2" customWidth="1"/>
    <col min="6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72</v>
      </c>
      <c r="D3" s="14"/>
      <c r="E3" s="138">
        <v>5852.8914999999997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38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38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57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35">
        <f ca="1">RANDBETWEEN(5300000, 9300000)/100</f>
        <v>56086.86</v>
      </c>
      <c r="F13" s="13">
        <f ca="1">RANDBETWEEN(24000, 67000)/100</f>
        <v>513.72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9.5827609310714212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135">
        <f t="shared" ref="E14:E24" ca="1" si="3">RANDBETWEEN(5300000, 9300000)/100</f>
        <v>72427.45</v>
      </c>
      <c r="F14" s="13">
        <f t="shared" ref="F14:F24" ca="1" si="4">RANDBETWEEN(24000, 67000)/100</f>
        <v>365.84</v>
      </c>
      <c r="G14" s="14"/>
      <c r="H14" s="14"/>
      <c r="I14" s="14"/>
      <c r="J14" s="16">
        <f t="shared" si="0"/>
        <v>21.666666666666668</v>
      </c>
      <c r="K14" s="15">
        <f t="shared" ca="1" si="1"/>
        <v>12.374644224995457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135">
        <f t="shared" ca="1" si="3"/>
        <v>78214.19</v>
      </c>
      <c r="F15" s="13">
        <f t="shared" ca="1" si="4"/>
        <v>276.49</v>
      </c>
      <c r="G15" s="14"/>
      <c r="H15" s="14"/>
      <c r="I15" s="14"/>
      <c r="J15" s="16">
        <f t="shared" si="0"/>
        <v>21.666666666666668</v>
      </c>
      <c r="K15" s="15">
        <f t="shared" ca="1" si="1"/>
        <v>13.363341862735711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135">
        <f t="shared" ca="1" si="3"/>
        <v>58004.47</v>
      </c>
      <c r="F16" s="13">
        <f t="shared" ca="1" si="4"/>
        <v>350.14</v>
      </c>
      <c r="G16" s="14"/>
      <c r="H16" s="14"/>
      <c r="I16" s="14"/>
      <c r="J16" s="16">
        <f t="shared" si="0"/>
        <v>21.666666666666668</v>
      </c>
      <c r="K16" s="15">
        <f t="shared" ca="1" si="1"/>
        <v>9.9103955711463314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135">
        <f t="shared" ca="1" si="3"/>
        <v>79484.11</v>
      </c>
      <c r="F17" s="13">
        <f t="shared" ca="1" si="4"/>
        <v>311.89999999999998</v>
      </c>
      <c r="G17" s="14"/>
      <c r="H17" s="14"/>
      <c r="I17" s="14"/>
      <c r="J17" s="16">
        <f t="shared" si="0"/>
        <v>21.666666666666668</v>
      </c>
      <c r="K17" s="15">
        <f t="shared" ca="1" si="1"/>
        <v>13.580314960562657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135">
        <f t="shared" ca="1" si="3"/>
        <v>61398.94</v>
      </c>
      <c r="F18" s="13">
        <f t="shared" ca="1" si="4"/>
        <v>523.12</v>
      </c>
      <c r="G18" s="14"/>
      <c r="H18" s="14"/>
      <c r="I18" s="14"/>
      <c r="J18" s="16">
        <f t="shared" si="0"/>
        <v>21.666666666666668</v>
      </c>
      <c r="K18" s="15">
        <f t="shared" ca="1" si="1"/>
        <v>10.490360192052083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135">
        <f t="shared" ca="1" si="3"/>
        <v>82790.100000000006</v>
      </c>
      <c r="F19" s="13">
        <f t="shared" ca="1" si="4"/>
        <v>334.09</v>
      </c>
      <c r="G19" s="14"/>
      <c r="H19" s="14"/>
      <c r="I19" s="14"/>
      <c r="J19" s="16">
        <f t="shared" si="0"/>
        <v>21.666666666666668</v>
      </c>
      <c r="K19" s="15">
        <f t="shared" ca="1" si="1"/>
        <v>14.145162267231505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135">
        <f t="shared" ca="1" si="3"/>
        <v>72572.11</v>
      </c>
      <c r="F20" s="13">
        <f t="shared" ca="1" si="4"/>
        <v>607.88</v>
      </c>
      <c r="G20" s="14"/>
      <c r="H20" s="14"/>
      <c r="I20" s="14"/>
      <c r="J20" s="16">
        <f t="shared" si="0"/>
        <v>21.666666666666668</v>
      </c>
      <c r="K20" s="15">
        <f t="shared" ca="1" si="1"/>
        <v>12.399360213665332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135">
        <f t="shared" ca="1" si="3"/>
        <v>56360.160000000003</v>
      </c>
      <c r="F21" s="13">
        <f t="shared" ca="1" si="4"/>
        <v>489.8</v>
      </c>
      <c r="G21" s="14"/>
      <c r="H21" s="14"/>
      <c r="I21" s="14"/>
      <c r="J21" s="16">
        <f t="shared" si="0"/>
        <v>21.666666666666668</v>
      </c>
      <c r="K21" s="15">
        <f t="shared" ca="1" si="1"/>
        <v>9.6294557997529946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135">
        <f t="shared" ca="1" si="3"/>
        <v>92371.69</v>
      </c>
      <c r="F22" s="13">
        <f t="shared" ca="1" si="4"/>
        <v>617.94000000000005</v>
      </c>
      <c r="G22" s="14"/>
      <c r="H22" s="14"/>
      <c r="I22" s="14"/>
      <c r="J22" s="16">
        <f t="shared" si="0"/>
        <v>21.666666666666668</v>
      </c>
      <c r="K22" s="15">
        <f t="shared" ca="1" si="1"/>
        <v>15.782231739645269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135">
        <f t="shared" ca="1" si="3"/>
        <v>86055.38</v>
      </c>
      <c r="F23" s="13">
        <f t="shared" ca="1" si="4"/>
        <v>438.09</v>
      </c>
      <c r="G23" s="14"/>
      <c r="H23" s="14"/>
      <c r="I23" s="14"/>
      <c r="J23" s="16">
        <f t="shared" si="0"/>
        <v>21.666666666666668</v>
      </c>
      <c r="K23" s="15">
        <f t="shared" ca="1" si="1"/>
        <v>14.703054037478742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35">
        <f t="shared" ca="1" si="3"/>
        <v>57328.29</v>
      </c>
      <c r="F24" s="13">
        <f t="shared" ca="1" si="4"/>
        <v>561.44000000000005</v>
      </c>
      <c r="G24" s="9"/>
      <c r="H24" s="9"/>
      <c r="I24" s="9"/>
      <c r="J24" s="25">
        <f t="shared" si="0"/>
        <v>21.666666666666668</v>
      </c>
      <c r="K24" s="10">
        <f t="shared" ca="1" si="1"/>
        <v>9.7948663493932884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33">
        <f ca="1">SUM(E13:E24)</f>
        <v>853093.75000000012</v>
      </c>
      <c r="F25" s="124">
        <f ca="1">SUM(F13:F24)</f>
        <v>5390.4500000000007</v>
      </c>
      <c r="G25" s="93"/>
      <c r="H25" s="93"/>
      <c r="I25" s="93"/>
      <c r="J25" s="93"/>
      <c r="K25" s="93">
        <f ca="1">E25/E3</f>
        <v>145.75594814973081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35">
        <f ca="1">RANDBETWEEN(7200000, 9000000)/100</f>
        <v>89698.81</v>
      </c>
      <c r="F26" s="13">
        <f ca="1">RANDBETWEEN(24000, 110000)/100</f>
        <v>597.94000000000005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15.325554898805146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35">
        <f t="shared" ref="E27:E37" ca="1" si="10">RANDBETWEEN(7200000, 9000000)/100</f>
        <v>72234.11</v>
      </c>
      <c r="F27" s="13">
        <f t="shared" ref="F27:F37" ca="1" si="11">RANDBETWEEN(24000, 110000)/100</f>
        <v>782.02</v>
      </c>
      <c r="G27" s="14"/>
      <c r="H27" s="14"/>
      <c r="I27" s="14"/>
      <c r="J27" s="16">
        <f t="shared" si="6"/>
        <v>21.666666666666668</v>
      </c>
      <c r="K27" s="15">
        <f t="shared" ca="1" si="7"/>
        <v>12.341610979803743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35">
        <f t="shared" ca="1" si="10"/>
        <v>87010.28</v>
      </c>
      <c r="F28" s="13">
        <f t="shared" ca="1" si="11"/>
        <v>975.79</v>
      </c>
      <c r="G28" s="14"/>
      <c r="H28" s="14"/>
      <c r="I28" s="14"/>
      <c r="J28" s="16">
        <f t="shared" si="6"/>
        <v>21.666666666666668</v>
      </c>
      <c r="K28" s="15">
        <f t="shared" ca="1" si="7"/>
        <v>14.866204165923801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35">
        <f t="shared" ca="1" si="10"/>
        <v>78762.47</v>
      </c>
      <c r="F29" s="13">
        <f t="shared" ca="1" si="11"/>
        <v>588.54999999999995</v>
      </c>
      <c r="G29" s="14"/>
      <c r="H29" s="14"/>
      <c r="I29" s="14"/>
      <c r="J29" s="16">
        <f t="shared" si="6"/>
        <v>21.666666666666668</v>
      </c>
      <c r="K29" s="15">
        <f t="shared" ca="1" si="7"/>
        <v>13.45701863771095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35">
        <f t="shared" ca="1" si="10"/>
        <v>80312.33</v>
      </c>
      <c r="F30" s="13">
        <f ca="1">RANDBETWEEN(24000, 110000)/100</f>
        <v>562.98</v>
      </c>
      <c r="G30" s="14"/>
      <c r="H30" s="14"/>
      <c r="I30" s="14"/>
      <c r="J30" s="16">
        <f t="shared" si="6"/>
        <v>21.666666666666668</v>
      </c>
      <c r="K30" s="15">
        <f t="shared" ca="1" si="7"/>
        <v>13.721821086210124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35">
        <f t="shared" ca="1" si="10"/>
        <v>78725.039999999994</v>
      </c>
      <c r="F31" s="13">
        <f t="shared" ca="1" si="11"/>
        <v>885.13</v>
      </c>
      <c r="G31" s="14"/>
      <c r="H31" s="14"/>
      <c r="I31" s="14"/>
      <c r="J31" s="16">
        <f t="shared" si="6"/>
        <v>21.666666666666668</v>
      </c>
      <c r="K31" s="15">
        <f t="shared" ca="1" si="7"/>
        <v>13.450623508055804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35">
        <f t="shared" ca="1" si="10"/>
        <v>75451.47</v>
      </c>
      <c r="F32" s="13">
        <f t="shared" ca="1" si="11"/>
        <v>758.97</v>
      </c>
      <c r="G32" s="14"/>
      <c r="H32" s="14"/>
      <c r="I32" s="14"/>
      <c r="J32" s="16">
        <f t="shared" si="6"/>
        <v>21.666666666666668</v>
      </c>
      <c r="K32" s="15">
        <f t="shared" ca="1" si="7"/>
        <v>12.891315343877467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35">
        <f t="shared" ca="1" si="10"/>
        <v>83699.100000000006</v>
      </c>
      <c r="F33" s="13">
        <f t="shared" ca="1" si="11"/>
        <v>923.68</v>
      </c>
      <c r="G33" s="14"/>
      <c r="H33" s="14"/>
      <c r="I33" s="14"/>
      <c r="J33" s="16">
        <f t="shared" si="6"/>
        <v>21.666666666666668</v>
      </c>
      <c r="K33" s="15">
        <f t="shared" ca="1" si="7"/>
        <v>14.300470118060451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35">
        <f t="shared" ca="1" si="10"/>
        <v>76701.929999999993</v>
      </c>
      <c r="F34" s="13">
        <f t="shared" ca="1" si="11"/>
        <v>704.06</v>
      </c>
      <c r="G34" s="14"/>
      <c r="H34" s="14"/>
      <c r="I34" s="14"/>
      <c r="J34" s="16">
        <f t="shared" si="6"/>
        <v>21.666666666666668</v>
      </c>
      <c r="K34" s="15">
        <f t="shared" ca="1" si="7"/>
        <v>13.104963589364333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35">
        <f t="shared" ca="1" si="10"/>
        <v>76416.41</v>
      </c>
      <c r="F35" s="13">
        <f t="shared" ca="1" si="11"/>
        <v>1022.89</v>
      </c>
      <c r="G35" s="14"/>
      <c r="H35" s="14"/>
      <c r="I35" s="14"/>
      <c r="J35" s="16">
        <f t="shared" si="6"/>
        <v>21.666666666666668</v>
      </c>
      <c r="K35" s="15">
        <f t="shared" ca="1" si="7"/>
        <v>13.056180863766226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35">
        <f t="shared" ca="1" si="10"/>
        <v>82930.009999999995</v>
      </c>
      <c r="F36" s="13">
        <f t="shared" ca="1" si="11"/>
        <v>326.88</v>
      </c>
      <c r="G36" s="14"/>
      <c r="H36" s="14"/>
      <c r="I36" s="14"/>
      <c r="J36" s="16">
        <f t="shared" si="6"/>
        <v>21.666666666666668</v>
      </c>
      <c r="K36" s="15">
        <f t="shared" ca="1" si="7"/>
        <v>14.169066691224328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35">
        <f t="shared" ca="1" si="10"/>
        <v>77747.03</v>
      </c>
      <c r="F37" s="13">
        <f t="shared" ca="1" si="11"/>
        <v>719.51</v>
      </c>
      <c r="G37" s="9"/>
      <c r="H37" s="9"/>
      <c r="I37" s="9"/>
      <c r="J37" s="25">
        <f t="shared" si="6"/>
        <v>21.666666666666668</v>
      </c>
      <c r="K37" s="10">
        <f t="shared" ca="1" si="7"/>
        <v>13.283524903887249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33">
        <f ca="1">SUM(E26:E37)</f>
        <v>959688.99000000011</v>
      </c>
      <c r="F38" s="124">
        <f ca="1">SUM(F26:F37)</f>
        <v>8848.4000000000015</v>
      </c>
      <c r="G38" s="93"/>
      <c r="H38" s="93"/>
      <c r="I38" s="93"/>
      <c r="J38" s="93"/>
      <c r="K38" s="96">
        <f ca="1">SUM(K26:K37)</f>
        <v>163.96835478668959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36">
        <f ca="1">RANDBETWEEN(2200000, 5300000)/100</f>
        <v>23661.14</v>
      </c>
      <c r="F39" s="74">
        <f ca="1">RANDBETWEEN(24000, 66000)/100</f>
        <v>637.45000000000005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4.0426411458336453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36">
        <f t="shared" ref="E40:E50" ca="1" si="14">RANDBETWEEN(2200000, 5300000)/100</f>
        <v>44222.79</v>
      </c>
      <c r="F40" s="74">
        <f t="shared" ref="F40:F50" ca="1" si="15">RANDBETWEEN(24000, 66000)/100</f>
        <v>289.73</v>
      </c>
      <c r="G40" s="14"/>
      <c r="H40" s="14"/>
      <c r="I40" s="14"/>
      <c r="J40" s="16">
        <f>$L$11</f>
        <v>21.666666666666668</v>
      </c>
      <c r="K40" s="15">
        <f t="shared" ca="1" si="12"/>
        <v>7.5557166914848848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36">
        <f t="shared" ca="1" si="14"/>
        <v>35224.53</v>
      </c>
      <c r="F41" s="74">
        <f t="shared" ca="1" si="15"/>
        <v>282.11</v>
      </c>
      <c r="G41" s="14"/>
      <c r="H41" s="14"/>
      <c r="I41" s="14"/>
      <c r="J41" s="16">
        <f>$L$11</f>
        <v>21.666666666666668</v>
      </c>
      <c r="K41" s="15">
        <f t="shared" ca="1" si="12"/>
        <v>6.0183124870843754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36">
        <f t="shared" ca="1" si="14"/>
        <v>31727.71</v>
      </c>
      <c r="F42" s="74">
        <f t="shared" ca="1" si="15"/>
        <v>250.57</v>
      </c>
      <c r="G42" s="14"/>
      <c r="H42" s="14"/>
      <c r="I42" s="14"/>
      <c r="J42" s="28">
        <v>20</v>
      </c>
      <c r="K42" s="15">
        <f t="shared" ca="1" si="12"/>
        <v>5.4208607830847368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36">
        <f t="shared" ca="1" si="14"/>
        <v>43303.45</v>
      </c>
      <c r="F43" s="74">
        <f t="shared" ca="1" si="15"/>
        <v>522.5</v>
      </c>
      <c r="G43" s="14"/>
      <c r="H43" s="14"/>
      <c r="I43" s="14"/>
      <c r="J43" s="28">
        <v>18</v>
      </c>
      <c r="K43" s="15">
        <f t="shared" ca="1" si="12"/>
        <v>7.3986421924957941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36">
        <f t="shared" ca="1" si="14"/>
        <v>43890.17</v>
      </c>
      <c r="F44" s="74">
        <f t="shared" ca="1" si="15"/>
        <v>242.39</v>
      </c>
      <c r="G44" s="14"/>
      <c r="H44" s="18"/>
      <c r="I44" s="14"/>
      <c r="J44" s="28">
        <v>22</v>
      </c>
      <c r="K44" s="15">
        <f t="shared" ca="1" si="12"/>
        <v>7.4988866614048799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36">
        <f t="shared" ca="1" si="14"/>
        <v>22211.16</v>
      </c>
      <c r="F45" s="74">
        <f t="shared" ca="1" si="15"/>
        <v>306.54000000000002</v>
      </c>
      <c r="G45" s="14"/>
      <c r="H45" s="18"/>
      <c r="I45" s="14"/>
      <c r="J45" s="28">
        <v>21</v>
      </c>
      <c r="K45" s="15">
        <f t="shared" ca="1" si="12"/>
        <v>3.7949037667962924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36">
        <f t="shared" ca="1" si="14"/>
        <v>45858.87</v>
      </c>
      <c r="F46" s="74">
        <f t="shared" ca="1" si="15"/>
        <v>499.25</v>
      </c>
      <c r="G46" s="14"/>
      <c r="H46" s="18"/>
      <c r="I46" s="14"/>
      <c r="J46" s="28">
        <v>20</v>
      </c>
      <c r="K46" s="15">
        <f t="shared" ca="1" si="12"/>
        <v>7.8352503202904078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36">
        <f t="shared" ca="1" si="14"/>
        <v>22423.759999999998</v>
      </c>
      <c r="F47" s="74">
        <f t="shared" ca="1" si="15"/>
        <v>611.01</v>
      </c>
      <c r="G47" s="14"/>
      <c r="H47" s="18"/>
      <c r="I47" s="14"/>
      <c r="J47" s="28">
        <v>22</v>
      </c>
      <c r="K47" s="15">
        <f t="shared" ca="1" si="12"/>
        <v>3.8312276931837879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36">
        <f t="shared" ca="1" si="14"/>
        <v>33159.82</v>
      </c>
      <c r="F48" s="74">
        <f t="shared" ca="1" si="15"/>
        <v>466.89</v>
      </c>
      <c r="G48" s="14"/>
      <c r="H48" s="18"/>
      <c r="I48" s="14"/>
      <c r="J48" s="28">
        <v>22</v>
      </c>
      <c r="K48" s="15">
        <f t="shared" ca="1" si="12"/>
        <v>5.6655449703791705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36">
        <f t="shared" ca="1" si="14"/>
        <v>41319.4</v>
      </c>
      <c r="F49" s="74">
        <f t="shared" ca="1" si="15"/>
        <v>275.32</v>
      </c>
      <c r="G49" s="14"/>
      <c r="H49" s="18"/>
      <c r="I49" s="14"/>
      <c r="J49" s="28">
        <v>21</v>
      </c>
      <c r="K49" s="15">
        <f t="shared" ca="1" si="12"/>
        <v>7.0596558982854889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36">
        <f t="shared" ca="1" si="14"/>
        <v>44803.19</v>
      </c>
      <c r="F50" s="74">
        <f t="shared" ca="1" si="15"/>
        <v>567.45000000000005</v>
      </c>
      <c r="G50" s="9"/>
      <c r="H50" s="27"/>
      <c r="I50" s="9"/>
      <c r="J50" s="26">
        <v>22</v>
      </c>
      <c r="K50" s="10">
        <f t="shared" ca="1" si="12"/>
        <v>7.6548813522341916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37">
        <f ca="1">SUM(E39:E50)</f>
        <v>431805.99000000005</v>
      </c>
      <c r="F51" s="126">
        <f ca="1">SUM(F39:F50)</f>
        <v>4951.21</v>
      </c>
      <c r="G51" s="98">
        <f t="shared" ref="G51" si="17">SUM(G39:G50)</f>
        <v>0</v>
      </c>
      <c r="H51" s="98"/>
      <c r="I51" s="99"/>
      <c r="J51" s="99"/>
      <c r="K51" s="99">
        <f ca="1">SUM(K39:K50)</f>
        <v>73.776523962557661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35">
        <f ca="1">RANDBETWEEN(3100000, 4100000)/100</f>
        <v>38700.949999999997</v>
      </c>
      <c r="F52" s="13">
        <f ca="1">RANDBETWEEN(30000, 57000)/100</f>
        <v>431.25</v>
      </c>
      <c r="G52" s="14"/>
      <c r="H52" s="18"/>
      <c r="I52" s="14"/>
      <c r="J52" s="28"/>
      <c r="K52" s="15">
        <f t="shared" ref="K52:K63" ca="1" si="18">E52/$E$3</f>
        <v>6.6122787343657405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35">
        <f t="shared" ref="E53:E63" ca="1" si="20">RANDBETWEEN(3100000, 4100000)/100</f>
        <v>38923.449999999997</v>
      </c>
      <c r="F53" s="13">
        <f t="shared" ref="F53:F63" ca="1" si="21">RANDBETWEEN(30000, 57000)/100</f>
        <v>429.59</v>
      </c>
      <c r="G53" s="14"/>
      <c r="H53" s="18"/>
      <c r="I53" s="14"/>
      <c r="J53" s="28"/>
      <c r="K53" s="15">
        <f t="shared" ca="1" si="18"/>
        <v>6.6502941323959277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35">
        <f t="shared" ca="1" si="20"/>
        <v>37402</v>
      </c>
      <c r="F54" s="13">
        <f t="shared" ca="1" si="21"/>
        <v>452.69</v>
      </c>
      <c r="G54" s="14"/>
      <c r="H54" s="18"/>
      <c r="I54" s="14"/>
      <c r="J54" s="28"/>
      <c r="K54" s="15">
        <f t="shared" ca="1" si="18"/>
        <v>6.3903456949441146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35">
        <f t="shared" ca="1" si="20"/>
        <v>35756.629999999997</v>
      </c>
      <c r="F55" s="13">
        <f t="shared" ca="1" si="21"/>
        <v>315.73</v>
      </c>
      <c r="G55" s="14"/>
      <c r="H55" s="18"/>
      <c r="I55" s="14"/>
      <c r="J55" s="28"/>
      <c r="K55" s="15">
        <f t="shared" ca="1" si="18"/>
        <v>6.1092248164860052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35">
        <f t="shared" ca="1" si="20"/>
        <v>40651.78</v>
      </c>
      <c r="F56" s="13">
        <f t="shared" ca="1" si="21"/>
        <v>434.66</v>
      </c>
      <c r="G56" s="14"/>
      <c r="H56" s="18"/>
      <c r="I56" s="14"/>
      <c r="J56" s="28"/>
      <c r="K56" s="15">
        <f t="shared" ca="1" si="18"/>
        <v>6.9455892015083487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35">
        <f t="shared" ca="1" si="20"/>
        <v>31534.85</v>
      </c>
      <c r="F57" s="13">
        <f t="shared" ca="1" si="21"/>
        <v>373.6</v>
      </c>
      <c r="G57" s="14"/>
      <c r="H57" s="18"/>
      <c r="I57" s="14"/>
      <c r="J57" s="28"/>
      <c r="K57" s="15">
        <f t="shared" ca="1" si="18"/>
        <v>5.3879095486393354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35">
        <f t="shared" ca="1" si="20"/>
        <v>32562.55</v>
      </c>
      <c r="F58" s="13">
        <f t="shared" ca="1" si="21"/>
        <v>416.85</v>
      </c>
      <c r="G58" s="14"/>
      <c r="H58" s="18"/>
      <c r="I58" s="14"/>
      <c r="J58" s="28"/>
      <c r="K58" s="15">
        <f t="shared" ca="1" si="18"/>
        <v>5.5634979736084293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35">
        <f t="shared" ca="1" si="20"/>
        <v>35789.31</v>
      </c>
      <c r="F59" s="13">
        <f t="shared" ca="1" si="21"/>
        <v>323.93</v>
      </c>
      <c r="G59" s="14"/>
      <c r="H59" s="18"/>
      <c r="I59" s="14"/>
      <c r="J59" s="28"/>
      <c r="K59" s="15">
        <f t="shared" ca="1" si="18"/>
        <v>6.1148083814641021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35">
        <f t="shared" ca="1" si="20"/>
        <v>39890.79</v>
      </c>
      <c r="F60" s="13">
        <f t="shared" ca="1" si="21"/>
        <v>469.16</v>
      </c>
      <c r="G60" s="14"/>
      <c r="H60" s="18"/>
      <c r="I60" s="14"/>
      <c r="J60" s="28"/>
      <c r="K60" s="15">
        <f t="shared" ca="1" si="18"/>
        <v>6.815569706016249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35">
        <f t="shared" ca="1" si="20"/>
        <v>39394.519999999997</v>
      </c>
      <c r="F61" s="13">
        <f t="shared" ca="1" si="21"/>
        <v>429.82</v>
      </c>
      <c r="G61" s="14"/>
      <c r="H61" s="18"/>
      <c r="I61" s="14"/>
      <c r="J61" s="28"/>
      <c r="K61" s="15">
        <f t="shared" ca="1" si="18"/>
        <v>6.7307791371153893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35">
        <f t="shared" ca="1" si="20"/>
        <v>37399.300000000003</v>
      </c>
      <c r="F62" s="13">
        <f t="shared" ca="1" si="21"/>
        <v>376.12</v>
      </c>
      <c r="G62" s="14"/>
      <c r="H62" s="18"/>
      <c r="I62" s="14"/>
      <c r="J62" s="28"/>
      <c r="K62" s="15">
        <f t="shared" ca="1" si="18"/>
        <v>6.3898843844961082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35">
        <f t="shared" ca="1" si="20"/>
        <v>38968.519999999997</v>
      </c>
      <c r="F63" s="13">
        <f t="shared" ca="1" si="21"/>
        <v>360.34</v>
      </c>
      <c r="G63" s="9"/>
      <c r="H63" s="27"/>
      <c r="I63" s="9"/>
      <c r="J63" s="26"/>
      <c r="K63" s="10">
        <f t="shared" ca="1" si="18"/>
        <v>6.6579945997632111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33">
        <f ca="1">SUM(E52:E63)</f>
        <v>446974.65</v>
      </c>
      <c r="F64" s="124">
        <f t="shared" ref="F64:G64" ca="1" si="23">SUM(F52:F63)</f>
        <v>4813.74</v>
      </c>
      <c r="G64" s="92">
        <f t="shared" si="23"/>
        <v>0</v>
      </c>
      <c r="H64" s="93"/>
      <c r="I64" s="93"/>
      <c r="J64" s="93"/>
      <c r="K64" s="93">
        <f ca="1">SUM(K52:K63)</f>
        <v>76.368176310802966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35">
        <f ca="1">RANDBETWEEN(2700000, 4600000)/100</f>
        <v>41099.24</v>
      </c>
      <c r="F67" s="13">
        <f ca="1">RANDBETWEEN(34000, 74000)/100</f>
        <v>535.52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7.0220403026435738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16768.489919999996</v>
      </c>
      <c r="S67" s="13">
        <f ca="1">F67*(1.3)</f>
        <v>696.17600000000004</v>
      </c>
      <c r="T67" s="33">
        <f>(I67/1000)*0.561</f>
        <v>0</v>
      </c>
    </row>
    <row r="68" spans="1:20">
      <c r="B68" s="17">
        <v>44593</v>
      </c>
      <c r="C68" s="14"/>
      <c r="D68" s="14"/>
      <c r="E68" s="135">
        <f t="shared" ref="E68:E78" ca="1" si="28">RANDBETWEEN(2700000, 4600000)/100</f>
        <v>45229.120000000003</v>
      </c>
      <c r="F68" s="13">
        <f t="shared" ref="F68:F78" ca="1" si="29">RANDBETWEEN(34000, 74000)/100</f>
        <v>545.92999999999995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7.7276539296858662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18453.480960000001</v>
      </c>
      <c r="S68" s="13">
        <f t="shared" ref="S68:S78" ca="1" si="33">F68*(1.3)</f>
        <v>709.70899999999995</v>
      </c>
      <c r="T68" s="33">
        <f t="shared" ref="T68:T74" si="34">(I68/1000)*0.561</f>
        <v>0</v>
      </c>
    </row>
    <row r="69" spans="1:20" ht="16.5" customHeight="1">
      <c r="B69" s="17">
        <v>44621</v>
      </c>
      <c r="C69" s="14"/>
      <c r="D69" s="14"/>
      <c r="E69" s="135">
        <f t="shared" ca="1" si="28"/>
        <v>38361.58</v>
      </c>
      <c r="F69" s="13">
        <f t="shared" ca="1" si="29"/>
        <v>706.9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6.5542954281657204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15651.52464</v>
      </c>
      <c r="S69" s="13">
        <f t="shared" ca="1" si="33"/>
        <v>918.97</v>
      </c>
      <c r="T69" s="33">
        <f t="shared" si="34"/>
        <v>0</v>
      </c>
    </row>
    <row r="70" spans="1:20">
      <c r="B70" s="17">
        <v>44652</v>
      </c>
      <c r="C70" s="14"/>
      <c r="D70" s="14"/>
      <c r="E70" s="135">
        <f t="shared" ca="1" si="28"/>
        <v>27743.29</v>
      </c>
      <c r="F70" s="13">
        <f t="shared" ca="1" si="29"/>
        <v>649.66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4.7400998292895062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11319.26232</v>
      </c>
      <c r="S70" s="13">
        <f t="shared" ca="1" si="33"/>
        <v>844.55799999999999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35">
        <f t="shared" ca="1" si="28"/>
        <v>35203.89</v>
      </c>
      <c r="F71" s="13">
        <f t="shared" ca="1" si="29"/>
        <v>693.55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6.0147860249929463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14363.187119999999</v>
      </c>
      <c r="S71" s="13">
        <f t="shared" ca="1" si="33"/>
        <v>901.61500000000001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35">
        <f t="shared" ca="1" si="28"/>
        <v>32355.73</v>
      </c>
      <c r="F72" s="13">
        <f t="shared" ca="1" si="29"/>
        <v>555.17999999999995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5.5281615932911112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13201.137839999999</v>
      </c>
      <c r="S72" s="13">
        <f t="shared" ca="1" si="33"/>
        <v>721.73399999999992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35">
        <f t="shared" ca="1" si="28"/>
        <v>37554</v>
      </c>
      <c r="F73" s="13">
        <f t="shared" ca="1" si="29"/>
        <v>701.02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6.4163157646096804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15322.031999999999</v>
      </c>
      <c r="S73" s="13">
        <f t="shared" ca="1" si="33"/>
        <v>911.32600000000002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35">
        <f t="shared" ca="1" si="28"/>
        <v>31690.7</v>
      </c>
      <c r="F74" s="13">
        <f t="shared" ca="1" si="29"/>
        <v>598.02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5.4145374128326145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12929.8056</v>
      </c>
      <c r="S74" s="13">
        <f t="shared" ca="1" si="33"/>
        <v>777.42600000000004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35">
        <f t="shared" ca="1" si="28"/>
        <v>38925.230000000003</v>
      </c>
      <c r="F75" s="13">
        <f t="shared" ca="1" si="29"/>
        <v>385.39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6.6505982555801699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15881.493840000001</v>
      </c>
      <c r="S75" s="13">
        <f t="shared" ca="1" si="33"/>
        <v>501.00700000000001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35">
        <f t="shared" ca="1" si="28"/>
        <v>33723.11</v>
      </c>
      <c r="F76" s="13">
        <f t="shared" ca="1" si="29"/>
        <v>677.79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5.7617862897338865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13759.02888</v>
      </c>
      <c r="S76" s="13">
        <f t="shared" ca="1" si="33"/>
        <v>881.12699999999995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35">
        <f t="shared" ca="1" si="28"/>
        <v>27290.81</v>
      </c>
      <c r="F77" s="13">
        <f t="shared" ca="1" si="29"/>
        <v>486.33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4.6627910324324313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11134.65048</v>
      </c>
      <c r="S77" s="13">
        <f t="shared" ca="1" si="33"/>
        <v>632.22900000000004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35">
        <f t="shared" ca="1" si="28"/>
        <v>32269.15</v>
      </c>
      <c r="F78" s="13">
        <f t="shared" ca="1" si="29"/>
        <v>524.36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5.5133689049250281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13165.813200000001</v>
      </c>
      <c r="S78" s="73">
        <f t="shared" ca="1" si="33"/>
        <v>681.66800000000001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33">
        <f ca="1">SUM(E67:E78)</f>
        <v>421445.85</v>
      </c>
      <c r="F79" s="124">
        <f ca="1">SUM(F67:F78)</f>
        <v>7059.6499999999987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72.00643476818253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171949.9068</v>
      </c>
      <c r="S79" s="93">
        <f t="shared" ref="S79:T79" ca="1" si="37">SUM(S67:S78)</f>
        <v>9177.5450000000001</v>
      </c>
      <c r="T79" s="96">
        <f t="shared" si="37"/>
        <v>0</v>
      </c>
    </row>
    <row r="80" spans="1:20">
      <c r="B80" s="85">
        <v>44927</v>
      </c>
      <c r="C80" s="87"/>
      <c r="D80" s="87"/>
      <c r="E80" s="136">
        <f ca="1">RANDBETWEEN(3000000, 4600000)/100</f>
        <v>39787.26</v>
      </c>
      <c r="F80" s="87">
        <f ca="1">RANDBETWEEN(22000, 78000)/100</f>
        <v>547.39</v>
      </c>
      <c r="G80" s="87"/>
      <c r="H80" s="87"/>
      <c r="I80" s="14">
        <f t="shared" ref="I80:I91" si="38">G80+H80</f>
        <v>0</v>
      </c>
      <c r="J80" s="87"/>
      <c r="K80" s="87"/>
      <c r="L80" s="109"/>
      <c r="M80" s="89">
        <f t="shared" ref="M80:M91" ca="1" si="39">E80/$E$3</f>
        <v>6.7978810131710121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16233.202079999999</v>
      </c>
      <c r="S80" s="74">
        <f ca="1">F80*(1.3)</f>
        <v>711.60699999999997</v>
      </c>
      <c r="T80" s="113">
        <f>(I80/1000)*0.561</f>
        <v>0</v>
      </c>
    </row>
    <row r="81" spans="1:20">
      <c r="B81" s="17">
        <v>44958</v>
      </c>
      <c r="C81" s="14"/>
      <c r="D81" s="14"/>
      <c r="E81" s="136">
        <f t="shared" ref="E81:E91" ca="1" si="43">RANDBETWEEN(3000000, 4600000)/100</f>
        <v>38513.339999999997</v>
      </c>
      <c r="F81" s="87">
        <f t="shared" ref="F81:F91" ca="1" si="44">RANDBETWEEN(22000, 78000)/100</f>
        <v>309.63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6.5802244924581288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15713.442719999997</v>
      </c>
      <c r="S81" s="13">
        <f t="shared" ref="S81:S91" ca="1" si="47">F81*(1.3)</f>
        <v>402.51900000000001</v>
      </c>
      <c r="T81" s="33">
        <f t="shared" ref="T81:T87" si="48">(I81/1000)*0.561</f>
        <v>0</v>
      </c>
    </row>
    <row r="82" spans="1:20" ht="16.5" customHeight="1">
      <c r="B82" s="17">
        <v>44986</v>
      </c>
      <c r="C82" s="14"/>
      <c r="D82" s="14"/>
      <c r="E82" s="136">
        <f t="shared" ca="1" si="43"/>
        <v>37651.93</v>
      </c>
      <c r="F82" s="87">
        <f t="shared" ca="1" si="44"/>
        <v>444.97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6.433047665414608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15361.987439999999</v>
      </c>
      <c r="S82" s="13">
        <f t="shared" ca="1" si="47"/>
        <v>578.46100000000001</v>
      </c>
      <c r="T82" s="33">
        <f t="shared" si="48"/>
        <v>0</v>
      </c>
    </row>
    <row r="83" spans="1:20">
      <c r="B83" s="17">
        <v>45017</v>
      </c>
      <c r="C83" s="14"/>
      <c r="D83" s="14"/>
      <c r="E83" s="136">
        <f t="shared" ca="1" si="43"/>
        <v>45032.65</v>
      </c>
      <c r="F83" s="87">
        <f t="shared" ca="1" si="44"/>
        <v>456.92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7.694085906085907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18373.321199999998</v>
      </c>
      <c r="S83" s="13">
        <f t="shared" ca="1" si="47"/>
        <v>593.99600000000009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136">
        <f t="shared" ca="1" si="43"/>
        <v>39232.870000000003</v>
      </c>
      <c r="F84" s="87">
        <f t="shared" ca="1" si="44"/>
        <v>480.45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6.7031603097375037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16007.01096</v>
      </c>
      <c r="S84" s="13">
        <f t="shared" ca="1" si="47"/>
        <v>624.58500000000004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136">
        <f t="shared" ca="1" si="43"/>
        <v>34680.870000000003</v>
      </c>
      <c r="F85" s="87">
        <f t="shared" ca="1" si="44"/>
        <v>618.69000000000005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5.9254250655423908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14149.794959999999</v>
      </c>
      <c r="S85" s="13">
        <f t="shared" ca="1" si="47"/>
        <v>804.29700000000014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136">
        <f t="shared" ca="1" si="43"/>
        <v>38499.93</v>
      </c>
      <c r="F86" s="87">
        <f t="shared" ca="1" si="44"/>
        <v>481.63</v>
      </c>
      <c r="G86" s="14"/>
      <c r="H86" s="14"/>
      <c r="I86" s="14">
        <f t="shared" si="38"/>
        <v>0</v>
      </c>
      <c r="J86" s="14"/>
      <c r="K86" s="14"/>
      <c r="L86" s="28"/>
      <c r="M86" s="15">
        <f t="shared" ca="1" si="39"/>
        <v>6.5779333172330299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15707.971439999999</v>
      </c>
      <c r="S86" s="13">
        <f t="shared" ca="1" si="47"/>
        <v>626.11900000000003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136">
        <f t="shared" ca="1" si="43"/>
        <v>30095.49</v>
      </c>
      <c r="F87" s="87">
        <f t="shared" ca="1" si="44"/>
        <v>402.1</v>
      </c>
      <c r="G87" s="14"/>
      <c r="H87" s="14"/>
      <c r="I87" s="14">
        <f t="shared" si="38"/>
        <v>0</v>
      </c>
      <c r="J87" s="14"/>
      <c r="K87" s="14"/>
      <c r="L87" s="28"/>
      <c r="M87" s="15">
        <f t="shared" ca="1" si="39"/>
        <v>5.1419866573641428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12278.959919999999</v>
      </c>
      <c r="S87" s="13">
        <f t="shared" ca="1" si="47"/>
        <v>522.73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136">
        <f t="shared" ca="1" si="43"/>
        <v>37078.99</v>
      </c>
      <c r="F88" s="87">
        <f t="shared" ca="1" si="44"/>
        <v>745.87</v>
      </c>
      <c r="G88" s="14"/>
      <c r="H88" s="14"/>
      <c r="I88" s="14">
        <f t="shared" si="38"/>
        <v>0</v>
      </c>
      <c r="J88" s="14"/>
      <c r="K88" s="14"/>
      <c r="L88" s="28"/>
      <c r="M88" s="15">
        <f t="shared" ca="1" si="39"/>
        <v>6.3351575883475713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15128.227919999998</v>
      </c>
      <c r="S88" s="13">
        <f t="shared" ca="1" si="47"/>
        <v>969.63100000000009</v>
      </c>
      <c r="T88" s="33">
        <f t="shared" ref="T88:T91" si="49">(I88/1000)*21.28</f>
        <v>0</v>
      </c>
    </row>
    <row r="89" spans="1:20" s="2" customFormat="1">
      <c r="B89" s="17">
        <v>45200</v>
      </c>
      <c r="C89" s="52"/>
      <c r="D89" s="14"/>
      <c r="E89" s="136">
        <f t="shared" ca="1" si="43"/>
        <v>41524.81</v>
      </c>
      <c r="F89" s="87">
        <f t="shared" ca="1" si="44"/>
        <v>516.57000000000005</v>
      </c>
      <c r="G89" s="14"/>
      <c r="H89" s="14"/>
      <c r="I89" s="14">
        <f t="shared" si="38"/>
        <v>0</v>
      </c>
      <c r="J89" s="14"/>
      <c r="K89" s="14"/>
      <c r="L89" s="28"/>
      <c r="M89" s="15">
        <f t="shared" ca="1" si="39"/>
        <v>7.094751372035514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16942.122479999998</v>
      </c>
      <c r="S89" s="13">
        <f t="shared" ca="1" si="47"/>
        <v>671.54100000000005</v>
      </c>
      <c r="T89" s="33">
        <f t="shared" si="49"/>
        <v>0</v>
      </c>
    </row>
    <row r="90" spans="1:20" s="2" customFormat="1">
      <c r="B90" s="17">
        <v>45231</v>
      </c>
      <c r="C90" s="52"/>
      <c r="D90" s="14"/>
      <c r="E90" s="136">
        <f t="shared" ca="1" si="43"/>
        <v>31167.55</v>
      </c>
      <c r="F90" s="87">
        <f t="shared" ca="1" si="44"/>
        <v>514.58000000000004</v>
      </c>
      <c r="G90" s="14"/>
      <c r="H90" s="14"/>
      <c r="I90" s="14">
        <f t="shared" si="38"/>
        <v>0</v>
      </c>
      <c r="J90" s="14"/>
      <c r="K90" s="14"/>
      <c r="L90" s="28"/>
      <c r="M90" s="15">
        <f t="shared" ca="1" si="39"/>
        <v>5.3251542421382663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12716.3604</v>
      </c>
      <c r="S90" s="13">
        <f t="shared" ca="1" si="47"/>
        <v>668.95400000000006</v>
      </c>
      <c r="T90" s="33">
        <f t="shared" si="49"/>
        <v>0</v>
      </c>
    </row>
    <row r="91" spans="1:20" s="2" customFormat="1" ht="14.65" thickBot="1">
      <c r="B91" s="101">
        <v>45261</v>
      </c>
      <c r="C91" s="102"/>
      <c r="D91" s="103"/>
      <c r="E91" s="136">
        <f t="shared" ca="1" si="43"/>
        <v>36639.410000000003</v>
      </c>
      <c r="F91" s="87">
        <f t="shared" ca="1" si="44"/>
        <v>496.23</v>
      </c>
      <c r="G91" s="103"/>
      <c r="H91" s="103"/>
      <c r="I91" s="103">
        <f t="shared" si="38"/>
        <v>0</v>
      </c>
      <c r="J91" s="103"/>
      <c r="K91" s="103"/>
      <c r="L91" s="104"/>
      <c r="M91" s="105">
        <f t="shared" ca="1" si="39"/>
        <v>6.2600528302976413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14948.879280000001</v>
      </c>
      <c r="S91" s="73">
        <f t="shared" ca="1" si="47"/>
        <v>645.09900000000005</v>
      </c>
      <c r="T91" s="108">
        <f t="shared" si="49"/>
        <v>0</v>
      </c>
    </row>
    <row r="92" spans="1:20" ht="14.65" thickBot="1">
      <c r="A92" s="91" t="s">
        <v>63</v>
      </c>
      <c r="B92" s="115"/>
      <c r="C92" s="115"/>
      <c r="D92" s="93"/>
      <c r="E92" s="133">
        <f ca="1">SUM(E80:E91)</f>
        <v>449905.1</v>
      </c>
      <c r="F92" s="124">
        <f ca="1">SUM(F80:F91)</f>
        <v>6015.0300000000007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134">
        <f ca="1">RANDBETWEEN(6100000, 9000000)/100</f>
        <v>84827.11</v>
      </c>
      <c r="F93" s="2">
        <f ca="1">RANDBETWEEN(58000, 62000)/100</f>
        <v>598.04</v>
      </c>
    </row>
    <row r="94" spans="1:20">
      <c r="B94" s="85">
        <v>45323</v>
      </c>
      <c r="E94" s="134">
        <f ca="1">RANDBETWEEN(6100000, 9000000)/100</f>
        <v>89700.13</v>
      </c>
      <c r="F94" s="2">
        <f ca="1">RANDBETWEEN(58000, 62000)/100</f>
        <v>583.75</v>
      </c>
    </row>
    <row r="95" spans="1:20">
      <c r="B95" s="85">
        <v>45352</v>
      </c>
      <c r="E95" s="134"/>
    </row>
    <row r="96" spans="1:20">
      <c r="B96" s="85">
        <v>45383</v>
      </c>
      <c r="E96" s="134"/>
    </row>
    <row r="97" spans="1:20">
      <c r="B97" s="85">
        <v>45413</v>
      </c>
      <c r="E97" s="134"/>
    </row>
    <row r="98" spans="1:20">
      <c r="B98" s="85">
        <v>45444</v>
      </c>
      <c r="E98" s="134"/>
    </row>
    <row r="99" spans="1:20">
      <c r="B99" s="85">
        <v>45474</v>
      </c>
      <c r="E99" s="134"/>
    </row>
    <row r="100" spans="1:20">
      <c r="B100" s="85">
        <v>45505</v>
      </c>
      <c r="E100" s="134"/>
    </row>
    <row r="101" spans="1:20">
      <c r="B101" s="85">
        <v>45536</v>
      </c>
      <c r="E101" s="134"/>
    </row>
    <row r="102" spans="1:20">
      <c r="B102" s="85">
        <v>45566</v>
      </c>
      <c r="E102" s="134"/>
    </row>
    <row r="103" spans="1:20">
      <c r="B103" s="85">
        <v>45597</v>
      </c>
      <c r="E103" s="134"/>
    </row>
    <row r="104" spans="1:20" ht="14.65" thickBot="1">
      <c r="B104" s="85">
        <v>45627</v>
      </c>
      <c r="E104" s="134"/>
    </row>
    <row r="105" spans="1:20" ht="14.65" thickBot="1">
      <c r="A105" s="91" t="s">
        <v>66</v>
      </c>
      <c r="B105" s="115"/>
      <c r="C105" s="115"/>
      <c r="D105" s="93"/>
      <c r="E105" s="133">
        <f ca="1">SUM(E93:E104)</f>
        <v>174527.24</v>
      </c>
      <c r="F105" s="139">
        <f ca="1">SUM(F93:F104)</f>
        <v>1181.79</v>
      </c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9A8A-77DA-4197-80CC-8E43CC7B9A29}">
  <dimension ref="A1:T105"/>
  <sheetViews>
    <sheetView topLeftCell="A73" zoomScaleNormal="100" workbookViewId="0">
      <selection activeCell="F86" sqref="F86"/>
    </sheetView>
  </sheetViews>
  <sheetFormatPr defaultColWidth="8.796875" defaultRowHeight="14.25"/>
  <cols>
    <col min="1" max="1" width="11.6640625" style="1" customWidth="1"/>
    <col min="2" max="2" width="12" style="1" customWidth="1"/>
    <col min="3" max="3" width="25.6640625" style="1" customWidth="1"/>
    <col min="4" max="4" width="20.6640625" style="2" customWidth="1"/>
    <col min="5" max="5" width="21" style="2" customWidth="1"/>
    <col min="6" max="7" width="25.6640625" style="1" customWidth="1"/>
    <col min="8" max="9" width="20.6640625" style="1" customWidth="1"/>
    <col min="10" max="12" width="15.664062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8" width="24.33203125" style="1" customWidth="1"/>
    <col min="19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73</v>
      </c>
      <c r="D3" s="14"/>
      <c r="E3" s="138">
        <v>58064.4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4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4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80.55" customHeight="1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29">
        <f ca="1">RANDBETWEEN(61000000, 78000000)/100</f>
        <v>708256.52</v>
      </c>
      <c r="F13" s="14">
        <f ca="1">RANDBETWEEN(670000, 830000)/100</f>
        <v>7847.58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12.197775573328924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29">
        <f t="shared" ref="E14:E24" ca="1" si="3">RANDBETWEEN(61000000, 78000000)/100</f>
        <v>648842.19999999995</v>
      </c>
      <c r="F14" s="14">
        <f t="shared" ref="F14:F24" ca="1" si="4">RANDBETWEEN(670000, 830000)/100</f>
        <v>8052.39</v>
      </c>
      <c r="G14" s="14"/>
      <c r="H14" s="14"/>
      <c r="I14" s="14"/>
      <c r="J14" s="16">
        <f t="shared" si="0"/>
        <v>21.666666666666668</v>
      </c>
      <c r="K14" s="15">
        <f t="shared" ca="1" si="1"/>
        <v>11.174526904609364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29">
        <f t="shared" ca="1" si="3"/>
        <v>731660.39</v>
      </c>
      <c r="F15" s="14">
        <f t="shared" ca="1" si="4"/>
        <v>6836.6</v>
      </c>
      <c r="G15" s="14"/>
      <c r="H15" s="14"/>
      <c r="I15" s="14"/>
      <c r="J15" s="16">
        <f t="shared" si="0"/>
        <v>21.666666666666668</v>
      </c>
      <c r="K15" s="15">
        <f t="shared" ca="1" si="1"/>
        <v>12.600843029463837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29">
        <f t="shared" ca="1" si="3"/>
        <v>748107.06</v>
      </c>
      <c r="F16" s="14">
        <f t="shared" ca="1" si="4"/>
        <v>8078.55</v>
      </c>
      <c r="G16" s="14"/>
      <c r="H16" s="14"/>
      <c r="I16" s="14"/>
      <c r="J16" s="16">
        <f t="shared" si="0"/>
        <v>21.666666666666668</v>
      </c>
      <c r="K16" s="15">
        <f t="shared" ca="1" si="1"/>
        <v>12.884091801516938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29">
        <f t="shared" ca="1" si="3"/>
        <v>751733.23</v>
      </c>
      <c r="F17" s="14">
        <f t="shared" ca="1" si="4"/>
        <v>7950.31</v>
      </c>
      <c r="G17" s="14"/>
      <c r="H17" s="14"/>
      <c r="I17" s="14"/>
      <c r="J17" s="16">
        <f t="shared" si="0"/>
        <v>21.666666666666668</v>
      </c>
      <c r="K17" s="15">
        <f t="shared" ca="1" si="1"/>
        <v>12.946542631974152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29">
        <f t="shared" ca="1" si="3"/>
        <v>631868.25</v>
      </c>
      <c r="F18" s="14">
        <f t="shared" ca="1" si="4"/>
        <v>7507.4</v>
      </c>
      <c r="G18" s="14"/>
      <c r="H18" s="14"/>
      <c r="I18" s="14"/>
      <c r="J18" s="16">
        <f t="shared" si="0"/>
        <v>21.666666666666668</v>
      </c>
      <c r="K18" s="15">
        <f t="shared" ca="1" si="1"/>
        <v>10.882197181061029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29">
        <f t="shared" ca="1" si="3"/>
        <v>683732.65</v>
      </c>
      <c r="F19" s="14">
        <f t="shared" ca="1" si="4"/>
        <v>6998.12</v>
      </c>
      <c r="G19" s="14"/>
      <c r="H19" s="14"/>
      <c r="I19" s="14"/>
      <c r="J19" s="16">
        <f t="shared" si="0"/>
        <v>21.666666666666668</v>
      </c>
      <c r="K19" s="15">
        <f t="shared" ca="1" si="1"/>
        <v>11.775419189727268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29">
        <f t="shared" ca="1" si="3"/>
        <v>658229.73</v>
      </c>
      <c r="F20" s="14">
        <f t="shared" ca="1" si="4"/>
        <v>7029.94</v>
      </c>
      <c r="G20" s="14"/>
      <c r="H20" s="14"/>
      <c r="I20" s="14"/>
      <c r="J20" s="16">
        <f t="shared" si="0"/>
        <v>21.666666666666668</v>
      </c>
      <c r="K20" s="15">
        <f t="shared" ca="1" si="1"/>
        <v>11.336201355736044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29">
        <f t="shared" ca="1" si="3"/>
        <v>619581.82999999996</v>
      </c>
      <c r="F21" s="14">
        <f t="shared" ca="1" si="4"/>
        <v>7192.35</v>
      </c>
      <c r="G21" s="14"/>
      <c r="H21" s="14"/>
      <c r="I21" s="14"/>
      <c r="J21" s="16">
        <f t="shared" si="0"/>
        <v>21.666666666666668</v>
      </c>
      <c r="K21" s="15">
        <f t="shared" ca="1" si="1"/>
        <v>10.670597302305715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29">
        <f t="shared" ca="1" si="3"/>
        <v>643620.25</v>
      </c>
      <c r="F22" s="14">
        <f t="shared" ca="1" si="4"/>
        <v>7856.94</v>
      </c>
      <c r="G22" s="14"/>
      <c r="H22" s="14"/>
      <c r="I22" s="14"/>
      <c r="J22" s="16">
        <f t="shared" si="0"/>
        <v>21.666666666666668</v>
      </c>
      <c r="K22" s="15">
        <f t="shared" ca="1" si="1"/>
        <v>11.084593141408504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29">
        <f t="shared" ca="1" si="3"/>
        <v>646292.11</v>
      </c>
      <c r="F23" s="14">
        <f t="shared" ca="1" si="4"/>
        <v>7032.62</v>
      </c>
      <c r="G23" s="14"/>
      <c r="H23" s="14"/>
      <c r="I23" s="14"/>
      <c r="J23" s="16">
        <f t="shared" si="0"/>
        <v>21.666666666666668</v>
      </c>
      <c r="K23" s="15">
        <f t="shared" ca="1" si="1"/>
        <v>11.130608600106088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29">
        <f t="shared" ca="1" si="3"/>
        <v>619489.93000000005</v>
      </c>
      <c r="F24" s="14">
        <f t="shared" ca="1" si="4"/>
        <v>7122.45</v>
      </c>
      <c r="G24" s="9"/>
      <c r="H24" s="9"/>
      <c r="I24" s="9"/>
      <c r="J24" s="25">
        <f t="shared" si="0"/>
        <v>21.666666666666668</v>
      </c>
      <c r="K24" s="10">
        <f t="shared" ca="1" si="1"/>
        <v>10.669014576918043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93">
        <f ca="1">SUM(E13:E24)</f>
        <v>8091414.1500000013</v>
      </c>
      <c r="F25" s="92">
        <f ca="1">SUM(F13:F24)</f>
        <v>89505.25</v>
      </c>
      <c r="G25" s="93"/>
      <c r="H25" s="93"/>
      <c r="I25" s="93"/>
      <c r="J25" s="93"/>
      <c r="K25" s="93">
        <f ca="1">E25/E3</f>
        <v>139.35241128815593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42">
        <f ca="1">RANDBETWEEN(65000000, 77000000)/100</f>
        <v>718935.11</v>
      </c>
      <c r="F26" s="13">
        <f ca="1">RANDBETWEEN(670000, 850000)/100</f>
        <v>6918.16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12.381684991147759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42">
        <f t="shared" ref="E27:E37" ca="1" si="10">RANDBETWEEN(65000000, 77000000)/100</f>
        <v>664923.98</v>
      </c>
      <c r="F27" s="13">
        <f t="shared" ref="F27:F37" ca="1" si="11">RANDBETWEEN(670000, 850000)/100</f>
        <v>8495.08</v>
      </c>
      <c r="G27" s="14"/>
      <c r="H27" s="14"/>
      <c r="I27" s="14"/>
      <c r="J27" s="16">
        <f t="shared" si="6"/>
        <v>21.666666666666668</v>
      </c>
      <c r="K27" s="15">
        <f t="shared" ca="1" si="7"/>
        <v>11.451491447427339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42">
        <f t="shared" ca="1" si="10"/>
        <v>680587.86</v>
      </c>
      <c r="F28" s="13">
        <f t="shared" ca="1" si="11"/>
        <v>7867.44</v>
      </c>
      <c r="G28" s="14"/>
      <c r="H28" s="14"/>
      <c r="I28" s="14"/>
      <c r="J28" s="16">
        <f t="shared" si="6"/>
        <v>21.666666666666668</v>
      </c>
      <c r="K28" s="15">
        <f t="shared" ca="1" si="7"/>
        <v>11.721258809184285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42">
        <f t="shared" ca="1" si="10"/>
        <v>681925.05</v>
      </c>
      <c r="F29" s="13">
        <f t="shared" ca="1" si="11"/>
        <v>7816.99</v>
      </c>
      <c r="G29" s="14"/>
      <c r="H29" s="14"/>
      <c r="I29" s="14"/>
      <c r="J29" s="16">
        <f t="shared" si="6"/>
        <v>21.666666666666668</v>
      </c>
      <c r="K29" s="15">
        <f t="shared" ca="1" si="7"/>
        <v>11.744288238576477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42">
        <f t="shared" ca="1" si="10"/>
        <v>752969.33</v>
      </c>
      <c r="F30" s="13">
        <f t="shared" ca="1" si="11"/>
        <v>8457.19</v>
      </c>
      <c r="G30" s="14"/>
      <c r="H30" s="14"/>
      <c r="I30" s="14"/>
      <c r="J30" s="16">
        <f t="shared" si="6"/>
        <v>21.666666666666668</v>
      </c>
      <c r="K30" s="15">
        <f t="shared" ca="1" si="7"/>
        <v>12.967831063439904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42">
        <f t="shared" ca="1" si="10"/>
        <v>742629.65</v>
      </c>
      <c r="F31" s="13">
        <f t="shared" ca="1" si="11"/>
        <v>8122.67</v>
      </c>
      <c r="G31" s="14"/>
      <c r="H31" s="14"/>
      <c r="I31" s="14"/>
      <c r="J31" s="16">
        <f t="shared" si="6"/>
        <v>21.666666666666668</v>
      </c>
      <c r="K31" s="15">
        <f t="shared" ca="1" si="7"/>
        <v>12.789758440627992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42">
        <f t="shared" ca="1" si="10"/>
        <v>737879.87</v>
      </c>
      <c r="F32" s="13">
        <f t="shared" ca="1" si="11"/>
        <v>8465.07</v>
      </c>
      <c r="G32" s="14"/>
      <c r="H32" s="14"/>
      <c r="I32" s="14"/>
      <c r="J32" s="16">
        <f t="shared" si="6"/>
        <v>21.666666666666668</v>
      </c>
      <c r="K32" s="15">
        <f t="shared" ca="1" si="7"/>
        <v>12.707956510357464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42">
        <f t="shared" ca="1" si="10"/>
        <v>705486.75</v>
      </c>
      <c r="F33" s="13">
        <f t="shared" ca="1" si="11"/>
        <v>8320.7999999999993</v>
      </c>
      <c r="G33" s="14"/>
      <c r="H33" s="14"/>
      <c r="I33" s="14"/>
      <c r="J33" s="16">
        <f t="shared" si="6"/>
        <v>21.666666666666668</v>
      </c>
      <c r="K33" s="15">
        <f t="shared" ca="1" si="7"/>
        <v>12.150073883481101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42">
        <f t="shared" ca="1" si="10"/>
        <v>686386.64</v>
      </c>
      <c r="F34" s="13">
        <f t="shared" ca="1" si="11"/>
        <v>7258.54</v>
      </c>
      <c r="G34" s="14"/>
      <c r="H34" s="14"/>
      <c r="I34" s="14"/>
      <c r="J34" s="16">
        <f t="shared" si="6"/>
        <v>21.666666666666668</v>
      </c>
      <c r="K34" s="15">
        <f t="shared" ca="1" si="7"/>
        <v>11.821126886698218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42">
        <f t="shared" ca="1" si="10"/>
        <v>728842.43</v>
      </c>
      <c r="F35" s="13">
        <f t="shared" ca="1" si="11"/>
        <v>7624.61</v>
      </c>
      <c r="G35" s="14"/>
      <c r="H35" s="14"/>
      <c r="I35" s="14"/>
      <c r="J35" s="16">
        <f t="shared" si="6"/>
        <v>21.666666666666668</v>
      </c>
      <c r="K35" s="15">
        <f t="shared" ca="1" si="7"/>
        <v>12.552311399067243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42">
        <f t="shared" ca="1" si="10"/>
        <v>682069.37</v>
      </c>
      <c r="F36" s="13">
        <f t="shared" ca="1" si="11"/>
        <v>8121.17</v>
      </c>
      <c r="G36" s="14"/>
      <c r="H36" s="14"/>
      <c r="I36" s="14"/>
      <c r="J36" s="16">
        <f t="shared" si="6"/>
        <v>21.666666666666668</v>
      </c>
      <c r="K36" s="15">
        <f t="shared" ca="1" si="7"/>
        <v>11.746773754658619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42">
        <f t="shared" ca="1" si="10"/>
        <v>748223.69</v>
      </c>
      <c r="F37" s="13">
        <f t="shared" ca="1" si="11"/>
        <v>7610.97</v>
      </c>
      <c r="G37" s="9"/>
      <c r="H37" s="9"/>
      <c r="I37" s="9"/>
      <c r="J37" s="25">
        <f t="shared" si="6"/>
        <v>21.666666666666668</v>
      </c>
      <c r="K37" s="10">
        <f t="shared" ca="1" si="7"/>
        <v>12.886100433311977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93">
        <f ca="1">SUM(E26:E37)</f>
        <v>8530859.7300000004</v>
      </c>
      <c r="F38" s="92">
        <f ca="1">SUM(F26:F37)</f>
        <v>95078.689999999988</v>
      </c>
      <c r="G38" s="93"/>
      <c r="H38" s="93"/>
      <c r="I38" s="93"/>
      <c r="J38" s="93"/>
      <c r="K38" s="96">
        <f ca="1">SUM(K26:K37)</f>
        <v>146.92065585797837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40">
        <f ca="1">RANDBETWEEN(57000000, 68000000)/100</f>
        <v>613528.55000000005</v>
      </c>
      <c r="F39" s="141">
        <f ca="1">RANDBETWEEN(390000, 720000)/100</f>
        <v>5882.01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10.566346160470099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40">
        <f t="shared" ref="E40:E50" ca="1" si="14">RANDBETWEEN(57000000, 68000000)/100</f>
        <v>613343.1</v>
      </c>
      <c r="F40" s="141">
        <f t="shared" ref="F40:F50" ca="1" si="15">RANDBETWEEN(390000, 720000)/100</f>
        <v>4067.81</v>
      </c>
      <c r="G40" s="14"/>
      <c r="H40" s="14"/>
      <c r="I40" s="14"/>
      <c r="J40" s="16">
        <f>$L$11</f>
        <v>21.666666666666668</v>
      </c>
      <c r="K40" s="15">
        <f t="shared" ca="1" si="12"/>
        <v>10.563152292971251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40">
        <f t="shared" ca="1" si="14"/>
        <v>574180.88</v>
      </c>
      <c r="F41" s="141">
        <f t="shared" ca="1" si="15"/>
        <v>5117.6000000000004</v>
      </c>
      <c r="G41" s="14"/>
      <c r="H41" s="14"/>
      <c r="I41" s="14"/>
      <c r="J41" s="16">
        <f>$L$11</f>
        <v>21.666666666666668</v>
      </c>
      <c r="K41" s="15">
        <f t="shared" ca="1" si="12"/>
        <v>9.8886904884920881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40">
        <f t="shared" ca="1" si="14"/>
        <v>602269.19999999995</v>
      </c>
      <c r="F42" s="141">
        <f t="shared" ca="1" si="15"/>
        <v>4775.09</v>
      </c>
      <c r="G42" s="14"/>
      <c r="H42" s="14"/>
      <c r="I42" s="14"/>
      <c r="J42" s="28">
        <v>20</v>
      </c>
      <c r="K42" s="15">
        <f t="shared" ca="1" si="12"/>
        <v>10.372434744869489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40">
        <f t="shared" ca="1" si="14"/>
        <v>612608.57999999996</v>
      </c>
      <c r="F43" s="141">
        <f t="shared" ca="1" si="15"/>
        <v>6098.42</v>
      </c>
      <c r="G43" s="14"/>
      <c r="H43" s="14"/>
      <c r="I43" s="14"/>
      <c r="J43" s="28">
        <v>18</v>
      </c>
      <c r="K43" s="15">
        <f t="shared" ca="1" si="12"/>
        <v>10.550502201004401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40">
        <f t="shared" ca="1" si="14"/>
        <v>634749.24</v>
      </c>
      <c r="F44" s="141">
        <f t="shared" ca="1" si="15"/>
        <v>4497.49</v>
      </c>
      <c r="G44" s="14"/>
      <c r="H44" s="18"/>
      <c r="I44" s="14"/>
      <c r="J44" s="28">
        <v>22</v>
      </c>
      <c r="K44" s="15">
        <f t="shared" ca="1" si="12"/>
        <v>10.931814330295326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40">
        <f t="shared" ca="1" si="14"/>
        <v>572665.44999999995</v>
      </c>
      <c r="F45" s="141">
        <f t="shared" ca="1" si="15"/>
        <v>5311.49</v>
      </c>
      <c r="G45" s="14"/>
      <c r="H45" s="18"/>
      <c r="I45" s="14"/>
      <c r="J45" s="28">
        <v>21</v>
      </c>
      <c r="K45" s="15">
        <f t="shared" ca="1" si="12"/>
        <v>9.8625913640716156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40">
        <f t="shared" ca="1" si="14"/>
        <v>621479.54</v>
      </c>
      <c r="F46" s="141">
        <f t="shared" ca="1" si="15"/>
        <v>5465.73</v>
      </c>
      <c r="G46" s="14"/>
      <c r="H46" s="18"/>
      <c r="I46" s="14"/>
      <c r="J46" s="28">
        <v>20</v>
      </c>
      <c r="K46" s="15">
        <f t="shared" ca="1" si="12"/>
        <v>10.703280151004746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40">
        <f t="shared" ca="1" si="14"/>
        <v>657027.28</v>
      </c>
      <c r="F47" s="141">
        <f t="shared" ca="1" si="15"/>
        <v>7117.84</v>
      </c>
      <c r="G47" s="14"/>
      <c r="H47" s="18"/>
      <c r="I47" s="14"/>
      <c r="J47" s="28">
        <v>22</v>
      </c>
      <c r="K47" s="15">
        <f t="shared" ca="1" si="12"/>
        <v>11.315492453207129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40">
        <f t="shared" ca="1" si="14"/>
        <v>607198.71</v>
      </c>
      <c r="F48" s="141">
        <f t="shared" ca="1" si="15"/>
        <v>5072.25</v>
      </c>
      <c r="G48" s="14"/>
      <c r="H48" s="18"/>
      <c r="I48" s="14"/>
      <c r="J48" s="28">
        <v>22</v>
      </c>
      <c r="K48" s="15">
        <f t="shared" ca="1" si="12"/>
        <v>10.457332031330729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40">
        <f t="shared" ca="1" si="14"/>
        <v>604314.96</v>
      </c>
      <c r="F49" s="141">
        <f t="shared" ca="1" si="15"/>
        <v>5077.22</v>
      </c>
      <c r="G49" s="14"/>
      <c r="H49" s="18"/>
      <c r="I49" s="14"/>
      <c r="J49" s="28">
        <v>21</v>
      </c>
      <c r="K49" s="15">
        <f t="shared" ca="1" si="12"/>
        <v>10.40766734866803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40">
        <f t="shared" ca="1" si="14"/>
        <v>581192.35</v>
      </c>
      <c r="F50" s="141">
        <f t="shared" ca="1" si="15"/>
        <v>5373.57</v>
      </c>
      <c r="G50" s="9"/>
      <c r="H50" s="27"/>
      <c r="I50" s="9"/>
      <c r="J50" s="26">
        <v>22</v>
      </c>
      <c r="K50" s="10">
        <f t="shared" ca="1" si="12"/>
        <v>10.009443824443204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99">
        <f ca="1">SUM(E39:E50)</f>
        <v>7294557.8399999999</v>
      </c>
      <c r="F51" s="98">
        <f ca="1">SUM(F39:F50)</f>
        <v>63856.52</v>
      </c>
      <c r="G51" s="98">
        <f t="shared" ref="G51" si="17">SUM(G39:G50)</f>
        <v>0</v>
      </c>
      <c r="H51" s="98"/>
      <c r="I51" s="99"/>
      <c r="J51" s="99"/>
      <c r="K51" s="99">
        <f ca="1">SUM(K39:K50)</f>
        <v>125.6287473908281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42">
        <f ca="1">RANDBETWEEN(52000000, 70000000)/100</f>
        <v>636733.98</v>
      </c>
      <c r="F52" s="29">
        <f t="shared" ref="F52:F59" ca="1" si="18">RANDBETWEEN(340000, 530000)/100</f>
        <v>3560.58</v>
      </c>
      <c r="G52" s="14"/>
      <c r="H52" s="18"/>
      <c r="I52" s="14"/>
      <c r="J52" s="28"/>
      <c r="K52" s="15">
        <f t="shared" ref="K52:K63" ca="1" si="19">E52/$E$3</f>
        <v>10.965996031992063</v>
      </c>
      <c r="L52" s="14" t="e">
        <f t="shared" ref="L52:L63" si="20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42">
        <f t="shared" ref="E53:E63" ca="1" si="21">RANDBETWEEN(52000000, 70000000)/100</f>
        <v>696785.24</v>
      </c>
      <c r="F53" s="29">
        <f t="shared" ca="1" si="18"/>
        <v>4737.18</v>
      </c>
      <c r="G53" s="14"/>
      <c r="H53" s="18"/>
      <c r="I53" s="14"/>
      <c r="J53" s="28"/>
      <c r="K53" s="15">
        <f t="shared" ca="1" si="19"/>
        <v>12.000214244872934</v>
      </c>
      <c r="L53" s="14" t="e">
        <f t="shared" si="20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42">
        <f t="shared" ca="1" si="21"/>
        <v>521519.59</v>
      </c>
      <c r="F54" s="29">
        <f t="shared" ca="1" si="18"/>
        <v>3924.2</v>
      </c>
      <c r="G54" s="14"/>
      <c r="H54" s="18"/>
      <c r="I54" s="14"/>
      <c r="J54" s="28"/>
      <c r="K54" s="15">
        <f t="shared" ca="1" si="19"/>
        <v>8.9817442357106945</v>
      </c>
      <c r="L54" s="14" t="e">
        <f t="shared" si="20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42">
        <f t="shared" ca="1" si="21"/>
        <v>579564.25</v>
      </c>
      <c r="F55" s="29">
        <f t="shared" ca="1" si="18"/>
        <v>5070.18</v>
      </c>
      <c r="G55" s="14"/>
      <c r="H55" s="18"/>
      <c r="I55" s="14"/>
      <c r="J55" s="28"/>
      <c r="K55" s="15">
        <f t="shared" ca="1" si="19"/>
        <v>9.9814042683640913</v>
      </c>
      <c r="L55" s="14" t="e">
        <f t="shared" si="20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42">
        <f t="shared" ca="1" si="21"/>
        <v>623612.68000000005</v>
      </c>
      <c r="F56" s="29">
        <f t="shared" ca="1" si="18"/>
        <v>3608.92</v>
      </c>
      <c r="G56" s="14"/>
      <c r="H56" s="18"/>
      <c r="I56" s="14"/>
      <c r="J56" s="28"/>
      <c r="K56" s="15">
        <f t="shared" ca="1" si="19"/>
        <v>10.740017635590828</v>
      </c>
      <c r="L56" s="14" t="e">
        <f t="shared" si="20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42">
        <f t="shared" ca="1" si="21"/>
        <v>657061.19999999995</v>
      </c>
      <c r="F57" s="29">
        <f t="shared" ca="1" si="18"/>
        <v>3664.02</v>
      </c>
      <c r="G57" s="14"/>
      <c r="H57" s="18"/>
      <c r="I57" s="14"/>
      <c r="J57" s="28"/>
      <c r="K57" s="15">
        <f t="shared" ca="1" si="19"/>
        <v>11.316076632153264</v>
      </c>
      <c r="L57" s="14" t="e">
        <f t="shared" si="20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42">
        <f t="shared" ca="1" si="21"/>
        <v>692979.04</v>
      </c>
      <c r="F58" s="29">
        <f t="shared" ca="1" si="18"/>
        <v>4254.09</v>
      </c>
      <c r="G58" s="14"/>
      <c r="H58" s="18"/>
      <c r="I58" s="14"/>
      <c r="J58" s="28"/>
      <c r="K58" s="15">
        <f t="shared" ca="1" si="19"/>
        <v>11.934662891548006</v>
      </c>
      <c r="L58" s="14" t="e">
        <f t="shared" si="20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42">
        <f t="shared" ca="1" si="21"/>
        <v>562251.06999999995</v>
      </c>
      <c r="F59" s="29">
        <f t="shared" ca="1" si="18"/>
        <v>4621.63</v>
      </c>
      <c r="G59" s="14"/>
      <c r="H59" s="18"/>
      <c r="I59" s="14"/>
      <c r="J59" s="28"/>
      <c r="K59" s="15">
        <f t="shared" ca="1" si="19"/>
        <v>9.6832322386866991</v>
      </c>
      <c r="L59" s="14" t="e">
        <f t="shared" si="20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42">
        <f t="shared" ca="1" si="21"/>
        <v>665877.28</v>
      </c>
      <c r="F60" s="29">
        <f ca="1">RANDBETWEEN(340000, 530000)/100</f>
        <v>4395.4399999999996</v>
      </c>
      <c r="G60" s="14"/>
      <c r="H60" s="18"/>
      <c r="I60" s="14"/>
      <c r="J60" s="28"/>
      <c r="K60" s="15">
        <f t="shared" ca="1" si="19"/>
        <v>11.467909424707738</v>
      </c>
      <c r="L60" s="14" t="e">
        <f t="shared" si="20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42">
        <f t="shared" ca="1" si="21"/>
        <v>599439.29</v>
      </c>
      <c r="F61" s="29">
        <f t="shared" ref="F61:F63" ca="1" si="23">RANDBETWEEN(340000, 530000)/100</f>
        <v>5259.12</v>
      </c>
      <c r="G61" s="14"/>
      <c r="H61" s="18"/>
      <c r="I61" s="14"/>
      <c r="J61" s="28"/>
      <c r="K61" s="15">
        <f t="shared" ca="1" si="19"/>
        <v>10.323697308505729</v>
      </c>
      <c r="L61" s="14" t="e">
        <f t="shared" si="20"/>
        <v>#DIV/0!</v>
      </c>
      <c r="M61" s="13" t="e">
        <f>#REF!*1000/(H61+0.25*I61)/J61</f>
        <v>#REF!</v>
      </c>
      <c r="N61" s="12"/>
    </row>
    <row r="62" spans="1:14" s="2" customFormat="1">
      <c r="B62" s="17">
        <v>44501</v>
      </c>
      <c r="C62" s="14"/>
      <c r="D62" s="14"/>
      <c r="E62" s="142">
        <f t="shared" ca="1" si="21"/>
        <v>672854.9</v>
      </c>
      <c r="F62" s="29">
        <f t="shared" ca="1" si="23"/>
        <v>3487.85</v>
      </c>
      <c r="G62" s="14"/>
      <c r="H62" s="18"/>
      <c r="I62" s="14"/>
      <c r="J62" s="28"/>
      <c r="K62" s="15">
        <f t="shared" ca="1" si="19"/>
        <v>11.588079787270686</v>
      </c>
      <c r="L62" s="14" t="e">
        <f t="shared" si="20"/>
        <v>#DIV/0!</v>
      </c>
      <c r="M62" s="13" t="e">
        <f ca="1">F61*1000/(H62+0.25*I62)/J62</f>
        <v>#DIV/0!</v>
      </c>
      <c r="N62" s="12"/>
    </row>
    <row r="63" spans="1:14" s="2" customFormat="1" ht="14.65" thickBot="1">
      <c r="B63" s="11">
        <v>44531</v>
      </c>
      <c r="C63" s="9"/>
      <c r="D63" s="9"/>
      <c r="E63" s="142">
        <f t="shared" ca="1" si="21"/>
        <v>602856.42000000004</v>
      </c>
      <c r="F63" s="29">
        <f t="shared" ca="1" si="23"/>
        <v>4424.55</v>
      </c>
      <c r="G63" s="9"/>
      <c r="H63" s="27"/>
      <c r="I63" s="9"/>
      <c r="J63" s="26"/>
      <c r="K63" s="10">
        <f t="shared" ca="1" si="19"/>
        <v>10.382547998429331</v>
      </c>
      <c r="L63" s="9" t="e">
        <f t="shared" si="20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92">
        <f ca="1">SUM(E52:E63)</f>
        <v>7511534.9400000013</v>
      </c>
      <c r="F64" s="92">
        <f t="shared" ref="F64:G64" ca="1" si="24">SUM(F52:F63)</f>
        <v>51007.76</v>
      </c>
      <c r="G64" s="92">
        <f t="shared" si="24"/>
        <v>0</v>
      </c>
      <c r="H64" s="93"/>
      <c r="I64" s="93"/>
      <c r="J64" s="93"/>
      <c r="K64" s="93">
        <f ca="1">SUM(K52:K63)</f>
        <v>129.36558269783205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38">
        <f ca="1">RANDBETWEEN(48000000, 62000000)/100</f>
        <v>606543.1</v>
      </c>
      <c r="F67" s="14">
        <f ca="1">RANDBETWEEN(330000, 490000)/100</f>
        <v>4854.83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5">E67/$E$3</f>
        <v>10.446040947637449</v>
      </c>
      <c r="N67" s="14" t="e">
        <f t="shared" ref="N67:N78" si="26">(C67/$E$4)*(55/60)</f>
        <v>#DIV/0!</v>
      </c>
      <c r="O67" s="13" t="e">
        <f t="shared" ref="O67:O78" ca="1" si="27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8">E67*0.408</f>
        <v>247469.58479999998</v>
      </c>
      <c r="S67" s="13">
        <f ca="1">F67*(1.3)</f>
        <v>6311.2790000000005</v>
      </c>
      <c r="T67" s="33">
        <f>(I67/1000)*0.561</f>
        <v>0</v>
      </c>
    </row>
    <row r="68" spans="1:20">
      <c r="B68" s="17">
        <v>44593</v>
      </c>
      <c r="C68" s="14"/>
      <c r="D68" s="14"/>
      <c r="E68" s="138">
        <f t="shared" ref="E68:E78" ca="1" si="29">RANDBETWEEN(48000000, 62000000)/100</f>
        <v>500951.73</v>
      </c>
      <c r="F68" s="14">
        <f t="shared" ref="F68:F78" ca="1" si="30">RANDBETWEEN(330000, 490000)/100</f>
        <v>4092.12</v>
      </c>
      <c r="G68" s="14"/>
      <c r="H68" s="14"/>
      <c r="I68" s="14">
        <f t="shared" ref="I68:I70" si="31">G68+H68</f>
        <v>0</v>
      </c>
      <c r="J68" s="14"/>
      <c r="K68" s="14"/>
      <c r="L68" s="28"/>
      <c r="M68" s="15">
        <f t="shared" ca="1" si="25"/>
        <v>8.6275192717052089</v>
      </c>
      <c r="N68" s="14" t="e">
        <f t="shared" si="26"/>
        <v>#DIV/0!</v>
      </c>
      <c r="O68" s="13" t="e">
        <f t="shared" ca="1" si="27"/>
        <v>#DIV/0!</v>
      </c>
      <c r="P68" s="35" t="e">
        <f t="shared" ref="P68:P78" si="32">I68/(J68+K68)/L68</f>
        <v>#DIV/0!</v>
      </c>
      <c r="Q68" s="36" t="e">
        <f t="shared" ref="Q68:Q78" si="33">H68/I68*100</f>
        <v>#DIV/0!</v>
      </c>
      <c r="R68" s="34">
        <f t="shared" ca="1" si="28"/>
        <v>204388.30583999999</v>
      </c>
      <c r="S68" s="13">
        <f t="shared" ref="S68:S78" ca="1" si="34">F68*(1.3)</f>
        <v>5319.7560000000003</v>
      </c>
      <c r="T68" s="33">
        <f t="shared" ref="T68:T74" si="35">(I68/1000)*0.561</f>
        <v>0</v>
      </c>
    </row>
    <row r="69" spans="1:20" ht="16.25" customHeight="1">
      <c r="B69" s="17">
        <v>44621</v>
      </c>
      <c r="C69" s="14"/>
      <c r="D69" s="14"/>
      <c r="E69" s="138">
        <f t="shared" ca="1" si="29"/>
        <v>530755.38</v>
      </c>
      <c r="F69" s="14">
        <f t="shared" ca="1" si="30"/>
        <v>3358.04</v>
      </c>
      <c r="G69" s="14"/>
      <c r="H69" s="14"/>
      <c r="I69" s="14">
        <f t="shared" si="31"/>
        <v>0</v>
      </c>
      <c r="J69" s="14"/>
      <c r="K69" s="14"/>
      <c r="L69" s="28"/>
      <c r="M69" s="15">
        <f t="shared" ca="1" si="25"/>
        <v>9.1408053816107628</v>
      </c>
      <c r="N69" s="14" t="e">
        <f t="shared" si="26"/>
        <v>#DIV/0!</v>
      </c>
      <c r="O69" s="13" t="e">
        <f t="shared" ca="1" si="27"/>
        <v>#DIV/0!</v>
      </c>
      <c r="P69" s="35" t="e">
        <f t="shared" si="32"/>
        <v>#DIV/0!</v>
      </c>
      <c r="Q69" s="36" t="e">
        <f t="shared" si="33"/>
        <v>#DIV/0!</v>
      </c>
      <c r="R69" s="34">
        <f t="shared" ca="1" si="28"/>
        <v>216548.19503999999</v>
      </c>
      <c r="S69" s="13">
        <f t="shared" ca="1" si="34"/>
        <v>4365.4520000000002</v>
      </c>
      <c r="T69" s="33">
        <f t="shared" si="35"/>
        <v>0</v>
      </c>
    </row>
    <row r="70" spans="1:20">
      <c r="B70" s="17">
        <v>44652</v>
      </c>
      <c r="C70" s="14"/>
      <c r="D70" s="14"/>
      <c r="E70" s="138">
        <f t="shared" ca="1" si="29"/>
        <v>553646.97</v>
      </c>
      <c r="F70" s="14">
        <f t="shared" ca="1" si="30"/>
        <v>3939.31</v>
      </c>
      <c r="G70" s="14"/>
      <c r="H70" s="14"/>
      <c r="I70" s="14">
        <f t="shared" si="31"/>
        <v>0</v>
      </c>
      <c r="J70" s="14"/>
      <c r="K70" s="14"/>
      <c r="L70" s="28"/>
      <c r="M70" s="15">
        <f t="shared" ca="1" si="25"/>
        <v>9.5350502201004392</v>
      </c>
      <c r="N70" s="14" t="e">
        <f t="shared" si="26"/>
        <v>#DIV/0!</v>
      </c>
      <c r="O70" s="13" t="e">
        <f t="shared" ca="1" si="27"/>
        <v>#DIV/0!</v>
      </c>
      <c r="P70" s="35" t="e">
        <f t="shared" si="32"/>
        <v>#DIV/0!</v>
      </c>
      <c r="Q70" s="36" t="e">
        <f t="shared" si="33"/>
        <v>#DIV/0!</v>
      </c>
      <c r="R70" s="34">
        <f t="shared" ca="1" si="28"/>
        <v>225887.96375999998</v>
      </c>
      <c r="S70" s="13">
        <f t="shared" ca="1" si="34"/>
        <v>5121.1030000000001</v>
      </c>
      <c r="T70" s="33">
        <f t="shared" si="35"/>
        <v>0</v>
      </c>
    </row>
    <row r="71" spans="1:20" s="2" customFormat="1">
      <c r="B71" s="17">
        <v>44682</v>
      </c>
      <c r="C71" s="14"/>
      <c r="D71" s="14"/>
      <c r="E71" s="138">
        <f t="shared" ca="1" si="29"/>
        <v>577631.64</v>
      </c>
      <c r="F71" s="14">
        <f t="shared" ca="1" si="30"/>
        <v>3592.62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5"/>
        <v>9.9481203629073924</v>
      </c>
      <c r="N71" s="14" t="e">
        <f t="shared" si="26"/>
        <v>#DIV/0!</v>
      </c>
      <c r="O71" s="13" t="e">
        <f t="shared" ca="1" si="27"/>
        <v>#DIV/0!</v>
      </c>
      <c r="P71" s="35" t="e">
        <f t="shared" si="32"/>
        <v>#DIV/0!</v>
      </c>
      <c r="Q71" s="36" t="e">
        <f t="shared" si="33"/>
        <v>#DIV/0!</v>
      </c>
      <c r="R71" s="34">
        <f t="shared" ca="1" si="28"/>
        <v>235673.70911999998</v>
      </c>
      <c r="S71" s="13">
        <f t="shared" ca="1" si="34"/>
        <v>4670.4059999999999</v>
      </c>
      <c r="T71" s="33">
        <f t="shared" si="35"/>
        <v>0</v>
      </c>
    </row>
    <row r="72" spans="1:20" s="2" customFormat="1">
      <c r="B72" s="17">
        <v>44713</v>
      </c>
      <c r="C72" s="14"/>
      <c r="D72" s="14"/>
      <c r="E72" s="138">
        <f t="shared" ca="1" si="29"/>
        <v>569669.51</v>
      </c>
      <c r="F72" s="14">
        <f t="shared" ca="1" si="30"/>
        <v>4037.52</v>
      </c>
      <c r="G72" s="14"/>
      <c r="H72" s="14"/>
      <c r="I72" s="14">
        <f t="shared" ref="I72:I78" si="36">G72+H72</f>
        <v>0</v>
      </c>
      <c r="J72" s="14"/>
      <c r="K72" s="14"/>
      <c r="L72" s="28"/>
      <c r="M72" s="15">
        <f t="shared" ca="1" si="25"/>
        <v>9.8109945164334764</v>
      </c>
      <c r="N72" s="14" t="e">
        <f t="shared" si="26"/>
        <v>#DIV/0!</v>
      </c>
      <c r="O72" s="13" t="e">
        <f t="shared" ca="1" si="27"/>
        <v>#DIV/0!</v>
      </c>
      <c r="P72" s="35" t="e">
        <f t="shared" si="32"/>
        <v>#DIV/0!</v>
      </c>
      <c r="Q72" s="36" t="e">
        <f t="shared" si="33"/>
        <v>#DIV/0!</v>
      </c>
      <c r="R72" s="34">
        <f t="shared" ca="1" si="28"/>
        <v>232425.16008</v>
      </c>
      <c r="S72" s="13">
        <f t="shared" ca="1" si="34"/>
        <v>5248.7759999999998</v>
      </c>
      <c r="T72" s="33">
        <f t="shared" si="35"/>
        <v>0</v>
      </c>
    </row>
    <row r="73" spans="1:20" s="2" customFormat="1">
      <c r="B73" s="17">
        <v>44743</v>
      </c>
      <c r="C73" s="14"/>
      <c r="D73" s="14"/>
      <c r="E73" s="138">
        <f t="shared" ca="1" si="29"/>
        <v>501149.87</v>
      </c>
      <c r="F73" s="14">
        <f t="shared" ca="1" si="30"/>
        <v>3499.56</v>
      </c>
      <c r="G73" s="14"/>
      <c r="H73" s="14"/>
      <c r="I73" s="14">
        <f t="shared" si="36"/>
        <v>0</v>
      </c>
      <c r="J73" s="14"/>
      <c r="K73" s="14"/>
      <c r="L73" s="28"/>
      <c r="M73" s="15">
        <f t="shared" ca="1" si="25"/>
        <v>8.630931689641157</v>
      </c>
      <c r="N73" s="14" t="e">
        <f t="shared" si="26"/>
        <v>#DIV/0!</v>
      </c>
      <c r="O73" s="13" t="e">
        <f t="shared" ca="1" si="27"/>
        <v>#DIV/0!</v>
      </c>
      <c r="P73" s="35" t="e">
        <f t="shared" si="32"/>
        <v>#DIV/0!</v>
      </c>
      <c r="Q73" s="36" t="e">
        <f t="shared" si="33"/>
        <v>#DIV/0!</v>
      </c>
      <c r="R73" s="34">
        <f t="shared" ca="1" si="28"/>
        <v>204469.14695999998</v>
      </c>
      <c r="S73" s="13">
        <f t="shared" ca="1" si="34"/>
        <v>4549.4279999999999</v>
      </c>
      <c r="T73" s="33">
        <f t="shared" si="35"/>
        <v>0</v>
      </c>
    </row>
    <row r="74" spans="1:20" s="2" customFormat="1">
      <c r="B74" s="17">
        <v>44774</v>
      </c>
      <c r="C74" s="14"/>
      <c r="D74" s="14"/>
      <c r="E74" s="138">
        <f t="shared" ca="1" si="29"/>
        <v>523712.1</v>
      </c>
      <c r="F74" s="14">
        <f t="shared" ca="1" si="30"/>
        <v>4456.38</v>
      </c>
      <c r="G74" s="14"/>
      <c r="H74" s="14"/>
      <c r="I74" s="14">
        <f t="shared" si="36"/>
        <v>0</v>
      </c>
      <c r="J74" s="14"/>
      <c r="K74" s="14"/>
      <c r="L74" s="28"/>
      <c r="M74" s="15">
        <f t="shared" ca="1" si="25"/>
        <v>9.0195042056750783</v>
      </c>
      <c r="N74" s="14" t="e">
        <f t="shared" si="26"/>
        <v>#DIV/0!</v>
      </c>
      <c r="O74" s="13" t="e">
        <f t="shared" ca="1" si="27"/>
        <v>#DIV/0!</v>
      </c>
      <c r="P74" s="35" t="e">
        <f t="shared" si="32"/>
        <v>#DIV/0!</v>
      </c>
      <c r="Q74" s="36" t="e">
        <f t="shared" si="33"/>
        <v>#DIV/0!</v>
      </c>
      <c r="R74" s="34">
        <f t="shared" ca="1" si="28"/>
        <v>213674.53679999997</v>
      </c>
      <c r="S74" s="13">
        <f t="shared" ca="1" si="34"/>
        <v>5793.2940000000008</v>
      </c>
      <c r="T74" s="33">
        <f t="shared" si="35"/>
        <v>0</v>
      </c>
    </row>
    <row r="75" spans="1:20" s="2" customFormat="1">
      <c r="B75" s="17">
        <v>44805</v>
      </c>
      <c r="C75" s="14"/>
      <c r="D75" s="14"/>
      <c r="E75" s="138">
        <f t="shared" ca="1" si="29"/>
        <v>482257.4</v>
      </c>
      <c r="F75" s="14">
        <f t="shared" ca="1" si="30"/>
        <v>3895.96</v>
      </c>
      <c r="G75" s="14"/>
      <c r="H75" s="14"/>
      <c r="I75" s="14">
        <f t="shared" si="36"/>
        <v>0</v>
      </c>
      <c r="J75" s="14"/>
      <c r="K75" s="14"/>
      <c r="L75" s="28"/>
      <c r="M75" s="15">
        <f t="shared" ca="1" si="25"/>
        <v>8.3055607222325563</v>
      </c>
      <c r="N75" s="14" t="e">
        <f t="shared" si="26"/>
        <v>#DIV/0!</v>
      </c>
      <c r="O75" s="13" t="e">
        <f t="shared" ca="1" si="27"/>
        <v>#DIV/0!</v>
      </c>
      <c r="P75" s="35" t="e">
        <f t="shared" si="32"/>
        <v>#DIV/0!</v>
      </c>
      <c r="Q75" s="36" t="e">
        <f t="shared" si="33"/>
        <v>#DIV/0!</v>
      </c>
      <c r="R75" s="34">
        <f t="shared" ca="1" si="28"/>
        <v>196761.01920000001</v>
      </c>
      <c r="S75" s="13">
        <f t="shared" ca="1" si="34"/>
        <v>5064.7480000000005</v>
      </c>
      <c r="T75" s="33">
        <f t="shared" ref="T75:T78" si="37">(I75/1000)*21.28</f>
        <v>0</v>
      </c>
    </row>
    <row r="76" spans="1:20" s="2" customFormat="1">
      <c r="B76" s="17">
        <v>44835</v>
      </c>
      <c r="C76" s="52"/>
      <c r="D76" s="14"/>
      <c r="E76" s="138">
        <f t="shared" ca="1" si="29"/>
        <v>548014.31000000006</v>
      </c>
      <c r="F76" s="14">
        <f t="shared" ca="1" si="30"/>
        <v>4531.72</v>
      </c>
      <c r="G76" s="14"/>
      <c r="H76" s="14"/>
      <c r="I76" s="14">
        <f t="shared" si="36"/>
        <v>0</v>
      </c>
      <c r="J76" s="14"/>
      <c r="K76" s="14"/>
      <c r="L76" s="28"/>
      <c r="M76" s="15">
        <f t="shared" ca="1" si="25"/>
        <v>9.4380431038639863</v>
      </c>
      <c r="N76" s="14" t="e">
        <f t="shared" si="26"/>
        <v>#DIV/0!</v>
      </c>
      <c r="O76" s="13" t="e">
        <f t="shared" ca="1" si="27"/>
        <v>#DIV/0!</v>
      </c>
      <c r="P76" s="35" t="e">
        <f t="shared" si="32"/>
        <v>#DIV/0!</v>
      </c>
      <c r="Q76" s="36" t="e">
        <f t="shared" si="33"/>
        <v>#DIV/0!</v>
      </c>
      <c r="R76" s="34">
        <f t="shared" ca="1" si="28"/>
        <v>223589.83848000001</v>
      </c>
      <c r="S76" s="13">
        <f t="shared" ca="1" si="34"/>
        <v>5891.2360000000008</v>
      </c>
      <c r="T76" s="33">
        <f t="shared" si="37"/>
        <v>0</v>
      </c>
    </row>
    <row r="77" spans="1:20" s="2" customFormat="1">
      <c r="B77" s="17">
        <v>44866</v>
      </c>
      <c r="C77" s="52"/>
      <c r="D77" s="14"/>
      <c r="E77" s="138">
        <f t="shared" ca="1" si="29"/>
        <v>525938.24</v>
      </c>
      <c r="F77" s="14">
        <f t="shared" ca="1" si="30"/>
        <v>4220.18</v>
      </c>
      <c r="G77" s="14"/>
      <c r="H77" s="14"/>
      <c r="I77" s="14">
        <f t="shared" si="36"/>
        <v>0</v>
      </c>
      <c r="J77" s="14"/>
      <c r="K77" s="14"/>
      <c r="L77" s="28"/>
      <c r="M77" s="15">
        <f t="shared" ca="1" si="25"/>
        <v>9.0578433601311641</v>
      </c>
      <c r="N77" s="14" t="e">
        <f t="shared" si="26"/>
        <v>#DIV/0!</v>
      </c>
      <c r="O77" s="13" t="e">
        <f t="shared" ca="1" si="27"/>
        <v>#DIV/0!</v>
      </c>
      <c r="P77" s="35" t="e">
        <f t="shared" si="32"/>
        <v>#DIV/0!</v>
      </c>
      <c r="Q77" s="36" t="e">
        <f t="shared" si="33"/>
        <v>#DIV/0!</v>
      </c>
      <c r="R77" s="34">
        <f t="shared" ca="1" si="28"/>
        <v>214582.80191999997</v>
      </c>
      <c r="S77" s="13">
        <f t="shared" ca="1" si="34"/>
        <v>5486.2340000000004</v>
      </c>
      <c r="T77" s="33">
        <f t="shared" si="37"/>
        <v>0</v>
      </c>
    </row>
    <row r="78" spans="1:20" s="2" customFormat="1" ht="14.65" thickBot="1">
      <c r="B78" s="101">
        <v>44896</v>
      </c>
      <c r="C78" s="102"/>
      <c r="D78" s="103"/>
      <c r="E78" s="138">
        <f t="shared" ca="1" si="29"/>
        <v>582218.18000000005</v>
      </c>
      <c r="F78" s="14">
        <f t="shared" ca="1" si="30"/>
        <v>3458.55</v>
      </c>
      <c r="G78" s="103"/>
      <c r="H78" s="103"/>
      <c r="I78" s="14">
        <f t="shared" si="36"/>
        <v>0</v>
      </c>
      <c r="J78" s="103"/>
      <c r="K78" s="103"/>
      <c r="L78" s="104"/>
      <c r="M78" s="105">
        <f t="shared" ca="1" si="25"/>
        <v>10.027110931999642</v>
      </c>
      <c r="N78" s="103" t="e">
        <f t="shared" si="26"/>
        <v>#DIV/0!</v>
      </c>
      <c r="O78" s="73" t="e">
        <f t="shared" ca="1" si="27"/>
        <v>#DIV/0!</v>
      </c>
      <c r="P78" s="106" t="e">
        <f t="shared" si="32"/>
        <v>#DIV/0!</v>
      </c>
      <c r="Q78" s="107" t="e">
        <f t="shared" si="33"/>
        <v>#DIV/0!</v>
      </c>
      <c r="R78" s="105">
        <f t="shared" ca="1" si="28"/>
        <v>237545.01744</v>
      </c>
      <c r="S78" s="73">
        <f t="shared" ca="1" si="34"/>
        <v>4496.1150000000007</v>
      </c>
      <c r="T78" s="108">
        <f t="shared" si="37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93">
        <f ca="1">SUM(E67:E78)</f>
        <v>6502488.4299999997</v>
      </c>
      <c r="F79" s="93">
        <f ca="1">SUM(F67:F78)</f>
        <v>47936.790000000008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111.9875247139383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2653015.2794400002</v>
      </c>
      <c r="S79" s="93">
        <f t="shared" ref="S79:T79" ca="1" si="38">SUM(S67:S78)</f>
        <v>62317.826999999997</v>
      </c>
      <c r="T79" s="96">
        <f t="shared" si="38"/>
        <v>0</v>
      </c>
    </row>
    <row r="80" spans="1:20">
      <c r="B80" s="85">
        <v>44927</v>
      </c>
      <c r="C80" s="87"/>
      <c r="D80" s="87"/>
      <c r="E80" s="143">
        <f ca="1">RANDBETWEEN(71000000, 86000000)/100</f>
        <v>851052.91</v>
      </c>
      <c r="F80" s="87">
        <f ca="1">RANDBETWEEN(360000, 1300000)/100</f>
        <v>9019.2800000000007</v>
      </c>
      <c r="G80" s="87"/>
      <c r="H80" s="87"/>
      <c r="I80" s="14">
        <f t="shared" ref="I80:I91" si="39">G80+H80</f>
        <v>0</v>
      </c>
      <c r="J80" s="87"/>
      <c r="K80" s="87"/>
      <c r="L80" s="109"/>
      <c r="M80" s="89">
        <f t="shared" ref="M80:M91" ca="1" si="40">E80/$E$3</f>
        <v>14.657051652992195</v>
      </c>
      <c r="N80" s="87" t="e">
        <f t="shared" ref="N80:N91" si="41">(C80/$E$4)*(55/60)</f>
        <v>#DIV/0!</v>
      </c>
      <c r="O80" s="74" t="e">
        <f t="shared" ref="O80:O91" ca="1" si="42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3">E80*0.408</f>
        <v>347229.58727999998</v>
      </c>
      <c r="S80" s="74">
        <f ca="1">F80*(1.3)</f>
        <v>11725.064000000002</v>
      </c>
      <c r="T80" s="113">
        <f>(I80/1000)*0.561</f>
        <v>0</v>
      </c>
    </row>
    <row r="81" spans="1:20">
      <c r="B81" s="17">
        <v>44958</v>
      </c>
      <c r="C81" s="14"/>
      <c r="D81" s="14"/>
      <c r="E81" s="143">
        <f t="shared" ref="E81:E91" ca="1" si="44">RANDBETWEEN(71000000, 86000000)/100</f>
        <v>821386.27</v>
      </c>
      <c r="F81" s="87">
        <f t="shared" ref="F81:F91" ca="1" si="45">RANDBETWEEN(360000, 1300000)/100</f>
        <v>10907.4</v>
      </c>
      <c r="G81" s="14"/>
      <c r="H81" s="14"/>
      <c r="I81" s="14">
        <f t="shared" si="39"/>
        <v>0</v>
      </c>
      <c r="J81" s="14"/>
      <c r="K81" s="14"/>
      <c r="L81" s="28"/>
      <c r="M81" s="15">
        <f t="shared" ca="1" si="40"/>
        <v>14.146125164472551</v>
      </c>
      <c r="N81" s="14" t="e">
        <f t="shared" si="41"/>
        <v>#DIV/0!</v>
      </c>
      <c r="O81" s="13" t="e">
        <f t="shared" ca="1" si="42"/>
        <v>#DIV/0!</v>
      </c>
      <c r="P81" s="35" t="e">
        <f t="shared" ref="P81:P91" si="46">I81/(J81+K81)/L81</f>
        <v>#DIV/0!</v>
      </c>
      <c r="Q81" s="36" t="e">
        <f t="shared" ref="Q81:Q91" si="47">H81/I81*100</f>
        <v>#DIV/0!</v>
      </c>
      <c r="R81" s="34">
        <f t="shared" ca="1" si="43"/>
        <v>335125.59815999999</v>
      </c>
      <c r="S81" s="13">
        <f t="shared" ref="S81:S91" ca="1" si="48">F81*(1.3)</f>
        <v>14179.62</v>
      </c>
      <c r="T81" s="33">
        <f t="shared" ref="T81:T87" si="49">(I81/1000)*0.561</f>
        <v>0</v>
      </c>
    </row>
    <row r="82" spans="1:20" ht="16.25" customHeight="1">
      <c r="B82" s="17">
        <v>44986</v>
      </c>
      <c r="C82" s="14"/>
      <c r="D82" s="14"/>
      <c r="E82" s="143">
        <f t="shared" ca="1" si="44"/>
        <v>817194.52</v>
      </c>
      <c r="F82" s="87">
        <f t="shared" ca="1" si="45"/>
        <v>3752.68</v>
      </c>
      <c r="G82" s="14"/>
      <c r="H82" s="14"/>
      <c r="I82" s="14">
        <f t="shared" si="39"/>
        <v>0</v>
      </c>
      <c r="J82" s="14"/>
      <c r="K82" s="14"/>
      <c r="L82" s="28"/>
      <c r="M82" s="15">
        <f t="shared" ca="1" si="40"/>
        <v>14.073933770089763</v>
      </c>
      <c r="N82" s="14" t="e">
        <f t="shared" si="41"/>
        <v>#DIV/0!</v>
      </c>
      <c r="O82" s="13" t="e">
        <f t="shared" ca="1" si="42"/>
        <v>#DIV/0!</v>
      </c>
      <c r="P82" s="35" t="e">
        <f t="shared" si="46"/>
        <v>#DIV/0!</v>
      </c>
      <c r="Q82" s="36" t="e">
        <f t="shared" si="47"/>
        <v>#DIV/0!</v>
      </c>
      <c r="R82" s="34">
        <f t="shared" ca="1" si="43"/>
        <v>333415.36416</v>
      </c>
      <c r="S82" s="13">
        <f t="shared" ca="1" si="48"/>
        <v>4878.4840000000004</v>
      </c>
      <c r="T82" s="33">
        <f t="shared" si="49"/>
        <v>0</v>
      </c>
    </row>
    <row r="83" spans="1:20">
      <c r="B83" s="17">
        <v>45017</v>
      </c>
      <c r="C83" s="14"/>
      <c r="D83" s="14"/>
      <c r="E83" s="143">
        <f t="shared" ca="1" si="44"/>
        <v>710162.11</v>
      </c>
      <c r="F83" s="87">
        <f t="shared" ca="1" si="45"/>
        <v>5733.81</v>
      </c>
      <c r="G83" s="14"/>
      <c r="H83" s="14"/>
      <c r="I83" s="14">
        <f t="shared" si="39"/>
        <v>0</v>
      </c>
      <c r="J83" s="14"/>
      <c r="K83" s="14"/>
      <c r="L83" s="28"/>
      <c r="M83" s="15">
        <f t="shared" ca="1" si="40"/>
        <v>12.230594133410488</v>
      </c>
      <c r="N83" s="14" t="e">
        <f t="shared" si="41"/>
        <v>#DIV/0!</v>
      </c>
      <c r="O83" s="13" t="e">
        <f t="shared" ca="1" si="42"/>
        <v>#DIV/0!</v>
      </c>
      <c r="P83" s="35" t="e">
        <f t="shared" si="46"/>
        <v>#DIV/0!</v>
      </c>
      <c r="Q83" s="36" t="e">
        <f t="shared" si="47"/>
        <v>#DIV/0!</v>
      </c>
      <c r="R83" s="34">
        <f t="shared" ca="1" si="43"/>
        <v>289746.14087999996</v>
      </c>
      <c r="S83" s="13">
        <f t="shared" ca="1" si="48"/>
        <v>7453.9530000000004</v>
      </c>
      <c r="T83" s="33">
        <f t="shared" si="49"/>
        <v>0</v>
      </c>
    </row>
    <row r="84" spans="1:20" s="2" customFormat="1">
      <c r="B84" s="17">
        <v>45047</v>
      </c>
      <c r="C84" s="14"/>
      <c r="D84" s="14"/>
      <c r="E84" s="143">
        <f t="shared" ca="1" si="44"/>
        <v>715905.59</v>
      </c>
      <c r="F84" s="87">
        <f t="shared" ca="1" si="45"/>
        <v>4399.25</v>
      </c>
      <c r="G84" s="14"/>
      <c r="H84" s="14"/>
      <c r="I84" s="14">
        <f t="shared" si="39"/>
        <v>0</v>
      </c>
      <c r="J84" s="14"/>
      <c r="K84" s="14"/>
      <c r="L84" s="28"/>
      <c r="M84" s="15">
        <f t="shared" ca="1" si="40"/>
        <v>12.329509820130751</v>
      </c>
      <c r="N84" s="14" t="e">
        <f t="shared" si="41"/>
        <v>#DIV/0!</v>
      </c>
      <c r="O84" s="13" t="e">
        <f t="shared" ca="1" si="42"/>
        <v>#DIV/0!</v>
      </c>
      <c r="P84" s="35" t="e">
        <f t="shared" si="46"/>
        <v>#DIV/0!</v>
      </c>
      <c r="Q84" s="36" t="e">
        <f t="shared" si="47"/>
        <v>#DIV/0!</v>
      </c>
      <c r="R84" s="34">
        <f t="shared" ca="1" si="43"/>
        <v>292089.48071999999</v>
      </c>
      <c r="S84" s="13">
        <f t="shared" ca="1" si="48"/>
        <v>5719.0250000000005</v>
      </c>
      <c r="T84" s="33">
        <f t="shared" si="49"/>
        <v>0</v>
      </c>
    </row>
    <row r="85" spans="1:20" s="2" customFormat="1">
      <c r="B85" s="17">
        <v>45078</v>
      </c>
      <c r="C85" s="14"/>
      <c r="D85" s="14"/>
      <c r="E85" s="143">
        <f t="shared" ca="1" si="44"/>
        <v>824725.6</v>
      </c>
      <c r="F85" s="87">
        <f t="shared" ca="1" si="45"/>
        <v>4218.26</v>
      </c>
      <c r="G85" s="14"/>
      <c r="H85" s="14"/>
      <c r="I85" s="14">
        <f t="shared" si="39"/>
        <v>0</v>
      </c>
      <c r="J85" s="14"/>
      <c r="K85" s="14"/>
      <c r="L85" s="28"/>
      <c r="M85" s="15">
        <f t="shared" ca="1" si="40"/>
        <v>14.20363596282748</v>
      </c>
      <c r="N85" s="14" t="e">
        <f t="shared" si="41"/>
        <v>#DIV/0!</v>
      </c>
      <c r="O85" s="13" t="e">
        <f t="shared" ca="1" si="42"/>
        <v>#DIV/0!</v>
      </c>
      <c r="P85" s="35" t="e">
        <f t="shared" si="46"/>
        <v>#DIV/0!</v>
      </c>
      <c r="Q85" s="36" t="e">
        <f t="shared" si="47"/>
        <v>#DIV/0!</v>
      </c>
      <c r="R85" s="34">
        <f t="shared" ca="1" si="43"/>
        <v>336488.04479999997</v>
      </c>
      <c r="S85" s="13">
        <f t="shared" ca="1" si="48"/>
        <v>5483.7380000000003</v>
      </c>
      <c r="T85" s="33">
        <f t="shared" si="49"/>
        <v>0</v>
      </c>
    </row>
    <row r="86" spans="1:20" s="2" customFormat="1">
      <c r="B86" s="17">
        <v>45108</v>
      </c>
      <c r="C86" s="14"/>
      <c r="D86" s="14"/>
      <c r="E86" s="143">
        <f t="shared" ca="1" si="44"/>
        <v>780034.72</v>
      </c>
      <c r="F86" s="87">
        <f t="shared" ca="1" si="45"/>
        <v>12687.49</v>
      </c>
      <c r="G86" s="14"/>
      <c r="H86" s="14"/>
      <c r="I86" s="14">
        <f t="shared" si="39"/>
        <v>0</v>
      </c>
      <c r="J86" s="14"/>
      <c r="K86" s="14"/>
      <c r="L86" s="28"/>
      <c r="M86" s="15">
        <f t="shared" ca="1" si="40"/>
        <v>13.433958156805202</v>
      </c>
      <c r="N86" s="14" t="e">
        <f t="shared" si="41"/>
        <v>#DIV/0!</v>
      </c>
      <c r="O86" s="13" t="e">
        <f t="shared" ca="1" si="42"/>
        <v>#DIV/0!</v>
      </c>
      <c r="P86" s="35" t="e">
        <f t="shared" si="46"/>
        <v>#DIV/0!</v>
      </c>
      <c r="Q86" s="36" t="e">
        <f t="shared" si="47"/>
        <v>#DIV/0!</v>
      </c>
      <c r="R86" s="34">
        <f t="shared" ca="1" si="43"/>
        <v>318254.16575999995</v>
      </c>
      <c r="S86" s="13">
        <f t="shared" ca="1" si="48"/>
        <v>16493.737000000001</v>
      </c>
      <c r="T86" s="33">
        <f t="shared" si="49"/>
        <v>0</v>
      </c>
    </row>
    <row r="87" spans="1:20" s="2" customFormat="1">
      <c r="B87" s="17">
        <v>45139</v>
      </c>
      <c r="C87" s="14"/>
      <c r="D87" s="14"/>
      <c r="E87" s="143">
        <f t="shared" ca="1" si="44"/>
        <v>829009.43</v>
      </c>
      <c r="F87" s="87">
        <f t="shared" ca="1" si="45"/>
        <v>11574.07</v>
      </c>
      <c r="G87" s="14"/>
      <c r="H87" s="14"/>
      <c r="I87" s="14">
        <f t="shared" si="39"/>
        <v>0</v>
      </c>
      <c r="J87" s="14"/>
      <c r="K87" s="14"/>
      <c r="L87" s="28"/>
      <c r="M87" s="15">
        <f t="shared" ca="1" si="40"/>
        <v>14.277413182604144</v>
      </c>
      <c r="N87" s="14" t="e">
        <f t="shared" si="41"/>
        <v>#DIV/0!</v>
      </c>
      <c r="O87" s="13" t="e">
        <f t="shared" ca="1" si="42"/>
        <v>#DIV/0!</v>
      </c>
      <c r="P87" s="35" t="e">
        <f t="shared" si="46"/>
        <v>#DIV/0!</v>
      </c>
      <c r="Q87" s="36" t="e">
        <f t="shared" si="47"/>
        <v>#DIV/0!</v>
      </c>
      <c r="R87" s="34">
        <f t="shared" ca="1" si="43"/>
        <v>338235.84743999998</v>
      </c>
      <c r="S87" s="13">
        <f t="shared" ca="1" si="48"/>
        <v>15046.290999999999</v>
      </c>
      <c r="T87" s="33">
        <f t="shared" si="49"/>
        <v>0</v>
      </c>
    </row>
    <row r="88" spans="1:20" s="2" customFormat="1">
      <c r="B88" s="17">
        <v>45170</v>
      </c>
      <c r="C88" s="14"/>
      <c r="D88" s="14"/>
      <c r="E88" s="143">
        <f t="shared" ca="1" si="44"/>
        <v>786593.31</v>
      </c>
      <c r="F88" s="87">
        <f t="shared" ca="1" si="45"/>
        <v>10877.7</v>
      </c>
      <c r="G88" s="14"/>
      <c r="H88" s="14"/>
      <c r="I88" s="14">
        <f t="shared" si="39"/>
        <v>0</v>
      </c>
      <c r="J88" s="14"/>
      <c r="K88" s="14"/>
      <c r="L88" s="28"/>
      <c r="M88" s="15">
        <f t="shared" ca="1" si="40"/>
        <v>13.546911877157088</v>
      </c>
      <c r="N88" s="14" t="e">
        <f t="shared" si="41"/>
        <v>#DIV/0!</v>
      </c>
      <c r="O88" s="13" t="e">
        <f t="shared" ca="1" si="42"/>
        <v>#DIV/0!</v>
      </c>
      <c r="P88" s="35" t="e">
        <f t="shared" si="46"/>
        <v>#DIV/0!</v>
      </c>
      <c r="Q88" s="36" t="e">
        <f t="shared" si="47"/>
        <v>#DIV/0!</v>
      </c>
      <c r="R88" s="34">
        <f t="shared" ca="1" si="43"/>
        <v>320930.07047999999</v>
      </c>
      <c r="S88" s="13">
        <f t="shared" ca="1" si="48"/>
        <v>14141.010000000002</v>
      </c>
      <c r="T88" s="33">
        <f t="shared" ref="T88:T91" si="50">(I88/1000)*21.28</f>
        <v>0</v>
      </c>
    </row>
    <row r="89" spans="1:20" s="2" customFormat="1">
      <c r="B89" s="17">
        <v>45200</v>
      </c>
      <c r="C89" s="52"/>
      <c r="D89" s="14"/>
      <c r="E89" s="143">
        <f t="shared" ca="1" si="44"/>
        <v>764573.91</v>
      </c>
      <c r="F89" s="87">
        <f t="shared" ca="1" si="45"/>
        <v>5352.57</v>
      </c>
      <c r="G89" s="14"/>
      <c r="H89" s="14"/>
      <c r="I89" s="14">
        <f t="shared" si="39"/>
        <v>0</v>
      </c>
      <c r="J89" s="14"/>
      <c r="K89" s="14"/>
      <c r="L89" s="28"/>
      <c r="M89" s="15">
        <f t="shared" ca="1" si="40"/>
        <v>13.16768811870957</v>
      </c>
      <c r="N89" s="14" t="e">
        <f t="shared" si="41"/>
        <v>#DIV/0!</v>
      </c>
      <c r="O89" s="13" t="e">
        <f t="shared" ca="1" si="42"/>
        <v>#DIV/0!</v>
      </c>
      <c r="P89" s="35" t="e">
        <f t="shared" si="46"/>
        <v>#DIV/0!</v>
      </c>
      <c r="Q89" s="36" t="e">
        <f t="shared" si="47"/>
        <v>#DIV/0!</v>
      </c>
      <c r="R89" s="34">
        <f t="shared" ca="1" si="43"/>
        <v>311946.15528000001</v>
      </c>
      <c r="S89" s="13">
        <f t="shared" ca="1" si="48"/>
        <v>6958.3409999999994</v>
      </c>
      <c r="T89" s="33">
        <f t="shared" si="50"/>
        <v>0</v>
      </c>
    </row>
    <row r="90" spans="1:20" s="2" customFormat="1">
      <c r="B90" s="17">
        <v>45231</v>
      </c>
      <c r="C90" s="52"/>
      <c r="D90" s="14"/>
      <c r="E90" s="143">
        <f t="shared" ca="1" si="44"/>
        <v>817297.23</v>
      </c>
      <c r="F90" s="87">
        <f t="shared" ca="1" si="45"/>
        <v>9591.19</v>
      </c>
      <c r="G90" s="14"/>
      <c r="H90" s="14"/>
      <c r="I90" s="14">
        <f t="shared" si="39"/>
        <v>0</v>
      </c>
      <c r="J90" s="14"/>
      <c r="K90" s="14"/>
      <c r="L90" s="28"/>
      <c r="M90" s="15">
        <f t="shared" ca="1" si="40"/>
        <v>14.075702668072003</v>
      </c>
      <c r="N90" s="14" t="e">
        <f t="shared" si="41"/>
        <v>#DIV/0!</v>
      </c>
      <c r="O90" s="13" t="e">
        <f t="shared" ca="1" si="42"/>
        <v>#DIV/0!</v>
      </c>
      <c r="P90" s="35" t="e">
        <f t="shared" si="46"/>
        <v>#DIV/0!</v>
      </c>
      <c r="Q90" s="36" t="e">
        <f t="shared" si="47"/>
        <v>#DIV/0!</v>
      </c>
      <c r="R90" s="34">
        <f t="shared" ca="1" si="43"/>
        <v>333457.26983999996</v>
      </c>
      <c r="S90" s="13">
        <f t="shared" ca="1" si="48"/>
        <v>12468.547</v>
      </c>
      <c r="T90" s="33">
        <f t="shared" si="50"/>
        <v>0</v>
      </c>
    </row>
    <row r="91" spans="1:20" s="2" customFormat="1" ht="14.65" thickBot="1">
      <c r="B91" s="101">
        <v>45261</v>
      </c>
      <c r="C91" s="102"/>
      <c r="D91" s="103"/>
      <c r="E91" s="143">
        <f t="shared" ca="1" si="44"/>
        <v>857469.4</v>
      </c>
      <c r="F91" s="87">
        <f t="shared" ca="1" si="45"/>
        <v>6560.36</v>
      </c>
      <c r="G91" s="103"/>
      <c r="H91" s="103"/>
      <c r="I91" s="103">
        <f t="shared" si="39"/>
        <v>0</v>
      </c>
      <c r="J91" s="103"/>
      <c r="K91" s="103"/>
      <c r="L91" s="104"/>
      <c r="M91" s="105">
        <f t="shared" ca="1" si="40"/>
        <v>14.767558090671736</v>
      </c>
      <c r="N91" s="103" t="e">
        <f t="shared" si="41"/>
        <v>#DIV/0!</v>
      </c>
      <c r="O91" s="73" t="e">
        <f t="shared" ca="1" si="42"/>
        <v>#DIV/0!</v>
      </c>
      <c r="P91" s="106" t="e">
        <f t="shared" si="46"/>
        <v>#DIV/0!</v>
      </c>
      <c r="Q91" s="107" t="e">
        <f t="shared" si="47"/>
        <v>#DIV/0!</v>
      </c>
      <c r="R91" s="105">
        <f t="shared" ca="1" si="43"/>
        <v>349847.51519999997</v>
      </c>
      <c r="S91" s="73">
        <f t="shared" ca="1" si="48"/>
        <v>8528.4680000000008</v>
      </c>
      <c r="T91" s="108">
        <f t="shared" si="50"/>
        <v>0</v>
      </c>
    </row>
    <row r="92" spans="1:20" ht="14.65" thickBot="1">
      <c r="A92" s="91" t="s">
        <v>63</v>
      </c>
      <c r="B92" s="115"/>
      <c r="C92" s="115"/>
      <c r="D92" s="93"/>
      <c r="E92" s="144">
        <f ca="1">SUM(E80:E91)</f>
        <v>9575405</v>
      </c>
      <c r="F92" s="93">
        <f ca="1">SUM(F80:F91)</f>
        <v>94674.060000000012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</row>
    <row r="94" spans="1:20">
      <c r="B94" s="85">
        <v>45323</v>
      </c>
    </row>
    <row r="95" spans="1:20">
      <c r="B95" s="85">
        <v>45352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93"/>
      <c r="F105" s="115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299B-FCC3-4EAC-9714-9C7B7FB3F186}">
  <dimension ref="A1:T105"/>
  <sheetViews>
    <sheetView topLeftCell="A66" zoomScale="90" zoomScaleNormal="90" workbookViewId="0">
      <selection activeCell="F94" sqref="F94"/>
    </sheetView>
  </sheetViews>
  <sheetFormatPr defaultColWidth="8.796875" defaultRowHeight="14.25"/>
  <cols>
    <col min="1" max="1" width="11.6640625" style="1" customWidth="1"/>
    <col min="2" max="2" width="12" style="1" customWidth="1"/>
    <col min="3" max="3" width="25.6640625" style="1" customWidth="1"/>
    <col min="4" max="4" width="20.6640625" style="2" customWidth="1"/>
    <col min="5" max="5" width="21" style="2" customWidth="1"/>
    <col min="6" max="7" width="25.6640625" style="1" customWidth="1"/>
    <col min="8" max="9" width="20.6640625" style="1" customWidth="1"/>
    <col min="10" max="12" width="15.664062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8" width="24.33203125" style="1" customWidth="1"/>
    <col min="19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75</v>
      </c>
      <c r="D3" s="14"/>
      <c r="E3" s="14">
        <v>78967.584000000003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4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4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57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45">
        <f ca="1">RANDBETWEEN(110000000, 140000000)/100</f>
        <v>1258580.04</v>
      </c>
      <c r="F13" s="61">
        <f ca="1">RANDBETWEEN(780000, 960000)/100</f>
        <v>8281.36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15.937932709198751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145">
        <f t="shared" ref="E14:E24" ca="1" si="3">RANDBETWEEN(110000000, 140000000)/100</f>
        <v>1110200.06</v>
      </c>
      <c r="F14" s="61">
        <f t="shared" ref="F14:F24" ca="1" si="4">RANDBETWEEN(780000, 960000)/100</f>
        <v>9072.06</v>
      </c>
      <c r="G14" s="14"/>
      <c r="H14" s="14"/>
      <c r="I14" s="14"/>
      <c r="J14" s="16">
        <f t="shared" si="0"/>
        <v>21.666666666666668</v>
      </c>
      <c r="K14" s="15">
        <f t="shared" ca="1" si="1"/>
        <v>14.058934106430305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145">
        <f t="shared" ca="1" si="3"/>
        <v>1167778.0900000001</v>
      </c>
      <c r="F15" s="61">
        <f t="shared" ca="1" si="4"/>
        <v>8250.6299999999992</v>
      </c>
      <c r="G15" s="14"/>
      <c r="H15" s="14"/>
      <c r="I15" s="14"/>
      <c r="J15" s="16">
        <f t="shared" si="0"/>
        <v>21.666666666666668</v>
      </c>
      <c r="K15" s="15">
        <f t="shared" ca="1" si="1"/>
        <v>14.788069114536922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145">
        <f t="shared" ca="1" si="3"/>
        <v>1123155.81</v>
      </c>
      <c r="F16" s="61">
        <f t="shared" ca="1" si="4"/>
        <v>8322.24</v>
      </c>
      <c r="G16" s="14"/>
      <c r="H16" s="14"/>
      <c r="I16" s="14"/>
      <c r="J16" s="16">
        <f t="shared" si="0"/>
        <v>21.666666666666668</v>
      </c>
      <c r="K16" s="15">
        <f t="shared" ca="1" si="1"/>
        <v>14.222998262172995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145">
        <f t="shared" ca="1" si="3"/>
        <v>1198935.56</v>
      </c>
      <c r="F17" s="61">
        <f t="shared" ca="1" si="4"/>
        <v>8768.7999999999993</v>
      </c>
      <c r="G17" s="14"/>
      <c r="H17" s="14"/>
      <c r="I17" s="14"/>
      <c r="J17" s="16">
        <f t="shared" si="0"/>
        <v>21.666666666666668</v>
      </c>
      <c r="K17" s="15">
        <f t="shared" ca="1" si="1"/>
        <v>15.182629368526712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145">
        <f t="shared" ca="1" si="3"/>
        <v>1343253.61</v>
      </c>
      <c r="F18" s="61">
        <f t="shared" ca="1" si="4"/>
        <v>9361.4500000000007</v>
      </c>
      <c r="G18" s="14"/>
      <c r="H18" s="14"/>
      <c r="I18" s="14"/>
      <c r="J18" s="16">
        <f t="shared" si="0"/>
        <v>21.666666666666668</v>
      </c>
      <c r="K18" s="15">
        <f t="shared" ca="1" si="1"/>
        <v>17.010190029366989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145">
        <f t="shared" ca="1" si="3"/>
        <v>1368594.29</v>
      </c>
      <c r="F19" s="61">
        <f t="shared" ca="1" si="4"/>
        <v>8514.77</v>
      </c>
      <c r="G19" s="14"/>
      <c r="H19" s="14"/>
      <c r="I19" s="14"/>
      <c r="J19" s="16">
        <f t="shared" si="0"/>
        <v>21.666666666666668</v>
      </c>
      <c r="K19" s="15">
        <f t="shared" ca="1" si="1"/>
        <v>17.331089805153468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145">
        <f t="shared" ca="1" si="3"/>
        <v>1251656.56</v>
      </c>
      <c r="F20" s="61">
        <f t="shared" ca="1" si="4"/>
        <v>9103.15</v>
      </c>
      <c r="G20" s="14"/>
      <c r="H20" s="14"/>
      <c r="I20" s="14"/>
      <c r="J20" s="16">
        <f t="shared" si="0"/>
        <v>21.666666666666668</v>
      </c>
      <c r="K20" s="15">
        <f t="shared" ca="1" si="1"/>
        <v>15.850257746267127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145">
        <f t="shared" ca="1" si="3"/>
        <v>1283085.68</v>
      </c>
      <c r="F21" s="61">
        <f t="shared" ca="1" si="4"/>
        <v>8980.9599999999991</v>
      </c>
      <c r="G21" s="14"/>
      <c r="H21" s="14"/>
      <c r="I21" s="14"/>
      <c r="J21" s="16">
        <f t="shared" si="0"/>
        <v>21.666666666666668</v>
      </c>
      <c r="K21" s="15">
        <f t="shared" ca="1" si="1"/>
        <v>16.248258019391855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145">
        <f t="shared" ca="1" si="3"/>
        <v>1330273.9099999999</v>
      </c>
      <c r="F22" s="61">
        <f t="shared" ca="1" si="4"/>
        <v>8181.17</v>
      </c>
      <c r="G22" s="14"/>
      <c r="H22" s="14"/>
      <c r="I22" s="14"/>
      <c r="J22" s="16">
        <f t="shared" si="0"/>
        <v>21.666666666666668</v>
      </c>
      <c r="K22" s="15">
        <f t="shared" ca="1" si="1"/>
        <v>16.845822584619025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145">
        <f t="shared" ca="1" si="3"/>
        <v>1259391.5</v>
      </c>
      <c r="F23" s="61">
        <f t="shared" ca="1" si="4"/>
        <v>7996.72</v>
      </c>
      <c r="G23" s="14"/>
      <c r="H23" s="14"/>
      <c r="I23" s="14"/>
      <c r="J23" s="16">
        <f t="shared" si="0"/>
        <v>21.666666666666668</v>
      </c>
      <c r="K23" s="15">
        <f t="shared" ca="1" si="1"/>
        <v>15.948208571253744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45">
        <f t="shared" ca="1" si="3"/>
        <v>1259513.17</v>
      </c>
      <c r="F24" s="61">
        <f t="shared" ca="1" si="4"/>
        <v>8610.0400000000009</v>
      </c>
      <c r="G24" s="9"/>
      <c r="H24" s="9"/>
      <c r="I24" s="9"/>
      <c r="J24" s="25">
        <f t="shared" si="0"/>
        <v>21.666666666666668</v>
      </c>
      <c r="K24" s="10">
        <f t="shared" ca="1" si="1"/>
        <v>15.949749330054214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93">
        <f ca="1">SUM(E13:E24)</f>
        <v>14954418.280000001</v>
      </c>
      <c r="F25" s="92">
        <f ca="1">SUM(F13:F24)</f>
        <v>103443.34999999998</v>
      </c>
      <c r="G25" s="93"/>
      <c r="H25" s="93"/>
      <c r="I25" s="93"/>
      <c r="J25" s="93"/>
      <c r="K25" s="93">
        <f ca="1">E25/E3</f>
        <v>189.37413964697211</v>
      </c>
      <c r="L25" s="93" t="e">
        <f>SUM(L13:L24)</f>
        <v>#DIV/0!</v>
      </c>
      <c r="M25" s="94" t="e">
        <f ca="1">AVERAGE(M13:M24)</f>
        <v>#DIV/0!</v>
      </c>
      <c r="N25" s="95"/>
    </row>
    <row r="26" spans="1:14" ht="14.65" thickBot="1">
      <c r="B26" s="17">
        <v>43466</v>
      </c>
      <c r="C26" s="18"/>
      <c r="D26" s="18"/>
      <c r="E26" s="146">
        <f ca="1">RANDBETWEEN(110000000, 140000000)/100</f>
        <v>1197718.51</v>
      </c>
      <c r="F26" s="13">
        <f ca="1">RANDBETWEEN(870000, 1200000)/100</f>
        <v>9133.23</v>
      </c>
      <c r="G26" s="14"/>
      <c r="H26" s="14"/>
      <c r="I26" s="14"/>
      <c r="J26" s="16">
        <f t="shared" ref="J26:J37" si="6">$L$11</f>
        <v>21.666666666666668</v>
      </c>
      <c r="K26" s="15">
        <f ca="1">E26/$E$3</f>
        <v>15.167217348323586</v>
      </c>
      <c r="L26" s="14" t="e">
        <f t="shared" ref="L26:L37" si="7">(C26/$E$4)*(55/60)</f>
        <v>#DIV/0!</v>
      </c>
      <c r="M26" s="13" t="e">
        <f t="shared" ref="M26:M37" ca="1" si="8">F26*1000/(H26+0.25*I26)/J26</f>
        <v>#DIV/0!</v>
      </c>
      <c r="N26" s="12"/>
    </row>
    <row r="27" spans="1:14" ht="14.65" thickBot="1">
      <c r="B27" s="17">
        <v>43497</v>
      </c>
      <c r="C27" s="14"/>
      <c r="D27" s="14"/>
      <c r="E27" s="146">
        <f t="shared" ref="E27:E37" ca="1" si="9">RANDBETWEEN(110000000, 140000000)/100</f>
        <v>1333368.17</v>
      </c>
      <c r="F27" s="13">
        <f t="shared" ref="F27:F37" ca="1" si="10">RANDBETWEEN(870000, 1200000)/100</f>
        <v>9920.23</v>
      </c>
      <c r="G27" s="14"/>
      <c r="H27" s="14"/>
      <c r="I27" s="14"/>
      <c r="J27" s="16">
        <f t="shared" si="6"/>
        <v>21.666666666666668</v>
      </c>
      <c r="K27" s="15">
        <f ca="1">E27/$E$3</f>
        <v>16.885006511026091</v>
      </c>
      <c r="L27" s="14" t="e">
        <f t="shared" si="7"/>
        <v>#DIV/0!</v>
      </c>
      <c r="M27" s="13" t="e">
        <f t="shared" ca="1" si="8"/>
        <v>#DIV/0!</v>
      </c>
      <c r="N27" s="12"/>
    </row>
    <row r="28" spans="1:14" ht="14.65" thickBot="1">
      <c r="B28" s="17">
        <v>43525</v>
      </c>
      <c r="C28" s="14"/>
      <c r="D28" s="14"/>
      <c r="E28" s="146">
        <f t="shared" ca="1" si="9"/>
        <v>1110450.3</v>
      </c>
      <c r="F28" s="13">
        <f t="shared" ca="1" si="10"/>
        <v>11601.72</v>
      </c>
      <c r="G28" s="14"/>
      <c r="H28" s="14"/>
      <c r="I28" s="14"/>
      <c r="J28" s="16">
        <f t="shared" si="6"/>
        <v>21.666666666666668</v>
      </c>
      <c r="K28" s="15">
        <f t="shared" ref="K28:K37" ca="1" si="11">E28/$E$3</f>
        <v>14.062103001656984</v>
      </c>
      <c r="L28" s="14" t="e">
        <f t="shared" si="7"/>
        <v>#DIV/0!</v>
      </c>
      <c r="M28" s="13" t="e">
        <f t="shared" ca="1" si="8"/>
        <v>#DIV/0!</v>
      </c>
      <c r="N28" s="12"/>
    </row>
    <row r="29" spans="1:14" ht="14.65" thickBot="1">
      <c r="B29" s="17">
        <v>43556</v>
      </c>
      <c r="C29" s="14"/>
      <c r="D29" s="14"/>
      <c r="E29" s="146">
        <f t="shared" ca="1" si="9"/>
        <v>1134861.77</v>
      </c>
      <c r="F29" s="13">
        <f t="shared" ca="1" si="10"/>
        <v>9803.1200000000008</v>
      </c>
      <c r="G29" s="14"/>
      <c r="H29" s="14"/>
      <c r="I29" s="14"/>
      <c r="J29" s="16">
        <f t="shared" si="6"/>
        <v>21.666666666666668</v>
      </c>
      <c r="K29" s="15">
        <f t="shared" ca="1" si="11"/>
        <v>14.371235797210156</v>
      </c>
      <c r="L29" s="14" t="e">
        <f t="shared" si="7"/>
        <v>#DIV/0!</v>
      </c>
      <c r="M29" s="13" t="e">
        <f t="shared" ca="1" si="8"/>
        <v>#DIV/0!</v>
      </c>
      <c r="N29" s="12"/>
    </row>
    <row r="30" spans="1:14" ht="14.65" thickBot="1">
      <c r="B30" s="17">
        <v>43586</v>
      </c>
      <c r="C30" s="14"/>
      <c r="D30" s="14"/>
      <c r="E30" s="146">
        <f t="shared" ca="1" si="9"/>
        <v>1191378.1599999999</v>
      </c>
      <c r="F30" s="13">
        <f t="shared" ca="1" si="10"/>
        <v>11067.37</v>
      </c>
      <c r="G30" s="14"/>
      <c r="H30" s="14"/>
      <c r="I30" s="14"/>
      <c r="J30" s="16">
        <f t="shared" si="6"/>
        <v>21.666666666666668</v>
      </c>
      <c r="K30" s="15">
        <f t="shared" ca="1" si="11"/>
        <v>15.086926807840543</v>
      </c>
      <c r="L30" s="14" t="e">
        <f t="shared" si="7"/>
        <v>#DIV/0!</v>
      </c>
      <c r="M30" s="13" t="e">
        <f t="shared" ca="1" si="8"/>
        <v>#DIV/0!</v>
      </c>
      <c r="N30" s="12"/>
    </row>
    <row r="31" spans="1:14" ht="14.65" thickBot="1">
      <c r="B31" s="17">
        <v>43617</v>
      </c>
      <c r="C31" s="14"/>
      <c r="D31" s="14"/>
      <c r="E31" s="146">
        <f t="shared" ca="1" si="9"/>
        <v>1221714.27</v>
      </c>
      <c r="F31" s="13">
        <f t="shared" ca="1" si="10"/>
        <v>11088.75</v>
      </c>
      <c r="G31" s="14"/>
      <c r="H31" s="14"/>
      <c r="I31" s="14"/>
      <c r="J31" s="16">
        <f t="shared" si="6"/>
        <v>21.666666666666668</v>
      </c>
      <c r="K31" s="15">
        <f t="shared" ca="1" si="11"/>
        <v>15.471085831877545</v>
      </c>
      <c r="L31" s="14" t="e">
        <f t="shared" si="7"/>
        <v>#DIV/0!</v>
      </c>
      <c r="M31" s="13" t="e">
        <f t="shared" ca="1" si="8"/>
        <v>#DIV/0!</v>
      </c>
      <c r="N31" s="12"/>
    </row>
    <row r="32" spans="1:14" ht="14.65" thickBot="1">
      <c r="B32" s="17">
        <v>43647</v>
      </c>
      <c r="C32" s="14"/>
      <c r="D32" s="14"/>
      <c r="E32" s="146">
        <f t="shared" ca="1" si="9"/>
        <v>1334219.3899999999</v>
      </c>
      <c r="F32" s="13">
        <f t="shared" ca="1" si="10"/>
        <v>9895.7900000000009</v>
      </c>
      <c r="G32" s="14"/>
      <c r="H32" s="14"/>
      <c r="I32" s="14"/>
      <c r="J32" s="16">
        <f t="shared" si="6"/>
        <v>21.666666666666668</v>
      </c>
      <c r="K32" s="15">
        <f t="shared" ca="1" si="11"/>
        <v>16.895785870820106</v>
      </c>
      <c r="L32" s="14" t="e">
        <f t="shared" si="7"/>
        <v>#DIV/0!</v>
      </c>
      <c r="M32" s="13" t="e">
        <f t="shared" ca="1" si="8"/>
        <v>#DIV/0!</v>
      </c>
      <c r="N32" s="12"/>
    </row>
    <row r="33" spans="1:14" ht="14.65" thickBot="1">
      <c r="B33" s="17">
        <v>43678</v>
      </c>
      <c r="C33" s="14"/>
      <c r="D33" s="14"/>
      <c r="E33" s="146">
        <f t="shared" ca="1" si="9"/>
        <v>1203618.48</v>
      </c>
      <c r="F33" s="13">
        <f t="shared" ca="1" si="10"/>
        <v>9833.09</v>
      </c>
      <c r="G33" s="14"/>
      <c r="H33" s="14"/>
      <c r="I33" s="14"/>
      <c r="J33" s="16">
        <f t="shared" si="6"/>
        <v>21.666666666666668</v>
      </c>
      <c r="K33" s="15">
        <f t="shared" ca="1" si="11"/>
        <v>15.24193117013685</v>
      </c>
      <c r="L33" s="14" t="e">
        <f t="shared" si="7"/>
        <v>#DIV/0!</v>
      </c>
      <c r="M33" s="13" t="e">
        <f t="shared" ca="1" si="8"/>
        <v>#DIV/0!</v>
      </c>
      <c r="N33" s="12"/>
    </row>
    <row r="34" spans="1:14" ht="14.65" thickBot="1">
      <c r="B34" s="17">
        <v>43709</v>
      </c>
      <c r="C34" s="14"/>
      <c r="D34" s="14"/>
      <c r="E34" s="146">
        <f t="shared" ca="1" si="9"/>
        <v>1121200.26</v>
      </c>
      <c r="F34" s="13">
        <f t="shared" ca="1" si="10"/>
        <v>10658.31</v>
      </c>
      <c r="G34" s="14"/>
      <c r="H34" s="14"/>
      <c r="I34" s="14"/>
      <c r="J34" s="16">
        <f t="shared" si="6"/>
        <v>21.666666666666668</v>
      </c>
      <c r="K34" s="15">
        <f t="shared" ca="1" si="11"/>
        <v>14.198234303331352</v>
      </c>
      <c r="L34" s="14" t="e">
        <f t="shared" si="7"/>
        <v>#DIV/0!</v>
      </c>
      <c r="M34" s="13" t="e">
        <f t="shared" ca="1" si="8"/>
        <v>#DIV/0!</v>
      </c>
      <c r="N34" s="12"/>
    </row>
    <row r="35" spans="1:14" ht="14.65" thickBot="1">
      <c r="B35" s="17">
        <v>43739</v>
      </c>
      <c r="C35" s="14"/>
      <c r="D35" s="14"/>
      <c r="E35" s="146">
        <f t="shared" ca="1" si="9"/>
        <v>1129195.49</v>
      </c>
      <c r="F35" s="13">
        <f t="shared" ca="1" si="10"/>
        <v>9194.42</v>
      </c>
      <c r="G35" s="14"/>
      <c r="H35" s="14"/>
      <c r="I35" s="14"/>
      <c r="J35" s="16">
        <f t="shared" si="6"/>
        <v>21.666666666666668</v>
      </c>
      <c r="K35" s="15">
        <f t="shared" ca="1" si="11"/>
        <v>14.299481290956045</v>
      </c>
      <c r="L35" s="14" t="e">
        <f t="shared" si="7"/>
        <v>#DIV/0!</v>
      </c>
      <c r="M35" s="13" t="e">
        <f t="shared" ca="1" si="8"/>
        <v>#DIV/0!</v>
      </c>
      <c r="N35" s="12"/>
    </row>
    <row r="36" spans="1:14" ht="14.65" thickBot="1">
      <c r="B36" s="17">
        <v>43770</v>
      </c>
      <c r="C36" s="14"/>
      <c r="D36" s="14"/>
      <c r="E36" s="146">
        <f t="shared" ca="1" si="9"/>
        <v>1123545.04</v>
      </c>
      <c r="F36" s="13">
        <f t="shared" ca="1" si="10"/>
        <v>10649.58</v>
      </c>
      <c r="G36" s="14"/>
      <c r="H36" s="14"/>
      <c r="I36" s="14"/>
      <c r="J36" s="16">
        <f t="shared" si="6"/>
        <v>21.666666666666668</v>
      </c>
      <c r="K36" s="15">
        <f t="shared" ca="1" si="11"/>
        <v>14.227927246704166</v>
      </c>
      <c r="L36" s="14" t="e">
        <f t="shared" si="7"/>
        <v>#DIV/0!</v>
      </c>
      <c r="M36" s="13" t="e">
        <f t="shared" ca="1" si="8"/>
        <v>#DIV/0!</v>
      </c>
      <c r="N36" s="12"/>
    </row>
    <row r="37" spans="1:14" ht="14.65" thickBot="1">
      <c r="B37" s="11">
        <v>43800</v>
      </c>
      <c r="C37" s="9"/>
      <c r="D37" s="9"/>
      <c r="E37" s="146">
        <f t="shared" ca="1" si="9"/>
        <v>1266688.96</v>
      </c>
      <c r="F37" s="13">
        <f t="shared" ca="1" si="10"/>
        <v>10224.41</v>
      </c>
      <c r="G37" s="9"/>
      <c r="H37" s="9"/>
      <c r="I37" s="9"/>
      <c r="J37" s="25">
        <f t="shared" si="6"/>
        <v>21.666666666666668</v>
      </c>
      <c r="K37" s="10">
        <f t="shared" ca="1" si="11"/>
        <v>16.040619401500241</v>
      </c>
      <c r="L37" s="9" t="e">
        <f t="shared" si="7"/>
        <v>#DIV/0!</v>
      </c>
      <c r="M37" s="8" t="e">
        <f t="shared" ca="1" si="8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93">
        <f ca="1">SUM(E26:E37)</f>
        <v>14367958.800000001</v>
      </c>
      <c r="F38" s="92">
        <f ca="1">SUM(F26:F37)</f>
        <v>123070.02</v>
      </c>
      <c r="G38" s="93"/>
      <c r="H38" s="93"/>
      <c r="I38" s="93"/>
      <c r="J38" s="93"/>
      <c r="K38" s="96">
        <f ca="1">SUM(K26:K37)</f>
        <v>181.94755458138366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41">
        <f ca="1">RANDBETWEEN(100000000, 140000000)/100</f>
        <v>1342506.14</v>
      </c>
      <c r="F39" s="141">
        <f ca="1">RANDBETWEEN(660000, 1100000)/100</f>
        <v>8233.5400000000009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17.000724499815011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41">
        <f t="shared" ref="E40:E50" ca="1" si="14">RANDBETWEEN(100000000, 140000000)/100</f>
        <v>1292625.6499999999</v>
      </c>
      <c r="F40" s="141">
        <f t="shared" ref="F40:F50" ca="1" si="15">RANDBETWEEN(660000, 1100000)/100</f>
        <v>7201.38</v>
      </c>
      <c r="G40" s="14"/>
      <c r="H40" s="14"/>
      <c r="I40" s="14"/>
      <c r="J40" s="16">
        <f>$L$11</f>
        <v>21.666666666666668</v>
      </c>
      <c r="K40" s="15">
        <f t="shared" ca="1" si="12"/>
        <v>16.369066704636676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41">
        <f t="shared" ca="1" si="14"/>
        <v>1071110.99</v>
      </c>
      <c r="F41" s="141">
        <f t="shared" ca="1" si="15"/>
        <v>10290.24</v>
      </c>
      <c r="G41" s="14"/>
      <c r="H41" s="14"/>
      <c r="I41" s="14"/>
      <c r="J41" s="16">
        <f>$L$11</f>
        <v>21.666666666666668</v>
      </c>
      <c r="K41" s="15">
        <f t="shared" ca="1" si="12"/>
        <v>13.563932638486191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41">
        <f t="shared" ca="1" si="14"/>
        <v>1248145.6200000001</v>
      </c>
      <c r="F42" s="141">
        <f t="shared" ca="1" si="15"/>
        <v>8178.36</v>
      </c>
      <c r="G42" s="14"/>
      <c r="H42" s="14"/>
      <c r="I42" s="14"/>
      <c r="J42" s="28">
        <v>20</v>
      </c>
      <c r="K42" s="15">
        <f t="shared" ca="1" si="12"/>
        <v>15.805797224339548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41">
        <f t="shared" ca="1" si="14"/>
        <v>1219648.04</v>
      </c>
      <c r="F43" s="141">
        <f t="shared" ca="1" si="15"/>
        <v>7243.65</v>
      </c>
      <c r="G43" s="14"/>
      <c r="H43" s="14"/>
      <c r="I43" s="14"/>
      <c r="J43" s="28">
        <v>18</v>
      </c>
      <c r="K43" s="15">
        <f t="shared" ca="1" si="12"/>
        <v>15.444920285265408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41">
        <f t="shared" ca="1" si="14"/>
        <v>1136410.6599999999</v>
      </c>
      <c r="F44" s="141">
        <f t="shared" ca="1" si="15"/>
        <v>9095.06</v>
      </c>
      <c r="G44" s="14"/>
      <c r="H44" s="18"/>
      <c r="I44" s="14"/>
      <c r="J44" s="28">
        <v>22</v>
      </c>
      <c r="K44" s="15">
        <f t="shared" ca="1" si="12"/>
        <v>14.390850048039963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41">
        <f t="shared" ca="1" si="14"/>
        <v>1077299.6499999999</v>
      </c>
      <c r="F45" s="141">
        <f t="shared" ca="1" si="15"/>
        <v>8343.2000000000007</v>
      </c>
      <c r="G45" s="14"/>
      <c r="H45" s="18"/>
      <c r="I45" s="14"/>
      <c r="J45" s="28">
        <v>21</v>
      </c>
      <c r="K45" s="15">
        <f t="shared" ca="1" si="12"/>
        <v>13.64230226417969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41">
        <f t="shared" ca="1" si="14"/>
        <v>1047919.93</v>
      </c>
      <c r="F46" s="141">
        <f t="shared" ca="1" si="15"/>
        <v>8707.52</v>
      </c>
      <c r="G46" s="14"/>
      <c r="H46" s="18"/>
      <c r="I46" s="14"/>
      <c r="J46" s="28">
        <v>20</v>
      </c>
      <c r="K46" s="15">
        <f t="shared" ca="1" si="12"/>
        <v>13.270254412240851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41">
        <f t="shared" ca="1" si="14"/>
        <v>1255163.4099999999</v>
      </c>
      <c r="F47" s="141">
        <f t="shared" ca="1" si="15"/>
        <v>7379.33</v>
      </c>
      <c r="G47" s="14"/>
      <c r="H47" s="18"/>
      <c r="I47" s="14"/>
      <c r="J47" s="28">
        <v>22</v>
      </c>
      <c r="K47" s="15">
        <f t="shared" ca="1" si="12"/>
        <v>15.894666474790464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41">
        <f t="shared" ca="1" si="14"/>
        <v>1256102.71</v>
      </c>
      <c r="F48" s="141">
        <f t="shared" ca="1" si="15"/>
        <v>10145.370000000001</v>
      </c>
      <c r="G48" s="14"/>
      <c r="H48" s="18"/>
      <c r="I48" s="14"/>
      <c r="J48" s="28">
        <v>22</v>
      </c>
      <c r="K48" s="15">
        <f t="shared" ca="1" si="12"/>
        <v>15.90656122897213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41">
        <f t="shared" ca="1" si="14"/>
        <v>1339846.94</v>
      </c>
      <c r="F49" s="141">
        <f t="shared" ca="1" si="15"/>
        <v>8592.5499999999993</v>
      </c>
      <c r="G49" s="14"/>
      <c r="H49" s="18"/>
      <c r="I49" s="14"/>
      <c r="J49" s="28">
        <v>21</v>
      </c>
      <c r="K49" s="15">
        <f t="shared" ca="1" si="12"/>
        <v>16.967049922661936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41">
        <f t="shared" ca="1" si="14"/>
        <v>1318856.55</v>
      </c>
      <c r="F50" s="141">
        <f t="shared" ca="1" si="15"/>
        <v>9150.07</v>
      </c>
      <c r="G50" s="9"/>
      <c r="H50" s="27"/>
      <c r="I50" s="9"/>
      <c r="J50" s="26">
        <v>22</v>
      </c>
      <c r="K50" s="10">
        <f t="shared" ca="1" si="12"/>
        <v>16.701239713753939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99">
        <f ca="1">SUM(E39:E50)</f>
        <v>14605636.290000001</v>
      </c>
      <c r="F51" s="98">
        <f ca="1">SUM(F39:F50)</f>
        <v>102560.27000000002</v>
      </c>
      <c r="G51" s="98">
        <f t="shared" ref="G51" si="17">SUM(G39:G50)</f>
        <v>0</v>
      </c>
      <c r="H51" s="98"/>
      <c r="I51" s="99"/>
      <c r="J51" s="99"/>
      <c r="K51" s="99">
        <f ca="1">SUM(K39:K50)</f>
        <v>184.95736541718182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8">
        <f ca="1">RANDBETWEEN(100000000, 130000000)/100</f>
        <v>1142404.6000000001</v>
      </c>
      <c r="F52" s="29">
        <f ca="1">RANDBETWEEN(550000, 770000)/100</f>
        <v>7082.53</v>
      </c>
      <c r="G52" s="14"/>
      <c r="H52" s="18"/>
      <c r="I52" s="14"/>
      <c r="J52" s="28"/>
      <c r="K52" s="15">
        <f t="shared" ref="K52:K63" ca="1" si="18">E52/$E$3</f>
        <v>14.466753851808358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8">
        <f t="shared" ref="E53:E63" ca="1" si="20">RANDBETWEEN(100000000, 130000000)/100</f>
        <v>1264308.82</v>
      </c>
      <c r="F53" s="29">
        <f t="shared" ref="F53:F63" ca="1" si="21">RANDBETWEEN(550000, 770000)/100</f>
        <v>7177.89</v>
      </c>
      <c r="G53" s="14"/>
      <c r="H53" s="18"/>
      <c r="I53" s="14"/>
      <c r="J53" s="28"/>
      <c r="K53" s="15">
        <f t="shared" ca="1" si="18"/>
        <v>16.010478679454092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8">
        <f t="shared" ca="1" si="20"/>
        <v>1178840.04</v>
      </c>
      <c r="F54" s="29">
        <f t="shared" ca="1" si="21"/>
        <v>7504</v>
      </c>
      <c r="G54" s="14"/>
      <c r="H54" s="18"/>
      <c r="I54" s="14"/>
      <c r="J54" s="28"/>
      <c r="K54" s="15">
        <f t="shared" ca="1" si="18"/>
        <v>14.928151277871184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8">
        <f t="shared" ca="1" si="20"/>
        <v>1099911.58</v>
      </c>
      <c r="F55" s="29">
        <f t="shared" ca="1" si="21"/>
        <v>6536.32</v>
      </c>
      <c r="G55" s="14"/>
      <c r="H55" s="18"/>
      <c r="I55" s="14"/>
      <c r="J55" s="28"/>
      <c r="K55" s="15">
        <f t="shared" ca="1" si="18"/>
        <v>13.928646721672528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8">
        <f t="shared" ca="1" si="20"/>
        <v>1058014.8799999999</v>
      </c>
      <c r="F56" s="29">
        <f t="shared" ca="1" si="21"/>
        <v>7594.04</v>
      </c>
      <c r="G56" s="14"/>
      <c r="H56" s="18"/>
      <c r="I56" s="14"/>
      <c r="J56" s="28"/>
      <c r="K56" s="15">
        <f t="shared" ca="1" si="18"/>
        <v>13.398091044548101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8">
        <f t="shared" ca="1" si="20"/>
        <v>1034126.23</v>
      </c>
      <c r="F57" s="29">
        <f t="shared" ca="1" si="21"/>
        <v>6448.32</v>
      </c>
      <c r="G57" s="14"/>
      <c r="H57" s="18"/>
      <c r="I57" s="14"/>
      <c r="J57" s="28"/>
      <c r="K57" s="15">
        <f t="shared" ca="1" si="18"/>
        <v>13.095578940340886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8">
        <f t="shared" ca="1" si="20"/>
        <v>1248831.24</v>
      </c>
      <c r="F58" s="29">
        <f t="shared" ca="1" si="21"/>
        <v>7064.31</v>
      </c>
      <c r="G58" s="14"/>
      <c r="H58" s="18"/>
      <c r="I58" s="14"/>
      <c r="J58" s="28"/>
      <c r="K58" s="15">
        <f t="shared" ca="1" si="18"/>
        <v>15.814479521115905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8">
        <f t="shared" ca="1" si="20"/>
        <v>1166772.92</v>
      </c>
      <c r="F59" s="29">
        <f t="shared" ca="1" si="21"/>
        <v>7670.06</v>
      </c>
      <c r="G59" s="14"/>
      <c r="H59" s="18"/>
      <c r="I59" s="14"/>
      <c r="J59" s="28"/>
      <c r="K59" s="15">
        <f t="shared" ca="1" si="18"/>
        <v>14.77534022061508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8">
        <f t="shared" ca="1" si="20"/>
        <v>1095595.3700000001</v>
      </c>
      <c r="F60" s="29">
        <f t="shared" ca="1" si="21"/>
        <v>7256.1</v>
      </c>
      <c r="G60" s="14"/>
      <c r="H60" s="18"/>
      <c r="I60" s="14"/>
      <c r="J60" s="28"/>
      <c r="K60" s="15">
        <f t="shared" ca="1" si="18"/>
        <v>13.873988724284638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8">
        <f t="shared" ca="1" si="20"/>
        <v>1251495.82</v>
      </c>
      <c r="F61" s="29">
        <f t="shared" ca="1" si="21"/>
        <v>5804.64</v>
      </c>
      <c r="G61" s="14"/>
      <c r="H61" s="18"/>
      <c r="I61" s="14"/>
      <c r="J61" s="28"/>
      <c r="K61" s="15">
        <f t="shared" ca="1" si="18"/>
        <v>15.848222227490208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8">
        <f t="shared" ca="1" si="20"/>
        <v>1095850.05</v>
      </c>
      <c r="F62" s="29">
        <f t="shared" ca="1" si="21"/>
        <v>6572.54</v>
      </c>
      <c r="G62" s="14"/>
      <c r="H62" s="18"/>
      <c r="I62" s="14"/>
      <c r="J62" s="28"/>
      <c r="K62" s="15">
        <f t="shared" ca="1" si="18"/>
        <v>13.877213845113966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8">
        <f t="shared" ca="1" si="20"/>
        <v>1265406.03</v>
      </c>
      <c r="F63" s="29">
        <f t="shared" ca="1" si="21"/>
        <v>6734.43</v>
      </c>
      <c r="G63" s="9"/>
      <c r="H63" s="27"/>
      <c r="I63" s="9"/>
      <c r="J63" s="26"/>
      <c r="K63" s="10">
        <f t="shared" ca="1" si="18"/>
        <v>16.0243731149227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92">
        <f ca="1">SUM(E52:E63)</f>
        <v>13901557.58</v>
      </c>
      <c r="F64" s="92">
        <f t="shared" ref="F64:G64" ca="1" si="23">SUM(F52:F63)</f>
        <v>83445.179999999993</v>
      </c>
      <c r="G64" s="92">
        <f t="shared" si="23"/>
        <v>0</v>
      </c>
      <c r="H64" s="93"/>
      <c r="I64" s="93"/>
      <c r="J64" s="93"/>
      <c r="K64" s="93">
        <f ca="1">SUM(K52:K63)</f>
        <v>176.04131816923763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4">
        <f ca="1">RANDBETWEEN(100000000, 140000000)/100</f>
        <v>1063281.17</v>
      </c>
      <c r="F67" s="14">
        <f ca="1">RANDBETWEEN(670000, 990000)/100</f>
        <v>8965.07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13.464780307828589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433818.71735999995</v>
      </c>
      <c r="S67" s="13">
        <f ca="1">F67*(1.3)</f>
        <v>11654.591</v>
      </c>
      <c r="T67" s="33">
        <f>(I67/1000)*0.561</f>
        <v>0</v>
      </c>
    </row>
    <row r="68" spans="1:20">
      <c r="B68" s="17">
        <v>44593</v>
      </c>
      <c r="C68" s="14"/>
      <c r="D68" s="14"/>
      <c r="E68" s="14">
        <f t="shared" ref="E68:E78" ca="1" si="28">RANDBETWEEN(100000000, 140000000)/100</f>
        <v>1232733.04</v>
      </c>
      <c r="F68" s="14">
        <f t="shared" ref="F68:F78" ca="1" si="29">RANDBETWEEN(670000, 990000)/100</f>
        <v>9220.06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15.610621188562639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502955.08032000001</v>
      </c>
      <c r="S68" s="13">
        <f t="shared" ref="S68:S78" ca="1" si="33">F68*(1.3)</f>
        <v>11986.078</v>
      </c>
      <c r="T68" s="33">
        <f t="shared" ref="T68:T74" si="34">(I68/1000)*0.561</f>
        <v>0</v>
      </c>
    </row>
    <row r="69" spans="1:20" ht="16.25" customHeight="1">
      <c r="B69" s="17">
        <v>44621</v>
      </c>
      <c r="C69" s="14"/>
      <c r="D69" s="14"/>
      <c r="E69" s="14">
        <f t="shared" ca="1" si="28"/>
        <v>1370514.23</v>
      </c>
      <c r="F69" s="14">
        <f t="shared" ca="1" si="29"/>
        <v>8578.48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17.35540281946577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559169.80583999993</v>
      </c>
      <c r="S69" s="13">
        <f t="shared" ca="1" si="33"/>
        <v>11152.023999999999</v>
      </c>
      <c r="T69" s="33">
        <f t="shared" si="34"/>
        <v>0</v>
      </c>
    </row>
    <row r="70" spans="1:20">
      <c r="B70" s="17">
        <v>44652</v>
      </c>
      <c r="C70" s="14"/>
      <c r="D70" s="14"/>
      <c r="E70" s="14">
        <f t="shared" ca="1" si="28"/>
        <v>1176117.96</v>
      </c>
      <c r="F70" s="14">
        <f t="shared" ca="1" si="29"/>
        <v>7037.84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14.89368042461575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479856.12767999998</v>
      </c>
      <c r="S70" s="13">
        <f t="shared" ca="1" si="33"/>
        <v>9149.1920000000009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4">
        <f t="shared" ca="1" si="28"/>
        <v>1120094.3999999999</v>
      </c>
      <c r="F71" s="14">
        <f t="shared" ca="1" si="29"/>
        <v>7303.56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14.18423032924497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456998.51519999991</v>
      </c>
      <c r="S71" s="13">
        <f t="shared" ca="1" si="33"/>
        <v>9494.6280000000006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4">
        <f t="shared" ca="1" si="28"/>
        <v>1370086.12</v>
      </c>
      <c r="F72" s="14">
        <f t="shared" ca="1" si="29"/>
        <v>8468.7800000000007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17.349981481008715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558995.13696000003</v>
      </c>
      <c r="S72" s="13">
        <f t="shared" ca="1" si="33"/>
        <v>11009.414000000001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4">
        <f t="shared" ca="1" si="28"/>
        <v>1326609.0900000001</v>
      </c>
      <c r="F73" s="14">
        <f t="shared" ca="1" si="29"/>
        <v>9180.5499999999993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16.799413415003301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541256.50872000004</v>
      </c>
      <c r="S73" s="13">
        <f t="shared" ca="1" si="33"/>
        <v>11934.715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4">
        <f t="shared" ca="1" si="28"/>
        <v>1164093.82</v>
      </c>
      <c r="F74" s="14">
        <f t="shared" ca="1" si="29"/>
        <v>6966.58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14.741413641324016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474950.27856000001</v>
      </c>
      <c r="S74" s="13">
        <f t="shared" ca="1" si="33"/>
        <v>9056.5540000000001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4">
        <f t="shared" ca="1" si="28"/>
        <v>1111197.5</v>
      </c>
      <c r="F75" s="14">
        <f t="shared" ca="1" si="29"/>
        <v>6933.4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14.071565112084473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453368.57999999996</v>
      </c>
      <c r="S75" s="13">
        <f t="shared" ca="1" si="33"/>
        <v>9013.42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4">
        <f t="shared" ca="1" si="28"/>
        <v>1212970.6499999999</v>
      </c>
      <c r="F76" s="14">
        <f t="shared" ca="1" si="29"/>
        <v>6739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15.360361664350778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494892.02519999992</v>
      </c>
      <c r="S76" s="13">
        <f t="shared" ca="1" si="33"/>
        <v>8760.7000000000007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4">
        <f t="shared" ca="1" si="28"/>
        <v>1375027.93</v>
      </c>
      <c r="F77" s="14">
        <f t="shared" ca="1" si="29"/>
        <v>6890.98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17.412561716463301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561011.39543999999</v>
      </c>
      <c r="S77" s="13">
        <f t="shared" ca="1" si="33"/>
        <v>8958.2739999999994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4">
        <f t="shared" ca="1" si="28"/>
        <v>1110482.47</v>
      </c>
      <c r="F78" s="14">
        <f t="shared" ca="1" si="29"/>
        <v>8622.36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14.062510384007695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453076.84775999998</v>
      </c>
      <c r="S78" s="73">
        <f t="shared" ca="1" si="33"/>
        <v>11209.068000000001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93">
        <f ca="1">SUM(E67:E78)</f>
        <v>14633208.380000003</v>
      </c>
      <c r="F79" s="93">
        <f ca="1">SUM(F67:F78)</f>
        <v>94906.659999999989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185.30652248396001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5970349.0190399997</v>
      </c>
      <c r="S79" s="93">
        <f t="shared" ref="S79:T79" ca="1" si="37">SUM(S67:S78)</f>
        <v>123378.65800000001</v>
      </c>
      <c r="T79" s="96">
        <f t="shared" si="37"/>
        <v>0</v>
      </c>
    </row>
    <row r="80" spans="1:20">
      <c r="B80" s="85">
        <v>44927</v>
      </c>
      <c r="C80" s="87"/>
      <c r="D80" s="87"/>
      <c r="E80" s="87">
        <f ca="1">RANDBETWEEN(66000000, 120000000)/100</f>
        <v>729388.07</v>
      </c>
      <c r="F80" s="87">
        <f ca="1">RANDBETWEEN(640000, 1000000)/100</f>
        <v>6411.16</v>
      </c>
      <c r="G80" s="87"/>
      <c r="H80" s="87"/>
      <c r="I80" s="14">
        <f t="shared" ref="I80:I91" si="38">G80+H80</f>
        <v>0</v>
      </c>
      <c r="J80" s="87"/>
      <c r="K80" s="87"/>
      <c r="L80" s="109"/>
      <c r="M80" s="89">
        <f t="shared" ref="M80:M91" ca="1" si="39">E80/$E$3</f>
        <v>9.2365504052903518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297590.33255999995</v>
      </c>
      <c r="S80" s="74">
        <f ca="1">F80*(1.3)</f>
        <v>8334.5079999999998</v>
      </c>
      <c r="T80" s="113">
        <f>(I80/1000)*0.561</f>
        <v>0</v>
      </c>
    </row>
    <row r="81" spans="1:20">
      <c r="B81" s="17">
        <v>44958</v>
      </c>
      <c r="C81" s="14"/>
      <c r="D81" s="14"/>
      <c r="E81" s="87">
        <f t="shared" ref="E81:E91" ca="1" si="43">RANDBETWEEN(66000000, 120000000)/100</f>
        <v>1143132.3400000001</v>
      </c>
      <c r="F81" s="87">
        <f t="shared" ref="F81:F91" ca="1" si="44">RANDBETWEEN(640000, 1000000)/100</f>
        <v>8316.5400000000009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14.475969532004424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466397.99472000002</v>
      </c>
      <c r="S81" s="13">
        <f t="shared" ref="S81:S91" ca="1" si="47">F81*(1.3)</f>
        <v>10811.502000000002</v>
      </c>
      <c r="T81" s="33">
        <f t="shared" ref="T81:T87" si="48">(I81/1000)*0.561</f>
        <v>0</v>
      </c>
    </row>
    <row r="82" spans="1:20" ht="16.25" customHeight="1">
      <c r="B82" s="17">
        <v>44986</v>
      </c>
      <c r="C82" s="14"/>
      <c r="D82" s="14"/>
      <c r="E82" s="87">
        <f t="shared" ca="1" si="43"/>
        <v>761955.24</v>
      </c>
      <c r="F82" s="87">
        <f t="shared" ca="1" si="44"/>
        <v>9439.39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9.6489622881206536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310877.73791999999</v>
      </c>
      <c r="S82" s="13">
        <f t="shared" ca="1" si="47"/>
        <v>12271.207</v>
      </c>
      <c r="T82" s="33">
        <f t="shared" si="48"/>
        <v>0</v>
      </c>
    </row>
    <row r="83" spans="1:20">
      <c r="B83" s="17">
        <v>45017</v>
      </c>
      <c r="C83" s="14"/>
      <c r="D83" s="14"/>
      <c r="E83" s="87">
        <f t="shared" ca="1" si="43"/>
        <v>1012585.96</v>
      </c>
      <c r="F83" s="87">
        <f t="shared" ca="1" si="44"/>
        <v>8263.9500000000007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12.822805367832958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413135.07167999994</v>
      </c>
      <c r="S83" s="13">
        <f t="shared" ca="1" si="47"/>
        <v>10743.135000000002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87">
        <f t="shared" ca="1" si="43"/>
        <v>1150698.52</v>
      </c>
      <c r="F84" s="87">
        <f t="shared" ca="1" si="44"/>
        <v>7248.33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14.571783277553482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469484.99615999998</v>
      </c>
      <c r="S84" s="13">
        <f t="shared" ca="1" si="47"/>
        <v>9422.8289999999997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87">
        <f t="shared" ca="1" si="43"/>
        <v>896032.91</v>
      </c>
      <c r="F85" s="87">
        <f t="shared" ca="1" si="44"/>
        <v>9650.74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11.346844674898501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365581.42728</v>
      </c>
      <c r="S85" s="13">
        <f t="shared" ca="1" si="47"/>
        <v>12545.962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87">
        <f t="shared" ca="1" si="43"/>
        <v>1118408.8799999999</v>
      </c>
      <c r="F86" s="87">
        <f t="shared" ca="1" si="44"/>
        <v>7414.35</v>
      </c>
      <c r="G86" s="14"/>
      <c r="H86" s="14"/>
      <c r="I86" s="14">
        <f t="shared" si="38"/>
        <v>0</v>
      </c>
      <c r="J86" s="14"/>
      <c r="K86" s="14"/>
      <c r="L86" s="28"/>
      <c r="M86" s="15">
        <f t="shared" ca="1" si="39"/>
        <v>14.162885874791355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456310.82303999993</v>
      </c>
      <c r="S86" s="13">
        <f t="shared" ca="1" si="47"/>
        <v>9638.6550000000007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87">
        <f t="shared" ca="1" si="43"/>
        <v>950285.76</v>
      </c>
      <c r="F87" s="87">
        <f t="shared" ca="1" si="44"/>
        <v>9471.91</v>
      </c>
      <c r="G87" s="14"/>
      <c r="H87" s="14"/>
      <c r="I87" s="14">
        <f t="shared" si="38"/>
        <v>0</v>
      </c>
      <c r="J87" s="14"/>
      <c r="K87" s="14"/>
      <c r="L87" s="28"/>
      <c r="M87" s="15">
        <f t="shared" ca="1" si="39"/>
        <v>12.03387151872343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387716.59007999999</v>
      </c>
      <c r="S87" s="13">
        <f t="shared" ca="1" si="47"/>
        <v>12313.483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87">
        <f t="shared" ca="1" si="43"/>
        <v>978125.54</v>
      </c>
      <c r="F88" s="87">
        <f t="shared" ca="1" si="44"/>
        <v>7292.59</v>
      </c>
      <c r="G88" s="14"/>
      <c r="H88" s="14"/>
      <c r="I88" s="14">
        <f t="shared" si="38"/>
        <v>0</v>
      </c>
      <c r="J88" s="14"/>
      <c r="K88" s="14"/>
      <c r="L88" s="28"/>
      <c r="M88" s="15">
        <f t="shared" ca="1" si="39"/>
        <v>12.386418457477438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399075.22031999996</v>
      </c>
      <c r="S88" s="13">
        <f t="shared" ca="1" si="47"/>
        <v>9480.3670000000002</v>
      </c>
      <c r="T88" s="33">
        <f t="shared" ref="T88:T91" si="49">(I88/1000)*21.28</f>
        <v>0</v>
      </c>
    </row>
    <row r="89" spans="1:20" s="2" customFormat="1">
      <c r="B89" s="17">
        <v>45200</v>
      </c>
      <c r="C89" s="52"/>
      <c r="D89" s="14"/>
      <c r="E89" s="87">
        <f t="shared" ca="1" si="43"/>
        <v>692319.65</v>
      </c>
      <c r="F89" s="87">
        <f t="shared" ca="1" si="44"/>
        <v>6505.79</v>
      </c>
      <c r="G89" s="14"/>
      <c r="H89" s="14"/>
      <c r="I89" s="14">
        <f t="shared" si="38"/>
        <v>0</v>
      </c>
      <c r="J89" s="14"/>
      <c r="K89" s="14"/>
      <c r="L89" s="28"/>
      <c r="M89" s="15">
        <f t="shared" ca="1" si="39"/>
        <v>8.7671372850915645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282466.41719999997</v>
      </c>
      <c r="S89" s="13">
        <f t="shared" ca="1" si="47"/>
        <v>8457.527</v>
      </c>
      <c r="T89" s="33">
        <f t="shared" si="49"/>
        <v>0</v>
      </c>
    </row>
    <row r="90" spans="1:20" s="2" customFormat="1">
      <c r="B90" s="17">
        <v>45231</v>
      </c>
      <c r="C90" s="52"/>
      <c r="D90" s="14"/>
      <c r="E90" s="87">
        <f t="shared" ca="1" si="43"/>
        <v>934950.14</v>
      </c>
      <c r="F90" s="87">
        <f t="shared" ca="1" si="44"/>
        <v>9434.52</v>
      </c>
      <c r="G90" s="14"/>
      <c r="H90" s="14"/>
      <c r="I90" s="14">
        <f t="shared" si="38"/>
        <v>0</v>
      </c>
      <c r="J90" s="14"/>
      <c r="K90" s="14"/>
      <c r="L90" s="28"/>
      <c r="M90" s="15">
        <f t="shared" ca="1" si="39"/>
        <v>11.839670060059074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381459.65711999999</v>
      </c>
      <c r="S90" s="13">
        <f t="shared" ca="1" si="47"/>
        <v>12264.876</v>
      </c>
      <c r="T90" s="33">
        <f t="shared" si="49"/>
        <v>0</v>
      </c>
    </row>
    <row r="91" spans="1:20" s="2" customFormat="1" ht="14.65" thickBot="1">
      <c r="B91" s="101">
        <v>45261</v>
      </c>
      <c r="C91" s="102"/>
      <c r="D91" s="103"/>
      <c r="E91" s="87">
        <f t="shared" ca="1" si="43"/>
        <v>683250.6</v>
      </c>
      <c r="F91" s="87">
        <f t="shared" ca="1" si="44"/>
        <v>7621.11</v>
      </c>
      <c r="G91" s="103"/>
      <c r="H91" s="103"/>
      <c r="I91" s="103">
        <f t="shared" si="38"/>
        <v>0</v>
      </c>
      <c r="J91" s="103"/>
      <c r="K91" s="103"/>
      <c r="L91" s="104"/>
      <c r="M91" s="105">
        <f t="shared" ca="1" si="39"/>
        <v>8.6522920594860793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278766.24479999999</v>
      </c>
      <c r="S91" s="73">
        <f t="shared" ca="1" si="47"/>
        <v>9907.4429999999993</v>
      </c>
      <c r="T91" s="108">
        <f t="shared" si="49"/>
        <v>0</v>
      </c>
    </row>
    <row r="92" spans="1:20" ht="14.65" thickBot="1">
      <c r="A92" s="91" t="s">
        <v>63</v>
      </c>
      <c r="B92" s="115"/>
      <c r="C92" s="115"/>
      <c r="D92" s="93"/>
      <c r="E92" s="93">
        <f ca="1">SUM(E80:E91)</f>
        <v>11051133.610000001</v>
      </c>
      <c r="F92" s="115"/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2">
        <f ca="1">RANDBETWEEN(68000000,71000000)/100</f>
        <v>686173.69</v>
      </c>
      <c r="F93" s="2">
        <f ca="1">RANDBETWEEN(770000,810000)/100</f>
        <v>7888.83</v>
      </c>
    </row>
    <row r="94" spans="1:20">
      <c r="B94" s="85">
        <v>45323</v>
      </c>
      <c r="E94" s="2">
        <f ca="1">RANDBETWEEN(68000000,71000000)/100</f>
        <v>706903</v>
      </c>
      <c r="F94" s="2">
        <f t="shared" ref="F94:F95" ca="1" si="50">RANDBETWEEN(770000,810000)/100</f>
        <v>7842.88</v>
      </c>
    </row>
    <row r="95" spans="1:20">
      <c r="B95" s="85">
        <v>45352</v>
      </c>
      <c r="F95" s="2">
        <f t="shared" ca="1" si="50"/>
        <v>8027.46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93"/>
      <c r="F105" s="115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D4F6-9AB7-4724-9FAD-8AA84BE0BB9B}">
  <dimension ref="A1:T105"/>
  <sheetViews>
    <sheetView tabSelected="1" topLeftCell="A7" zoomScale="90" zoomScaleNormal="90" workbookViewId="0">
      <selection activeCell="E17" sqref="E17"/>
    </sheetView>
  </sheetViews>
  <sheetFormatPr defaultColWidth="8.796875" defaultRowHeight="14.25"/>
  <cols>
    <col min="1" max="1" width="11.6640625" style="1" customWidth="1"/>
    <col min="2" max="2" width="12" style="1" customWidth="1"/>
    <col min="3" max="3" width="25.6640625" style="1" customWidth="1"/>
    <col min="4" max="4" width="20.6640625" style="2" customWidth="1"/>
    <col min="5" max="5" width="21" style="2" customWidth="1"/>
    <col min="6" max="7" width="25.6640625" style="1" customWidth="1"/>
    <col min="8" max="9" width="20.6640625" style="1" customWidth="1"/>
    <col min="10" max="12" width="15.664062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8" width="24.33203125" style="1" customWidth="1"/>
    <col min="19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0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0"/>
      <c r="F2" s="60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74</v>
      </c>
      <c r="D3" s="14"/>
      <c r="E3" s="14">
        <v>26012.851200000001</v>
      </c>
      <c r="F3" s="13"/>
      <c r="G3" s="29"/>
      <c r="H3" s="46"/>
      <c r="I3" s="46"/>
      <c r="J3" s="14"/>
      <c r="K3" s="45"/>
      <c r="L3" s="45"/>
      <c r="M3" s="14"/>
      <c r="N3" s="1"/>
    </row>
    <row r="4" spans="2:14">
      <c r="B4" s="14" t="s">
        <v>31</v>
      </c>
      <c r="C4" s="14" t="s">
        <v>32</v>
      </c>
      <c r="D4" s="14"/>
      <c r="E4" s="142"/>
      <c r="F4" s="13"/>
      <c r="G4" s="14"/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42"/>
      <c r="F5" s="14"/>
      <c r="G5" s="14"/>
      <c r="H5" s="52"/>
      <c r="I5" s="52"/>
      <c r="J5" s="14"/>
      <c r="K5" s="14"/>
      <c r="L5" s="14"/>
      <c r="M5" s="14"/>
    </row>
    <row r="6" spans="2:14">
      <c r="C6" s="2"/>
      <c r="F6" s="2"/>
      <c r="G6" s="2"/>
    </row>
    <row r="7" spans="2:14">
      <c r="B7" s="43" t="s">
        <v>3</v>
      </c>
      <c r="C7" s="43"/>
      <c r="D7" s="43"/>
      <c r="E7" s="42"/>
      <c r="F7" s="42"/>
      <c r="G7" s="42"/>
      <c r="H7" s="42"/>
      <c r="I7" s="42"/>
    </row>
    <row r="8" spans="2:14">
      <c r="B8" s="43" t="s">
        <v>30</v>
      </c>
      <c r="C8" s="43"/>
      <c r="D8" s="43"/>
      <c r="E8" s="44"/>
      <c r="F8" s="42"/>
      <c r="G8" s="42"/>
      <c r="H8" s="42"/>
      <c r="I8" s="42"/>
    </row>
    <row r="9" spans="2:14">
      <c r="B9" s="43" t="s">
        <v>20</v>
      </c>
      <c r="C9" s="43"/>
      <c r="D9" s="43"/>
      <c r="E9" s="43"/>
      <c r="F9" s="42"/>
      <c r="G9" s="42"/>
      <c r="H9" s="42"/>
      <c r="I9" s="42"/>
    </row>
    <row r="10" spans="2:14">
      <c r="B10" s="43" t="s">
        <v>21</v>
      </c>
      <c r="C10" s="43"/>
      <c r="D10" s="43"/>
      <c r="E10" s="43"/>
      <c r="F10" s="42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57">
      <c r="B12" s="21" t="s">
        <v>12</v>
      </c>
      <c r="C12" s="23" t="s">
        <v>35</v>
      </c>
      <c r="D12" s="23" t="s">
        <v>41</v>
      </c>
      <c r="E12" s="148" t="s">
        <v>36</v>
      </c>
      <c r="F12" s="59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42">
        <f ca="1">RANDBETWEEN(12000000, 40000000)/100</f>
        <v>349104.7</v>
      </c>
      <c r="F13" s="142">
        <f ca="1">RANDBETWEEN(130000, 410000)/100</f>
        <v>2318.1799999999998</v>
      </c>
      <c r="G13" s="14"/>
      <c r="H13" s="14"/>
      <c r="I13" s="14"/>
      <c r="J13" s="16">
        <f t="shared" ref="J13:J24" si="0">$L$11</f>
        <v>21.666666666666668</v>
      </c>
      <c r="K13" s="15">
        <f t="shared" ref="K13:K24" ca="1" si="1">E13/$E$3</f>
        <v>13.420470417329723</v>
      </c>
      <c r="L13" s="14" t="e">
        <f>(C13/$E$4)*(55/60)</f>
        <v>#DIV/0!</v>
      </c>
      <c r="M13" s="13" t="e">
        <f t="shared" ref="M13:M24" ca="1" si="2">F13*1000/(H13+0.25*I13)/J13</f>
        <v>#DIV/0!</v>
      </c>
      <c r="N13" s="12"/>
    </row>
    <row r="14" spans="2:14">
      <c r="B14" s="17">
        <v>43132</v>
      </c>
      <c r="C14" s="14"/>
      <c r="D14" s="14"/>
      <c r="E14" s="142">
        <f t="shared" ref="E14:E24" ca="1" si="3">RANDBETWEEN(12000000, 40000000)/100</f>
        <v>249207.27</v>
      </c>
      <c r="F14" s="142">
        <f t="shared" ref="F14:F24" ca="1" si="4">RANDBETWEEN(130000, 410000)/100</f>
        <v>2089.66</v>
      </c>
      <c r="G14" s="14"/>
      <c r="H14" s="14"/>
      <c r="I14" s="14"/>
      <c r="J14" s="16">
        <f t="shared" si="0"/>
        <v>21.666666666666668</v>
      </c>
      <c r="K14" s="15">
        <f t="shared" ca="1" si="1"/>
        <v>9.580159748117115</v>
      </c>
      <c r="L14" s="14" t="e">
        <f t="shared" ref="L14:L24" si="5">(C14/$E$4)*(55/60)</f>
        <v>#DIV/0!</v>
      </c>
      <c r="M14" s="13" t="e">
        <f t="shared" ca="1" si="2"/>
        <v>#DIV/0!</v>
      </c>
      <c r="N14" s="12"/>
    </row>
    <row r="15" spans="2:14">
      <c r="B15" s="17">
        <v>43160</v>
      </c>
      <c r="C15" s="14"/>
      <c r="D15" s="14"/>
      <c r="E15" s="142">
        <f t="shared" ca="1" si="3"/>
        <v>225048.63</v>
      </c>
      <c r="F15" s="142">
        <f t="shared" ca="1" si="4"/>
        <v>3449.87</v>
      </c>
      <c r="G15" s="14"/>
      <c r="H15" s="14"/>
      <c r="I15" s="14"/>
      <c r="J15" s="16">
        <f t="shared" si="0"/>
        <v>21.666666666666668</v>
      </c>
      <c r="K15" s="15">
        <f t="shared" ca="1" si="1"/>
        <v>8.6514403311544719</v>
      </c>
      <c r="L15" s="14" t="e">
        <f t="shared" si="5"/>
        <v>#DIV/0!</v>
      </c>
      <c r="M15" s="13" t="e">
        <f t="shared" ca="1" si="2"/>
        <v>#DIV/0!</v>
      </c>
      <c r="N15" s="12"/>
    </row>
    <row r="16" spans="2:14">
      <c r="B16" s="17">
        <v>43191</v>
      </c>
      <c r="C16" s="14"/>
      <c r="D16" s="14"/>
      <c r="E16" s="142">
        <f t="shared" ca="1" si="3"/>
        <v>335615.23</v>
      </c>
      <c r="F16" s="142">
        <f t="shared" ca="1" si="4"/>
        <v>2090.17</v>
      </c>
      <c r="G16" s="14"/>
      <c r="H16" s="14"/>
      <c r="I16" s="14"/>
      <c r="J16" s="16">
        <f t="shared" si="0"/>
        <v>21.666666666666668</v>
      </c>
      <c r="K16" s="15">
        <f t="shared" ca="1" si="1"/>
        <v>12.901900965012246</v>
      </c>
      <c r="L16" s="14" t="e">
        <f t="shared" si="5"/>
        <v>#DIV/0!</v>
      </c>
      <c r="M16" s="13" t="e">
        <f t="shared" ca="1" si="2"/>
        <v>#DIV/0!</v>
      </c>
      <c r="N16" s="12"/>
    </row>
    <row r="17" spans="1:14" s="2" customFormat="1">
      <c r="B17" s="17">
        <v>43221</v>
      </c>
      <c r="C17" s="14"/>
      <c r="D17" s="14"/>
      <c r="E17" s="142">
        <f t="shared" ca="1" si="3"/>
        <v>135585.85</v>
      </c>
      <c r="F17" s="142">
        <f t="shared" ca="1" si="4"/>
        <v>1707.1</v>
      </c>
      <c r="G17" s="14"/>
      <c r="H17" s="14"/>
      <c r="I17" s="14"/>
      <c r="J17" s="16">
        <f t="shared" si="0"/>
        <v>21.666666666666668</v>
      </c>
      <c r="K17" s="15">
        <f t="shared" ca="1" si="1"/>
        <v>5.2122640827622924</v>
      </c>
      <c r="L17" s="14" t="e">
        <f t="shared" si="5"/>
        <v>#DIV/0!</v>
      </c>
      <c r="M17" s="13" t="e">
        <f t="shared" ca="1" si="2"/>
        <v>#DIV/0!</v>
      </c>
      <c r="N17" s="12"/>
    </row>
    <row r="18" spans="1:14" s="2" customFormat="1">
      <c r="B18" s="17">
        <v>43252</v>
      </c>
      <c r="C18" s="14"/>
      <c r="D18" s="14"/>
      <c r="E18" s="142">
        <f t="shared" ca="1" si="3"/>
        <v>341263.38</v>
      </c>
      <c r="F18" s="142">
        <f t="shared" ca="1" si="4"/>
        <v>1761.65</v>
      </c>
      <c r="G18" s="14"/>
      <c r="H18" s="14"/>
      <c r="I18" s="14"/>
      <c r="J18" s="16">
        <f t="shared" si="0"/>
        <v>21.666666666666668</v>
      </c>
      <c r="K18" s="15">
        <f t="shared" ca="1" si="1"/>
        <v>13.119030181512743</v>
      </c>
      <c r="L18" s="14" t="e">
        <f t="shared" si="5"/>
        <v>#DIV/0!</v>
      </c>
      <c r="M18" s="13" t="e">
        <f t="shared" ca="1" si="2"/>
        <v>#DIV/0!</v>
      </c>
      <c r="N18" s="12"/>
    </row>
    <row r="19" spans="1:14" s="2" customFormat="1">
      <c r="B19" s="17">
        <v>43282</v>
      </c>
      <c r="C19" s="14"/>
      <c r="D19" s="14"/>
      <c r="E19" s="142">
        <f t="shared" ca="1" si="3"/>
        <v>378769.87</v>
      </c>
      <c r="F19" s="142">
        <f t="shared" ca="1" si="4"/>
        <v>1805.21</v>
      </c>
      <c r="G19" s="14"/>
      <c r="H19" s="14"/>
      <c r="I19" s="14"/>
      <c r="J19" s="16">
        <f t="shared" si="0"/>
        <v>21.666666666666668</v>
      </c>
      <c r="K19" s="15">
        <f t="shared" ca="1" si="1"/>
        <v>14.56087481867424</v>
      </c>
      <c r="L19" s="14" t="e">
        <f t="shared" si="5"/>
        <v>#DIV/0!</v>
      </c>
      <c r="M19" s="13" t="e">
        <f t="shared" ca="1" si="2"/>
        <v>#DIV/0!</v>
      </c>
      <c r="N19" s="12"/>
    </row>
    <row r="20" spans="1:14" s="2" customFormat="1">
      <c r="B20" s="17">
        <v>43313</v>
      </c>
      <c r="C20" s="14"/>
      <c r="D20" s="14"/>
      <c r="E20" s="142">
        <f t="shared" ca="1" si="3"/>
        <v>320068.98</v>
      </c>
      <c r="F20" s="142">
        <f t="shared" ca="1" si="4"/>
        <v>2827.56</v>
      </c>
      <c r="G20" s="14"/>
      <c r="H20" s="14"/>
      <c r="I20" s="14"/>
      <c r="J20" s="16">
        <f t="shared" si="0"/>
        <v>21.666666666666668</v>
      </c>
      <c r="K20" s="15">
        <f t="shared" ca="1" si="1"/>
        <v>12.304263671027341</v>
      </c>
      <c r="L20" s="14" t="e">
        <f t="shared" si="5"/>
        <v>#DIV/0!</v>
      </c>
      <c r="M20" s="13" t="e">
        <f t="shared" ca="1" si="2"/>
        <v>#DIV/0!</v>
      </c>
      <c r="N20" s="12"/>
    </row>
    <row r="21" spans="1:14" s="2" customFormat="1">
      <c r="B21" s="17">
        <v>43344</v>
      </c>
      <c r="C21" s="14"/>
      <c r="D21" s="14"/>
      <c r="E21" s="142">
        <f t="shared" ca="1" si="3"/>
        <v>220024.53</v>
      </c>
      <c r="F21" s="142">
        <f t="shared" ca="1" si="4"/>
        <v>2488.3000000000002</v>
      </c>
      <c r="G21" s="14"/>
      <c r="H21" s="14"/>
      <c r="I21" s="14"/>
      <c r="J21" s="16">
        <f t="shared" si="0"/>
        <v>21.666666666666668</v>
      </c>
      <c r="K21" s="15">
        <f t="shared" ca="1" si="1"/>
        <v>8.4583011799952175</v>
      </c>
      <c r="L21" s="14" t="e">
        <f t="shared" si="5"/>
        <v>#DIV/0!</v>
      </c>
      <c r="M21" s="13" t="e">
        <f t="shared" ca="1" si="2"/>
        <v>#DIV/0!</v>
      </c>
      <c r="N21" s="12"/>
    </row>
    <row r="22" spans="1:14" s="2" customFormat="1">
      <c r="B22" s="17">
        <v>43374</v>
      </c>
      <c r="C22" s="14"/>
      <c r="D22" s="14"/>
      <c r="E22" s="142">
        <f t="shared" ca="1" si="3"/>
        <v>156732.29</v>
      </c>
      <c r="F22" s="142">
        <f t="shared" ca="1" si="4"/>
        <v>1971.35</v>
      </c>
      <c r="G22" s="14"/>
      <c r="H22" s="14"/>
      <c r="I22" s="14"/>
      <c r="J22" s="16">
        <f t="shared" si="0"/>
        <v>21.666666666666668</v>
      </c>
      <c r="K22" s="15">
        <f t="shared" ca="1" si="1"/>
        <v>6.0251868891634608</v>
      </c>
      <c r="L22" s="14" t="e">
        <f t="shared" si="5"/>
        <v>#DIV/0!</v>
      </c>
      <c r="M22" s="13" t="e">
        <f t="shared" ca="1" si="2"/>
        <v>#DIV/0!</v>
      </c>
      <c r="N22" s="12"/>
    </row>
    <row r="23" spans="1:14" s="2" customFormat="1">
      <c r="B23" s="17">
        <v>43405</v>
      </c>
      <c r="C23" s="14"/>
      <c r="D23" s="14"/>
      <c r="E23" s="142">
        <f t="shared" ca="1" si="3"/>
        <v>273175.38</v>
      </c>
      <c r="F23" s="142">
        <f t="shared" ca="1" si="4"/>
        <v>1955.94</v>
      </c>
      <c r="G23" s="14"/>
      <c r="H23" s="14"/>
      <c r="I23" s="14"/>
      <c r="J23" s="16">
        <f t="shared" si="0"/>
        <v>21.666666666666668</v>
      </c>
      <c r="K23" s="15">
        <f t="shared" ca="1" si="1"/>
        <v>10.501554708466559</v>
      </c>
      <c r="L23" s="14" t="e">
        <f t="shared" si="5"/>
        <v>#DIV/0!</v>
      </c>
      <c r="M23" s="13" t="e">
        <f t="shared" ca="1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42">
        <f t="shared" ca="1" si="3"/>
        <v>368820.16</v>
      </c>
      <c r="F24" s="142">
        <f t="shared" ca="1" si="4"/>
        <v>2151.41</v>
      </c>
      <c r="G24" s="9"/>
      <c r="H24" s="9"/>
      <c r="I24" s="9"/>
      <c r="J24" s="25">
        <f t="shared" si="0"/>
        <v>21.666666666666668</v>
      </c>
      <c r="K24" s="10">
        <f t="shared" ca="1" si="1"/>
        <v>14.178382721844807</v>
      </c>
      <c r="L24" s="9" t="e">
        <f t="shared" si="5"/>
        <v>#DIV/0!</v>
      </c>
      <c r="M24" s="8" t="e">
        <f t="shared" ca="1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44">
        <f ca="1">SUM(E13:E24)</f>
        <v>3353416.27</v>
      </c>
      <c r="F25" s="92">
        <f ca="1">SUM(F13:F24)</f>
        <v>26616.399999999998</v>
      </c>
      <c r="G25" s="93"/>
      <c r="H25" s="93"/>
      <c r="I25" s="93"/>
      <c r="J25" s="93"/>
      <c r="K25" s="93">
        <f ca="1">E25/E3</f>
        <v>128.91382971506022</v>
      </c>
      <c r="L25" s="93" t="e">
        <f>SUM(L13:L24)</f>
        <v>#DIV/0!</v>
      </c>
      <c r="M25" s="94" t="e">
        <f ca="1">AVERAGE(M13:M24)</f>
        <v>#DIV/0!</v>
      </c>
      <c r="N25" s="95"/>
    </row>
    <row r="26" spans="1:14">
      <c r="B26" s="17">
        <v>43466</v>
      </c>
      <c r="C26" s="18"/>
      <c r="D26" s="18"/>
      <c r="E26" s="142">
        <f ca="1">RANDBETWEEN(34000000, 40000000)/100</f>
        <v>395115.13</v>
      </c>
      <c r="F26" s="142">
        <f ca="1">RANDBETWEEN(140000, 640000)/100</f>
        <v>3590.44</v>
      </c>
      <c r="G26" s="14"/>
      <c r="H26" s="14"/>
      <c r="I26" s="14"/>
      <c r="J26" s="16">
        <f t="shared" ref="J26:J37" si="6">$L$11</f>
        <v>21.666666666666668</v>
      </c>
      <c r="K26" s="15">
        <f t="shared" ref="K26:K37" ca="1" si="7">E26/$E$3</f>
        <v>15.189228084309343</v>
      </c>
      <c r="L26" s="14" t="e">
        <f t="shared" ref="L26:L37" si="8">(C26/$E$4)*(55/60)</f>
        <v>#DIV/0!</v>
      </c>
      <c r="M26" s="13" t="e">
        <f t="shared" ref="M26:M37" ca="1" si="9">F26*1000/(H26+0.25*I26)/J26</f>
        <v>#DIV/0!</v>
      </c>
      <c r="N26" s="12"/>
    </row>
    <row r="27" spans="1:14">
      <c r="B27" s="17">
        <v>43497</v>
      </c>
      <c r="C27" s="14"/>
      <c r="D27" s="14"/>
      <c r="E27" s="142">
        <f t="shared" ref="E27:E37" ca="1" si="10">RANDBETWEEN(34000000, 40000000)/100</f>
        <v>399344.31</v>
      </c>
      <c r="F27" s="142">
        <f t="shared" ref="F27:F37" ca="1" si="11">RANDBETWEEN(140000, 640000)/100</f>
        <v>1922.57</v>
      </c>
      <c r="G27" s="14"/>
      <c r="H27" s="14"/>
      <c r="I27" s="14"/>
      <c r="J27" s="16">
        <f t="shared" si="6"/>
        <v>21.666666666666668</v>
      </c>
      <c r="K27" s="15">
        <f t="shared" ca="1" si="7"/>
        <v>15.351808493795559</v>
      </c>
      <c r="L27" s="14" t="e">
        <f t="shared" si="8"/>
        <v>#DIV/0!</v>
      </c>
      <c r="M27" s="13" t="e">
        <f t="shared" ca="1" si="9"/>
        <v>#DIV/0!</v>
      </c>
      <c r="N27" s="12"/>
    </row>
    <row r="28" spans="1:14">
      <c r="B28" s="17">
        <v>43525</v>
      </c>
      <c r="C28" s="14"/>
      <c r="D28" s="14"/>
      <c r="E28" s="142">
        <f t="shared" ca="1" si="10"/>
        <v>343699.42</v>
      </c>
      <c r="F28" s="142">
        <f t="shared" ca="1" si="11"/>
        <v>5703.2</v>
      </c>
      <c r="G28" s="14"/>
      <c r="H28" s="14"/>
      <c r="I28" s="14"/>
      <c r="J28" s="16">
        <f t="shared" si="6"/>
        <v>21.666666666666668</v>
      </c>
      <c r="K28" s="15">
        <f t="shared" ca="1" si="7"/>
        <v>13.212677739839606</v>
      </c>
      <c r="L28" s="14" t="e">
        <f t="shared" si="8"/>
        <v>#DIV/0!</v>
      </c>
      <c r="M28" s="13" t="e">
        <f t="shared" ca="1" si="9"/>
        <v>#DIV/0!</v>
      </c>
      <c r="N28" s="12"/>
    </row>
    <row r="29" spans="1:14">
      <c r="B29" s="17">
        <v>43556</v>
      </c>
      <c r="C29" s="14"/>
      <c r="D29" s="14"/>
      <c r="E29" s="142">
        <f t="shared" ca="1" si="10"/>
        <v>362542.51</v>
      </c>
      <c r="F29" s="142">
        <f t="shared" ca="1" si="11"/>
        <v>5177.7</v>
      </c>
      <c r="G29" s="14"/>
      <c r="H29" s="14"/>
      <c r="I29" s="14"/>
      <c r="J29" s="16">
        <f t="shared" si="6"/>
        <v>21.666666666666668</v>
      </c>
      <c r="K29" s="15">
        <f t="shared" ca="1" si="7"/>
        <v>13.937053928175317</v>
      </c>
      <c r="L29" s="14" t="e">
        <f t="shared" si="8"/>
        <v>#DIV/0!</v>
      </c>
      <c r="M29" s="13" t="e">
        <f t="shared" ca="1" si="9"/>
        <v>#DIV/0!</v>
      </c>
      <c r="N29" s="12"/>
    </row>
    <row r="30" spans="1:14">
      <c r="B30" s="17">
        <v>43586</v>
      </c>
      <c r="C30" s="14"/>
      <c r="D30" s="14"/>
      <c r="E30" s="142">
        <f t="shared" ca="1" si="10"/>
        <v>395719.66</v>
      </c>
      <c r="F30" s="142">
        <f t="shared" ca="1" si="11"/>
        <v>5948.97</v>
      </c>
      <c r="G30" s="14"/>
      <c r="H30" s="14"/>
      <c r="I30" s="14"/>
      <c r="J30" s="16">
        <f t="shared" si="6"/>
        <v>21.666666666666668</v>
      </c>
      <c r="K30" s="15">
        <f t="shared" ca="1" si="7"/>
        <v>15.21246775132439</v>
      </c>
      <c r="L30" s="14" t="e">
        <f t="shared" si="8"/>
        <v>#DIV/0!</v>
      </c>
      <c r="M30" s="13" t="e">
        <f t="shared" ca="1" si="9"/>
        <v>#DIV/0!</v>
      </c>
      <c r="N30" s="12"/>
    </row>
    <row r="31" spans="1:14">
      <c r="B31" s="17">
        <v>43617</v>
      </c>
      <c r="C31" s="14"/>
      <c r="D31" s="14"/>
      <c r="E31" s="142">
        <f t="shared" ca="1" si="10"/>
        <v>378242.7</v>
      </c>
      <c r="F31" s="142">
        <f t="shared" ca="1" si="11"/>
        <v>3078.67</v>
      </c>
      <c r="G31" s="14"/>
      <c r="H31" s="14"/>
      <c r="I31" s="14"/>
      <c r="J31" s="16">
        <f t="shared" si="6"/>
        <v>21.666666666666668</v>
      </c>
      <c r="K31" s="15">
        <f t="shared" ca="1" si="7"/>
        <v>14.540609066337181</v>
      </c>
      <c r="L31" s="14" t="e">
        <f t="shared" si="8"/>
        <v>#DIV/0!</v>
      </c>
      <c r="M31" s="13" t="e">
        <f t="shared" ca="1" si="9"/>
        <v>#DIV/0!</v>
      </c>
      <c r="N31" s="12"/>
    </row>
    <row r="32" spans="1:14">
      <c r="B32" s="17">
        <v>43647</v>
      </c>
      <c r="C32" s="14"/>
      <c r="D32" s="14"/>
      <c r="E32" s="142">
        <f t="shared" ca="1" si="10"/>
        <v>382733.79</v>
      </c>
      <c r="F32" s="142">
        <f t="shared" ca="1" si="11"/>
        <v>2253.02</v>
      </c>
      <c r="G32" s="14"/>
      <c r="H32" s="14"/>
      <c r="I32" s="14"/>
      <c r="J32" s="16">
        <f t="shared" si="6"/>
        <v>21.666666666666668</v>
      </c>
      <c r="K32" s="15">
        <f t="shared" ca="1" si="7"/>
        <v>14.71325796074211</v>
      </c>
      <c r="L32" s="14" t="e">
        <f t="shared" si="8"/>
        <v>#DIV/0!</v>
      </c>
      <c r="M32" s="13" t="e">
        <f t="shared" ca="1" si="9"/>
        <v>#DIV/0!</v>
      </c>
      <c r="N32" s="12"/>
    </row>
    <row r="33" spans="1:14">
      <c r="B33" s="17">
        <v>43678</v>
      </c>
      <c r="C33" s="14"/>
      <c r="D33" s="14"/>
      <c r="E33" s="142">
        <f t="shared" ca="1" si="10"/>
        <v>395256.13</v>
      </c>
      <c r="F33" s="142">
        <f t="shared" ca="1" si="11"/>
        <v>4829</v>
      </c>
      <c r="G33" s="14"/>
      <c r="H33" s="14"/>
      <c r="I33" s="14"/>
      <c r="J33" s="16">
        <f t="shared" si="6"/>
        <v>21.666666666666668</v>
      </c>
      <c r="K33" s="15">
        <f t="shared" ca="1" si="7"/>
        <v>15.1946484820549</v>
      </c>
      <c r="L33" s="14" t="e">
        <f t="shared" si="8"/>
        <v>#DIV/0!</v>
      </c>
      <c r="M33" s="13" t="e">
        <f t="shared" ca="1" si="9"/>
        <v>#DIV/0!</v>
      </c>
      <c r="N33" s="12"/>
    </row>
    <row r="34" spans="1:14">
      <c r="B34" s="17">
        <v>43709</v>
      </c>
      <c r="C34" s="14"/>
      <c r="D34" s="14"/>
      <c r="E34" s="142">
        <f t="shared" ca="1" si="10"/>
        <v>362279.27</v>
      </c>
      <c r="F34" s="142">
        <f t="shared" ca="1" si="11"/>
        <v>2453.63</v>
      </c>
      <c r="G34" s="14"/>
      <c r="H34" s="14"/>
      <c r="I34" s="14"/>
      <c r="J34" s="16">
        <f t="shared" si="6"/>
        <v>21.666666666666668</v>
      </c>
      <c r="K34" s="15">
        <f t="shared" ca="1" si="7"/>
        <v>13.926934314682121</v>
      </c>
      <c r="L34" s="14" t="e">
        <f t="shared" si="8"/>
        <v>#DIV/0!</v>
      </c>
      <c r="M34" s="13" t="e">
        <f t="shared" ca="1" si="9"/>
        <v>#DIV/0!</v>
      </c>
      <c r="N34" s="12"/>
    </row>
    <row r="35" spans="1:14">
      <c r="B35" s="17">
        <v>43739</v>
      </c>
      <c r="C35" s="14"/>
      <c r="D35" s="14"/>
      <c r="E35" s="142">
        <f t="shared" ca="1" si="10"/>
        <v>361613.87</v>
      </c>
      <c r="F35" s="142">
        <f t="shared" ca="1" si="11"/>
        <v>5379.99</v>
      </c>
      <c r="G35" s="14"/>
      <c r="H35" s="14"/>
      <c r="I35" s="14"/>
      <c r="J35" s="16">
        <f t="shared" si="6"/>
        <v>21.666666666666668</v>
      </c>
      <c r="K35" s="15">
        <f t="shared" ca="1" si="7"/>
        <v>13.901354650427555</v>
      </c>
      <c r="L35" s="14" t="e">
        <f t="shared" si="8"/>
        <v>#DIV/0!</v>
      </c>
      <c r="M35" s="13" t="e">
        <f t="shared" ca="1" si="9"/>
        <v>#DIV/0!</v>
      </c>
      <c r="N35" s="12"/>
    </row>
    <row r="36" spans="1:14">
      <c r="B36" s="17">
        <v>43770</v>
      </c>
      <c r="C36" s="14"/>
      <c r="D36" s="14"/>
      <c r="E36" s="142">
        <f t="shared" ca="1" si="10"/>
        <v>345820.34</v>
      </c>
      <c r="F36" s="142">
        <f t="shared" ca="1" si="11"/>
        <v>2178.84</v>
      </c>
      <c r="G36" s="14"/>
      <c r="H36" s="14"/>
      <c r="I36" s="14"/>
      <c r="J36" s="16">
        <f t="shared" si="6"/>
        <v>21.666666666666668</v>
      </c>
      <c r="K36" s="15">
        <f t="shared" ca="1" si="7"/>
        <v>13.294211285843208</v>
      </c>
      <c r="L36" s="14" t="e">
        <f t="shared" si="8"/>
        <v>#DIV/0!</v>
      </c>
      <c r="M36" s="13" t="e">
        <f t="shared" ca="1" si="9"/>
        <v>#DIV/0!</v>
      </c>
      <c r="N36" s="12"/>
    </row>
    <row r="37" spans="1:14" ht="14.65" thickBot="1">
      <c r="B37" s="11">
        <v>43800</v>
      </c>
      <c r="C37" s="9"/>
      <c r="D37" s="9"/>
      <c r="E37" s="142">
        <f t="shared" ca="1" si="10"/>
        <v>375775.24</v>
      </c>
      <c r="F37" s="142">
        <f t="shared" ca="1" si="11"/>
        <v>5735.78</v>
      </c>
      <c r="G37" s="9"/>
      <c r="H37" s="9"/>
      <c r="I37" s="9"/>
      <c r="J37" s="25">
        <f t="shared" si="6"/>
        <v>21.666666666666668</v>
      </c>
      <c r="K37" s="10">
        <f t="shared" ca="1" si="7"/>
        <v>14.445753643491413</v>
      </c>
      <c r="L37" s="9" t="e">
        <f t="shared" si="8"/>
        <v>#DIV/0!</v>
      </c>
      <c r="M37" s="8" t="e">
        <f t="shared" ca="1" si="9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93">
        <f ca="1">SUM(E26:E37)</f>
        <v>4498142.37</v>
      </c>
      <c r="F38" s="92">
        <f ca="1">SUM(F26:F37)</f>
        <v>48251.81</v>
      </c>
      <c r="G38" s="93"/>
      <c r="H38" s="93"/>
      <c r="I38" s="93"/>
      <c r="J38" s="93"/>
      <c r="K38" s="96">
        <f ca="1">SUM(K26:K37)</f>
        <v>172.92000540102268</v>
      </c>
      <c r="L38" s="93" t="e">
        <f>SUM(L26:L37)</f>
        <v>#DIV/0!</v>
      </c>
      <c r="M38" s="94" t="e">
        <f ca="1">AVERAGE(M26:M37)</f>
        <v>#DIV/0!</v>
      </c>
      <c r="N38" s="95"/>
    </row>
    <row r="39" spans="1:14" s="2" customFormat="1">
      <c r="B39" s="85">
        <v>43831</v>
      </c>
      <c r="C39" s="86"/>
      <c r="D39" s="86"/>
      <c r="E39" s="140">
        <f ca="1">RANDBETWEEN(32000000, 38000000)/100</f>
        <v>366823.24</v>
      </c>
      <c r="F39" s="140">
        <f ca="1">RANDBETWEEN(110000, 210000)/100</f>
        <v>1979.13</v>
      </c>
      <c r="G39" s="87"/>
      <c r="H39" s="87"/>
      <c r="I39" s="87"/>
      <c r="J39" s="88">
        <f>$L$11</f>
        <v>21.666666666666668</v>
      </c>
      <c r="K39" s="89">
        <f t="shared" ref="K39:K50" ca="1" si="12">E39/$E$3</f>
        <v>14.101616050454322</v>
      </c>
      <c r="L39" s="87" t="e">
        <f t="shared" ref="L39:L50" si="13">(C39/$E$4)*(55/60)</f>
        <v>#DIV/0!</v>
      </c>
      <c r="M39" s="74" t="e">
        <f ca="1"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40">
        <f t="shared" ref="E40:E50" ca="1" si="14">RANDBETWEEN(32000000, 38000000)/100</f>
        <v>379009.74</v>
      </c>
      <c r="F40" s="140">
        <f t="shared" ref="F40:F50" ca="1" si="15">RANDBETWEEN(110000, 210000)/100</f>
        <v>1754.07</v>
      </c>
      <c r="G40" s="14"/>
      <c r="H40" s="14"/>
      <c r="I40" s="14"/>
      <c r="J40" s="16">
        <f>$L$11</f>
        <v>21.666666666666668</v>
      </c>
      <c r="K40" s="15">
        <f t="shared" ca="1" si="12"/>
        <v>14.570096030073012</v>
      </c>
      <c r="L40" s="14" t="e">
        <f t="shared" si="13"/>
        <v>#DIV/0!</v>
      </c>
      <c r="M40" s="13" t="e">
        <f t="shared" ref="M40:M50" ca="1" si="16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40">
        <f t="shared" ca="1" si="14"/>
        <v>328036.58</v>
      </c>
      <c r="F41" s="140">
        <f t="shared" ca="1" si="15"/>
        <v>1894.28</v>
      </c>
      <c r="G41" s="14"/>
      <c r="H41" s="14"/>
      <c r="I41" s="14"/>
      <c r="J41" s="16">
        <f>$L$11</f>
        <v>21.666666666666668</v>
      </c>
      <c r="K41" s="15">
        <f t="shared" ca="1" si="12"/>
        <v>12.610558430442257</v>
      </c>
      <c r="L41" s="14" t="e">
        <f t="shared" si="13"/>
        <v>#DIV/0!</v>
      </c>
      <c r="M41" s="13" t="e">
        <f t="shared" ca="1" si="16"/>
        <v>#DIV/0!</v>
      </c>
      <c r="N41" s="12"/>
    </row>
    <row r="42" spans="1:14" s="2" customFormat="1">
      <c r="B42" s="17">
        <v>43922</v>
      </c>
      <c r="C42" s="14"/>
      <c r="D42" s="14"/>
      <c r="E42" s="140">
        <f t="shared" ca="1" si="14"/>
        <v>321903.28000000003</v>
      </c>
      <c r="F42" s="140">
        <f t="shared" ca="1" si="15"/>
        <v>1171.4000000000001</v>
      </c>
      <c r="G42" s="14"/>
      <c r="H42" s="14"/>
      <c r="I42" s="14"/>
      <c r="J42" s="28">
        <v>20</v>
      </c>
      <c r="K42" s="15">
        <f t="shared" ca="1" si="12"/>
        <v>12.374778817017953</v>
      </c>
      <c r="L42" s="14" t="e">
        <f t="shared" si="13"/>
        <v>#DIV/0!</v>
      </c>
      <c r="M42" s="13" t="e">
        <f t="shared" ca="1" si="16"/>
        <v>#DIV/0!</v>
      </c>
      <c r="N42" s="12"/>
    </row>
    <row r="43" spans="1:14">
      <c r="B43" s="17">
        <v>43952</v>
      </c>
      <c r="C43" s="14"/>
      <c r="D43" s="14"/>
      <c r="E43" s="140">
        <f t="shared" ca="1" si="14"/>
        <v>322635.28000000003</v>
      </c>
      <c r="F43" s="140">
        <f t="shared" ca="1" si="15"/>
        <v>2076.04</v>
      </c>
      <c r="G43" s="14"/>
      <c r="H43" s="14"/>
      <c r="I43" s="14"/>
      <c r="J43" s="28">
        <v>18</v>
      </c>
      <c r="K43" s="15">
        <f t="shared" ca="1" si="12"/>
        <v>12.402918754250207</v>
      </c>
      <c r="L43" s="14" t="e">
        <f t="shared" si="13"/>
        <v>#DIV/0!</v>
      </c>
      <c r="M43" s="13" t="e">
        <f t="shared" ca="1" si="16"/>
        <v>#DIV/0!</v>
      </c>
      <c r="N43" s="12"/>
    </row>
    <row r="44" spans="1:14">
      <c r="B44" s="17">
        <v>43983</v>
      </c>
      <c r="C44" s="14"/>
      <c r="D44" s="14"/>
      <c r="E44" s="140">
        <f t="shared" ca="1" si="14"/>
        <v>330691.12</v>
      </c>
      <c r="F44" s="140">
        <f t="shared" ca="1" si="15"/>
        <v>2090.88</v>
      </c>
      <c r="G44" s="14"/>
      <c r="H44" s="18"/>
      <c r="I44" s="14"/>
      <c r="J44" s="28">
        <v>22</v>
      </c>
      <c r="K44" s="15">
        <f t="shared" ca="1" si="12"/>
        <v>12.712605683147874</v>
      </c>
      <c r="L44" s="14" t="e">
        <f t="shared" si="13"/>
        <v>#DIV/0!</v>
      </c>
      <c r="M44" s="13" t="e">
        <f t="shared" ca="1" si="16"/>
        <v>#DIV/0!</v>
      </c>
      <c r="N44" s="12"/>
    </row>
    <row r="45" spans="1:14">
      <c r="B45" s="17">
        <v>44013</v>
      </c>
      <c r="C45" s="14"/>
      <c r="D45" s="14"/>
      <c r="E45" s="140">
        <f t="shared" ca="1" si="14"/>
        <v>333068.76</v>
      </c>
      <c r="F45" s="140">
        <f t="shared" ca="1" si="15"/>
        <v>2010.89</v>
      </c>
      <c r="G45" s="14"/>
      <c r="H45" s="18"/>
      <c r="I45" s="14"/>
      <c r="J45" s="28">
        <v>21</v>
      </c>
      <c r="K45" s="15">
        <f t="shared" ca="1" si="12"/>
        <v>12.804008197302108</v>
      </c>
      <c r="L45" s="14" t="e">
        <f t="shared" si="13"/>
        <v>#DIV/0!</v>
      </c>
      <c r="M45" s="13" t="e">
        <f t="shared" ca="1" si="16"/>
        <v>#DIV/0!</v>
      </c>
      <c r="N45" s="12"/>
    </row>
    <row r="46" spans="1:14">
      <c r="B46" s="17">
        <v>44044</v>
      </c>
      <c r="C46" s="14"/>
      <c r="D46" s="14"/>
      <c r="E46" s="140">
        <f t="shared" ca="1" si="14"/>
        <v>377481.42</v>
      </c>
      <c r="F46" s="140">
        <f t="shared" ca="1" si="15"/>
        <v>1308.54</v>
      </c>
      <c r="G46" s="14"/>
      <c r="H46" s="18"/>
      <c r="I46" s="14"/>
      <c r="J46" s="28">
        <v>20</v>
      </c>
      <c r="K46" s="15">
        <f t="shared" ca="1" si="12"/>
        <v>14.511343531615633</v>
      </c>
      <c r="L46" s="14" t="e">
        <f t="shared" si="13"/>
        <v>#DIV/0!</v>
      </c>
      <c r="M46" s="13" t="e">
        <f t="shared" ca="1" si="16"/>
        <v>#DIV/0!</v>
      </c>
      <c r="N46" s="12"/>
    </row>
    <row r="47" spans="1:14">
      <c r="B47" s="17">
        <v>44075</v>
      </c>
      <c r="C47" s="14"/>
      <c r="D47" s="14"/>
      <c r="E47" s="140">
        <f t="shared" ca="1" si="14"/>
        <v>344515.97</v>
      </c>
      <c r="F47" s="140">
        <f t="shared" ca="1" si="15"/>
        <v>1301.6400000000001</v>
      </c>
      <c r="G47" s="14"/>
      <c r="H47" s="18"/>
      <c r="I47" s="14"/>
      <c r="J47" s="28">
        <v>22</v>
      </c>
      <c r="K47" s="15">
        <f t="shared" ca="1" si="12"/>
        <v>13.244067993592335</v>
      </c>
      <c r="L47" s="14" t="e">
        <f t="shared" si="13"/>
        <v>#DIV/0!</v>
      </c>
      <c r="M47" s="13" t="e">
        <f t="shared" ca="1" si="16"/>
        <v>#DIV/0!</v>
      </c>
      <c r="N47" s="12"/>
    </row>
    <row r="48" spans="1:14">
      <c r="B48" s="17">
        <v>44105</v>
      </c>
      <c r="C48" s="14"/>
      <c r="D48" s="14"/>
      <c r="E48" s="140">
        <f t="shared" ca="1" si="14"/>
        <v>361757.46</v>
      </c>
      <c r="F48" s="140">
        <f t="shared" ca="1" si="15"/>
        <v>1847.17</v>
      </c>
      <c r="G48" s="14"/>
      <c r="H48" s="18"/>
      <c r="I48" s="14"/>
      <c r="J48" s="28">
        <v>22</v>
      </c>
      <c r="K48" s="15">
        <f t="shared" ca="1" si="12"/>
        <v>13.906874614344467</v>
      </c>
      <c r="L48" s="14" t="e">
        <f t="shared" si="13"/>
        <v>#DIV/0!</v>
      </c>
      <c r="M48" s="13" t="e">
        <f t="shared" ca="1" si="16"/>
        <v>#DIV/0!</v>
      </c>
      <c r="N48" s="12"/>
    </row>
    <row r="49" spans="1:14">
      <c r="B49" s="17">
        <v>44136</v>
      </c>
      <c r="C49" s="14"/>
      <c r="D49" s="14"/>
      <c r="E49" s="140">
        <f t="shared" ca="1" si="14"/>
        <v>369709.74</v>
      </c>
      <c r="F49" s="140">
        <f t="shared" ca="1" si="15"/>
        <v>1731.31</v>
      </c>
      <c r="G49" s="14"/>
      <c r="H49" s="18"/>
      <c r="I49" s="14"/>
      <c r="J49" s="28">
        <v>21</v>
      </c>
      <c r="K49" s="15">
        <f t="shared" ca="1" si="12"/>
        <v>14.212580434089439</v>
      </c>
      <c r="L49" s="14" t="e">
        <f t="shared" si="13"/>
        <v>#DIV/0!</v>
      </c>
      <c r="M49" s="13" t="e">
        <f t="shared" ca="1" si="16"/>
        <v>#DIV/0!</v>
      </c>
      <c r="N49" s="12"/>
    </row>
    <row r="50" spans="1:14" ht="14.65" thickBot="1">
      <c r="B50" s="11">
        <v>44166</v>
      </c>
      <c r="C50" s="9"/>
      <c r="D50" s="9"/>
      <c r="E50" s="140">
        <f t="shared" ca="1" si="14"/>
        <v>358402.68</v>
      </c>
      <c r="F50" s="140">
        <f t="shared" ca="1" si="15"/>
        <v>1343.26</v>
      </c>
      <c r="G50" s="9"/>
      <c r="H50" s="27"/>
      <c r="I50" s="9"/>
      <c r="J50" s="26">
        <v>22</v>
      </c>
      <c r="K50" s="10">
        <f t="shared" ca="1" si="12"/>
        <v>13.777908359388146</v>
      </c>
      <c r="L50" s="9" t="e">
        <f t="shared" si="13"/>
        <v>#DIV/0!</v>
      </c>
      <c r="M50" s="8" t="e">
        <f t="shared" ca="1" si="16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99">
        <f ca="1">SUM(E39:E50)</f>
        <v>4194035.27</v>
      </c>
      <c r="F51" s="98">
        <f ca="1">SUM(F39:F50)</f>
        <v>20508.61</v>
      </c>
      <c r="G51" s="98">
        <f t="shared" ref="G51" si="17">SUM(G39:G50)</f>
        <v>0</v>
      </c>
      <c r="H51" s="98"/>
      <c r="I51" s="99"/>
      <c r="J51" s="99"/>
      <c r="K51" s="99">
        <f ca="1">SUM(K39:K50)</f>
        <v>161.22935689571776</v>
      </c>
      <c r="L51" s="99" t="e">
        <f>SUM(L39:L50)</f>
        <v>#DIV/0!</v>
      </c>
      <c r="M51" s="94" t="e">
        <f ca="1">AVERAGE(M39:M50)</f>
        <v>#DIV/0!</v>
      </c>
      <c r="N51" s="95"/>
    </row>
    <row r="52" spans="1:14" s="2" customFormat="1">
      <c r="B52" s="17">
        <v>44197</v>
      </c>
      <c r="C52" s="18"/>
      <c r="D52" s="14"/>
      <c r="E52" s="18">
        <f ca="1">RANDBETWEEN(34000000, 40000000)/100</f>
        <v>393963.82</v>
      </c>
      <c r="F52" s="142">
        <f ca="1">RANDBETWEEN(110000, 210000)/100</f>
        <v>2022.91</v>
      </c>
      <c r="G52" s="14"/>
      <c r="H52" s="18"/>
      <c r="I52" s="14"/>
      <c r="J52" s="28"/>
      <c r="K52" s="15">
        <f t="shared" ref="K52:K63" ca="1" si="18">E52/$E$3</f>
        <v>15.144968806802693</v>
      </c>
      <c r="L52" s="14" t="e">
        <f t="shared" ref="L52:L63" si="19">(C52/$E$4)*(55/60)</f>
        <v>#DIV/0!</v>
      </c>
      <c r="M52" s="13" t="e">
        <f ca="1"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8">
        <f t="shared" ref="E53:E63" ca="1" si="20">RANDBETWEEN(34000000, 40000000)/100</f>
        <v>354648.34</v>
      </c>
      <c r="F53" s="142">
        <f t="shared" ref="F53:F63" ca="1" si="21">RANDBETWEEN(110000, 210000)/100</f>
        <v>1643.88</v>
      </c>
      <c r="G53" s="14"/>
      <c r="H53" s="18"/>
      <c r="I53" s="14"/>
      <c r="J53" s="28"/>
      <c r="K53" s="15">
        <f t="shared" ca="1" si="18"/>
        <v>13.633582004267184</v>
      </c>
      <c r="L53" s="14" t="e">
        <f t="shared" si="19"/>
        <v>#DIV/0!</v>
      </c>
      <c r="M53" s="13" t="e">
        <f t="shared" ref="M53:M63" ca="1" si="22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8">
        <f t="shared" ca="1" si="20"/>
        <v>398329.17</v>
      </c>
      <c r="F54" s="142">
        <f t="shared" ca="1" si="21"/>
        <v>1330.88</v>
      </c>
      <c r="G54" s="14"/>
      <c r="H54" s="18"/>
      <c r="I54" s="14"/>
      <c r="J54" s="28"/>
      <c r="K54" s="15">
        <f t="shared" ca="1" si="18"/>
        <v>15.312783936579777</v>
      </c>
      <c r="L54" s="14" t="e">
        <f t="shared" si="19"/>
        <v>#DIV/0!</v>
      </c>
      <c r="M54" s="13" t="e">
        <f t="shared" ca="1" si="22"/>
        <v>#DIV/0!</v>
      </c>
      <c r="N54" s="12"/>
    </row>
    <row r="55" spans="1:14" s="2" customFormat="1">
      <c r="B55" s="17">
        <v>44287</v>
      </c>
      <c r="C55" s="14"/>
      <c r="D55" s="14"/>
      <c r="E55" s="18">
        <f t="shared" ca="1" si="20"/>
        <v>365058.42</v>
      </c>
      <c r="F55" s="142">
        <f t="shared" ca="1" si="21"/>
        <v>1853.96</v>
      </c>
      <c r="G55" s="14"/>
      <c r="H55" s="18"/>
      <c r="I55" s="14"/>
      <c r="J55" s="28"/>
      <c r="K55" s="15">
        <f t="shared" ca="1" si="18"/>
        <v>14.033771891948545</v>
      </c>
      <c r="L55" s="14" t="e">
        <f t="shared" si="19"/>
        <v>#DIV/0!</v>
      </c>
      <c r="M55" s="13" t="e">
        <f t="shared" ca="1" si="22"/>
        <v>#DIV/0!</v>
      </c>
      <c r="N55" s="12"/>
    </row>
    <row r="56" spans="1:14" s="2" customFormat="1">
      <c r="B56" s="17">
        <v>44317</v>
      </c>
      <c r="C56" s="14"/>
      <c r="D56" s="14"/>
      <c r="E56" s="18">
        <f t="shared" ca="1" si="20"/>
        <v>350029.69</v>
      </c>
      <c r="F56" s="142">
        <f t="shared" ca="1" si="21"/>
        <v>1909.86</v>
      </c>
      <c r="G56" s="14"/>
      <c r="H56" s="18"/>
      <c r="I56" s="14"/>
      <c r="J56" s="28"/>
      <c r="K56" s="15">
        <f t="shared" ca="1" si="18"/>
        <v>13.456029379816696</v>
      </c>
      <c r="L56" s="14" t="e">
        <f t="shared" si="19"/>
        <v>#DIV/0!</v>
      </c>
      <c r="M56" s="13" t="e">
        <f t="shared" ca="1" si="22"/>
        <v>#DIV/0!</v>
      </c>
      <c r="N56" s="12"/>
    </row>
    <row r="57" spans="1:14" s="2" customFormat="1">
      <c r="B57" s="17">
        <v>44348</v>
      </c>
      <c r="C57" s="14"/>
      <c r="D57" s="14"/>
      <c r="E57" s="18">
        <f t="shared" ca="1" si="20"/>
        <v>382283.44</v>
      </c>
      <c r="F57" s="142">
        <f t="shared" ca="1" si="21"/>
        <v>1177</v>
      </c>
      <c r="G57" s="14"/>
      <c r="H57" s="18"/>
      <c r="I57" s="14"/>
      <c r="J57" s="28"/>
      <c r="K57" s="15">
        <f t="shared" ca="1" si="18"/>
        <v>14.69594536411295</v>
      </c>
      <c r="L57" s="14" t="e">
        <f t="shared" si="19"/>
        <v>#DIV/0!</v>
      </c>
      <c r="M57" s="13" t="e">
        <f t="shared" ca="1" si="22"/>
        <v>#DIV/0!</v>
      </c>
      <c r="N57" s="12"/>
    </row>
    <row r="58" spans="1:14" s="2" customFormat="1">
      <c r="B58" s="17">
        <v>44378</v>
      </c>
      <c r="C58" s="14"/>
      <c r="D58" s="14"/>
      <c r="E58" s="18">
        <f t="shared" ca="1" si="20"/>
        <v>371356.95</v>
      </c>
      <c r="F58" s="142">
        <f t="shared" ca="1" si="21"/>
        <v>1619.29</v>
      </c>
      <c r="G58" s="14"/>
      <c r="H58" s="18"/>
      <c r="I58" s="14"/>
      <c r="J58" s="28"/>
      <c r="K58" s="15">
        <f t="shared" ca="1" si="18"/>
        <v>14.275903365794827</v>
      </c>
      <c r="L58" s="14" t="e">
        <f t="shared" si="19"/>
        <v>#DIV/0!</v>
      </c>
      <c r="M58" s="13" t="e">
        <f t="shared" ca="1" si="22"/>
        <v>#DIV/0!</v>
      </c>
      <c r="N58" s="12"/>
    </row>
    <row r="59" spans="1:14" s="2" customFormat="1">
      <c r="B59" s="17">
        <v>44409</v>
      </c>
      <c r="C59" s="14"/>
      <c r="D59" s="14"/>
      <c r="E59" s="18">
        <f t="shared" ca="1" si="20"/>
        <v>362142.81</v>
      </c>
      <c r="F59" s="142">
        <f t="shared" ca="1" si="21"/>
        <v>1415.6</v>
      </c>
      <c r="G59" s="14"/>
      <c r="H59" s="18"/>
      <c r="I59" s="14"/>
      <c r="J59" s="28"/>
      <c r="K59" s="15">
        <f t="shared" ca="1" si="18"/>
        <v>13.921688446055462</v>
      </c>
      <c r="L59" s="14" t="e">
        <f t="shared" si="19"/>
        <v>#DIV/0!</v>
      </c>
      <c r="M59" s="13" t="e">
        <f t="shared" ca="1" si="22"/>
        <v>#DIV/0!</v>
      </c>
      <c r="N59" s="12"/>
    </row>
    <row r="60" spans="1:14" s="2" customFormat="1">
      <c r="B60" s="17">
        <v>44440</v>
      </c>
      <c r="C60" s="14"/>
      <c r="D60" s="14"/>
      <c r="E60" s="18">
        <f t="shared" ca="1" si="20"/>
        <v>375090.21</v>
      </c>
      <c r="F60" s="142">
        <f t="shared" ca="1" si="21"/>
        <v>1882.65</v>
      </c>
      <c r="G60" s="14"/>
      <c r="H60" s="18"/>
      <c r="I60" s="14"/>
      <c r="J60" s="28"/>
      <c r="K60" s="15">
        <f t="shared" ca="1" si="18"/>
        <v>14.419419352231563</v>
      </c>
      <c r="L60" s="14" t="e">
        <f t="shared" si="19"/>
        <v>#DIV/0!</v>
      </c>
      <c r="M60" s="13" t="e">
        <f t="shared" ca="1" si="22"/>
        <v>#DIV/0!</v>
      </c>
      <c r="N60" s="12"/>
    </row>
    <row r="61" spans="1:14" s="2" customFormat="1">
      <c r="B61" s="17">
        <v>44470</v>
      </c>
      <c r="C61" s="14"/>
      <c r="D61" s="14"/>
      <c r="E61" s="18">
        <f t="shared" ca="1" si="20"/>
        <v>370659.85</v>
      </c>
      <c r="F61" s="142">
        <f t="shared" ca="1" si="21"/>
        <v>1660.52</v>
      </c>
      <c r="G61" s="14"/>
      <c r="H61" s="18"/>
      <c r="I61" s="14"/>
      <c r="J61" s="28"/>
      <c r="K61" s="15">
        <f t="shared" ca="1" si="18"/>
        <v>14.249105073110938</v>
      </c>
      <c r="L61" s="14" t="e">
        <f t="shared" si="19"/>
        <v>#DIV/0!</v>
      </c>
      <c r="M61" s="13" t="e">
        <f t="shared" ca="1" si="22"/>
        <v>#DIV/0!</v>
      </c>
      <c r="N61" s="12"/>
    </row>
    <row r="62" spans="1:14" s="2" customFormat="1">
      <c r="B62" s="17">
        <v>44501</v>
      </c>
      <c r="C62" s="14"/>
      <c r="D62" s="14"/>
      <c r="E62" s="18">
        <f t="shared" ca="1" si="20"/>
        <v>376495.21</v>
      </c>
      <c r="F62" s="142">
        <f t="shared" ca="1" si="21"/>
        <v>1602.87</v>
      </c>
      <c r="G62" s="14"/>
      <c r="H62" s="18"/>
      <c r="I62" s="14"/>
      <c r="J62" s="28"/>
      <c r="K62" s="15">
        <f t="shared" ca="1" si="18"/>
        <v>14.473431117001123</v>
      </c>
      <c r="L62" s="14" t="e">
        <f t="shared" si="19"/>
        <v>#DIV/0!</v>
      </c>
      <c r="M62" s="13" t="e">
        <f t="shared" ca="1" si="22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8">
        <f t="shared" ca="1" si="20"/>
        <v>372994.78</v>
      </c>
      <c r="F63" s="142">
        <f t="shared" ca="1" si="21"/>
        <v>1799.19</v>
      </c>
      <c r="G63" s="9"/>
      <c r="H63" s="27"/>
      <c r="I63" s="9"/>
      <c r="J63" s="26"/>
      <c r="K63" s="10">
        <f t="shared" ca="1" si="18"/>
        <v>14.338865706501254</v>
      </c>
      <c r="L63" s="9" t="e">
        <f t="shared" si="19"/>
        <v>#DIV/0!</v>
      </c>
      <c r="M63" s="8" t="e">
        <f t="shared" ca="1" si="22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92">
        <f ca="1">SUM(E52:E63)</f>
        <v>4473052.6900000004</v>
      </c>
      <c r="F64" s="92">
        <f t="shared" ref="F64:G64" ca="1" si="23">SUM(F52:F63)</f>
        <v>19918.609999999997</v>
      </c>
      <c r="G64" s="92">
        <f t="shared" si="23"/>
        <v>0</v>
      </c>
      <c r="H64" s="93"/>
      <c r="I64" s="93"/>
      <c r="J64" s="93"/>
      <c r="K64" s="93">
        <f ca="1">SUM(K52:K63)</f>
        <v>171.95549444422301</v>
      </c>
      <c r="L64" s="93" t="e">
        <f>SUM(L52:L63)</f>
        <v>#DIV/0!</v>
      </c>
      <c r="M64" s="94" t="e">
        <f ca="1">AVERAGE(M52:M63)</f>
        <v>#DIV/0!</v>
      </c>
      <c r="N64" s="95"/>
    </row>
    <row r="65" spans="1:20" s="2" customFormat="1" ht="14.65" thickBot="1">
      <c r="M65" s="24"/>
    </row>
    <row r="66" spans="1:20" ht="57">
      <c r="B66" s="21" t="s">
        <v>12</v>
      </c>
      <c r="C66" s="23" t="s">
        <v>35</v>
      </c>
      <c r="D66" s="23" t="s">
        <v>41</v>
      </c>
      <c r="E66" s="23" t="s">
        <v>36</v>
      </c>
      <c r="F66" s="59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4">
        <f ca="1">RANDBETWEEN(32000000, 39000000)/100</f>
        <v>372928.82</v>
      </c>
      <c r="F67" s="142">
        <f ca="1">RANDBETWEEN(160000, 340000)/100</f>
        <v>2674.54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ca="1" si="24">E67/$E$3</f>
        <v>14.336330036747375</v>
      </c>
      <c r="N67" s="14" t="e">
        <f t="shared" ref="N67:N78" si="25">(C67/$E$4)*(55/60)</f>
        <v>#DIV/0!</v>
      </c>
      <c r="O67" s="13" t="e">
        <f t="shared" ref="O67:O78" ca="1" si="26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ca="1" si="27">E67*0.408</f>
        <v>152154.95856</v>
      </c>
      <c r="S67" s="13">
        <f ca="1">F67*(1.3)</f>
        <v>3476.902</v>
      </c>
      <c r="T67" s="33">
        <f>(I67/1000)*0.561</f>
        <v>0</v>
      </c>
    </row>
    <row r="68" spans="1:20">
      <c r="B68" s="17">
        <v>44593</v>
      </c>
      <c r="C68" s="14"/>
      <c r="D68" s="14"/>
      <c r="E68" s="14">
        <f t="shared" ref="E68:E78" ca="1" si="28">RANDBETWEEN(32000000, 39000000)/100</f>
        <v>352669.36</v>
      </c>
      <c r="F68" s="142">
        <f t="shared" ref="F68:F78" ca="1" si="29">RANDBETWEEN(160000, 340000)/100</f>
        <v>3399.62</v>
      </c>
      <c r="G68" s="14"/>
      <c r="H68" s="14"/>
      <c r="I68" s="14">
        <f t="shared" ref="I68:I70" si="30">G68+H68</f>
        <v>0</v>
      </c>
      <c r="J68" s="14"/>
      <c r="K68" s="14"/>
      <c r="L68" s="28"/>
      <c r="M68" s="15">
        <f t="shared" ca="1" si="24"/>
        <v>13.55750499199411</v>
      </c>
      <c r="N68" s="14" t="e">
        <f t="shared" si="25"/>
        <v>#DIV/0!</v>
      </c>
      <c r="O68" s="13" t="e">
        <f t="shared" ca="1" si="26"/>
        <v>#DIV/0!</v>
      </c>
      <c r="P68" s="35" t="e">
        <f t="shared" ref="P68:P78" si="31">I68/(J68+K68)/L68</f>
        <v>#DIV/0!</v>
      </c>
      <c r="Q68" s="36" t="e">
        <f t="shared" ref="Q68:Q78" si="32">H68/I68*100</f>
        <v>#DIV/0!</v>
      </c>
      <c r="R68" s="34">
        <f t="shared" ca="1" si="27"/>
        <v>143889.09887999998</v>
      </c>
      <c r="S68" s="13">
        <f t="shared" ref="S68:S78" ca="1" si="33">F68*(1.3)</f>
        <v>4419.5060000000003</v>
      </c>
      <c r="T68" s="33">
        <f t="shared" ref="T68:T74" si="34">(I68/1000)*0.561</f>
        <v>0</v>
      </c>
    </row>
    <row r="69" spans="1:20" ht="16.25" customHeight="1">
      <c r="B69" s="17">
        <v>44621</v>
      </c>
      <c r="C69" s="14"/>
      <c r="D69" s="14"/>
      <c r="E69" s="14">
        <f t="shared" ca="1" si="28"/>
        <v>339686.98</v>
      </c>
      <c r="F69" s="142">
        <f t="shared" ca="1" si="29"/>
        <v>2268.04</v>
      </c>
      <c r="G69" s="14"/>
      <c r="H69" s="14"/>
      <c r="I69" s="14">
        <f t="shared" si="30"/>
        <v>0</v>
      </c>
      <c r="J69" s="14"/>
      <c r="K69" s="14"/>
      <c r="L69" s="28"/>
      <c r="M69" s="15">
        <f t="shared" ca="1" si="24"/>
        <v>13.058429365866667</v>
      </c>
      <c r="N69" s="14" t="e">
        <f t="shared" si="25"/>
        <v>#DIV/0!</v>
      </c>
      <c r="O69" s="13" t="e">
        <f t="shared" ca="1" si="26"/>
        <v>#DIV/0!</v>
      </c>
      <c r="P69" s="35" t="e">
        <f t="shared" si="31"/>
        <v>#DIV/0!</v>
      </c>
      <c r="Q69" s="36" t="e">
        <f t="shared" si="32"/>
        <v>#DIV/0!</v>
      </c>
      <c r="R69" s="34">
        <f t="shared" ca="1" si="27"/>
        <v>138592.28783999998</v>
      </c>
      <c r="S69" s="13">
        <f t="shared" ca="1" si="33"/>
        <v>2948.4520000000002</v>
      </c>
      <c r="T69" s="33">
        <f t="shared" si="34"/>
        <v>0</v>
      </c>
    </row>
    <row r="70" spans="1:20">
      <c r="B70" s="17">
        <v>44652</v>
      </c>
      <c r="C70" s="14"/>
      <c r="D70" s="14"/>
      <c r="E70" s="14">
        <f t="shared" ca="1" si="28"/>
        <v>381665.38</v>
      </c>
      <c r="F70" s="142">
        <f t="shared" ca="1" si="29"/>
        <v>2917.65</v>
      </c>
      <c r="G70" s="14"/>
      <c r="H70" s="14"/>
      <c r="I70" s="14">
        <f t="shared" si="30"/>
        <v>0</v>
      </c>
      <c r="J70" s="14"/>
      <c r="K70" s="14"/>
      <c r="L70" s="28"/>
      <c r="M70" s="15">
        <f t="shared" ca="1" si="24"/>
        <v>14.672185569569551</v>
      </c>
      <c r="N70" s="14" t="e">
        <f t="shared" si="25"/>
        <v>#DIV/0!</v>
      </c>
      <c r="O70" s="13" t="e">
        <f t="shared" ca="1" si="26"/>
        <v>#DIV/0!</v>
      </c>
      <c r="P70" s="35" t="e">
        <f t="shared" si="31"/>
        <v>#DIV/0!</v>
      </c>
      <c r="Q70" s="36" t="e">
        <f t="shared" si="32"/>
        <v>#DIV/0!</v>
      </c>
      <c r="R70" s="34">
        <f t="shared" ca="1" si="27"/>
        <v>155719.47503999999</v>
      </c>
      <c r="S70" s="13">
        <f t="shared" ca="1" si="33"/>
        <v>3792.9450000000002</v>
      </c>
      <c r="T70" s="33">
        <f t="shared" si="34"/>
        <v>0</v>
      </c>
    </row>
    <row r="71" spans="1:20" s="2" customFormat="1">
      <c r="B71" s="17">
        <v>44682</v>
      </c>
      <c r="C71" s="14"/>
      <c r="D71" s="14"/>
      <c r="E71" s="14">
        <f t="shared" ca="1" si="28"/>
        <v>342841.28</v>
      </c>
      <c r="F71" s="142">
        <f t="shared" ca="1" si="29"/>
        <v>2214.94</v>
      </c>
      <c r="G71" s="14"/>
      <c r="H71" s="14"/>
      <c r="I71" s="14">
        <f>G71+H71</f>
        <v>0</v>
      </c>
      <c r="J71" s="14"/>
      <c r="K71" s="14"/>
      <c r="L71" s="28"/>
      <c r="M71" s="15">
        <f t="shared" ca="1" si="24"/>
        <v>13.179688660964624</v>
      </c>
      <c r="N71" s="14" t="e">
        <f t="shared" si="25"/>
        <v>#DIV/0!</v>
      </c>
      <c r="O71" s="13" t="e">
        <f t="shared" ca="1" si="26"/>
        <v>#DIV/0!</v>
      </c>
      <c r="P71" s="35" t="e">
        <f t="shared" si="31"/>
        <v>#DIV/0!</v>
      </c>
      <c r="Q71" s="36" t="e">
        <f t="shared" si="32"/>
        <v>#DIV/0!</v>
      </c>
      <c r="R71" s="34">
        <f t="shared" ca="1" si="27"/>
        <v>139879.24223999999</v>
      </c>
      <c r="S71" s="13">
        <f t="shared" ca="1" si="33"/>
        <v>2879.422</v>
      </c>
      <c r="T71" s="33">
        <f t="shared" si="34"/>
        <v>0</v>
      </c>
    </row>
    <row r="72" spans="1:20" s="2" customFormat="1">
      <c r="B72" s="17">
        <v>44713</v>
      </c>
      <c r="C72" s="14"/>
      <c r="D72" s="14"/>
      <c r="E72" s="14">
        <f t="shared" ca="1" si="28"/>
        <v>341277.39</v>
      </c>
      <c r="F72" s="142">
        <f t="shared" ca="1" si="29"/>
        <v>1790.29</v>
      </c>
      <c r="G72" s="14"/>
      <c r="H72" s="14"/>
      <c r="I72" s="14">
        <f t="shared" ref="I72:I78" si="35">G72+H72</f>
        <v>0</v>
      </c>
      <c r="J72" s="14"/>
      <c r="K72" s="14"/>
      <c r="L72" s="28"/>
      <c r="M72" s="15">
        <f t="shared" ca="1" si="24"/>
        <v>13.119568761458952</v>
      </c>
      <c r="N72" s="14" t="e">
        <f t="shared" si="25"/>
        <v>#DIV/0!</v>
      </c>
      <c r="O72" s="13" t="e">
        <f t="shared" ca="1" si="26"/>
        <v>#DIV/0!</v>
      </c>
      <c r="P72" s="35" t="e">
        <f t="shared" si="31"/>
        <v>#DIV/0!</v>
      </c>
      <c r="Q72" s="36" t="e">
        <f t="shared" si="32"/>
        <v>#DIV/0!</v>
      </c>
      <c r="R72" s="34">
        <f t="shared" ca="1" si="27"/>
        <v>139241.17512</v>
      </c>
      <c r="S72" s="13">
        <f t="shared" ca="1" si="33"/>
        <v>2327.377</v>
      </c>
      <c r="T72" s="33">
        <f t="shared" si="34"/>
        <v>0</v>
      </c>
    </row>
    <row r="73" spans="1:20" s="2" customFormat="1">
      <c r="B73" s="17">
        <v>44743</v>
      </c>
      <c r="C73" s="14"/>
      <c r="D73" s="14"/>
      <c r="E73" s="14">
        <f t="shared" ca="1" si="28"/>
        <v>338149.27</v>
      </c>
      <c r="F73" s="142">
        <f t="shared" ca="1" si="29"/>
        <v>3103.62</v>
      </c>
      <c r="G73" s="14"/>
      <c r="H73" s="14"/>
      <c r="I73" s="14">
        <f t="shared" si="35"/>
        <v>0</v>
      </c>
      <c r="J73" s="14"/>
      <c r="K73" s="14"/>
      <c r="L73" s="28"/>
      <c r="M73" s="15">
        <f t="shared" ca="1" si="24"/>
        <v>12.999315891984958</v>
      </c>
      <c r="N73" s="14" t="e">
        <f t="shared" si="25"/>
        <v>#DIV/0!</v>
      </c>
      <c r="O73" s="13" t="e">
        <f t="shared" ca="1" si="26"/>
        <v>#DIV/0!</v>
      </c>
      <c r="P73" s="35" t="e">
        <f t="shared" si="31"/>
        <v>#DIV/0!</v>
      </c>
      <c r="Q73" s="36" t="e">
        <f t="shared" si="32"/>
        <v>#DIV/0!</v>
      </c>
      <c r="R73" s="34">
        <f t="shared" ca="1" si="27"/>
        <v>137964.90216</v>
      </c>
      <c r="S73" s="13">
        <f t="shared" ca="1" si="33"/>
        <v>4034.7060000000001</v>
      </c>
      <c r="T73" s="33">
        <f t="shared" si="34"/>
        <v>0</v>
      </c>
    </row>
    <row r="74" spans="1:20" s="2" customFormat="1">
      <c r="B74" s="17">
        <v>44774</v>
      </c>
      <c r="C74" s="14"/>
      <c r="D74" s="14"/>
      <c r="E74" s="14">
        <f t="shared" ca="1" si="28"/>
        <v>333949.73</v>
      </c>
      <c r="F74" s="142">
        <f t="shared" ca="1" si="29"/>
        <v>2956.77</v>
      </c>
      <c r="G74" s="14"/>
      <c r="H74" s="14"/>
      <c r="I74" s="14">
        <f t="shared" si="35"/>
        <v>0</v>
      </c>
      <c r="J74" s="14"/>
      <c r="K74" s="14"/>
      <c r="L74" s="28"/>
      <c r="M74" s="15">
        <f t="shared" ca="1" si="24"/>
        <v>12.837874919301425</v>
      </c>
      <c r="N74" s="14" t="e">
        <f t="shared" si="25"/>
        <v>#DIV/0!</v>
      </c>
      <c r="O74" s="13" t="e">
        <f t="shared" ca="1" si="26"/>
        <v>#DIV/0!</v>
      </c>
      <c r="P74" s="35" t="e">
        <f t="shared" si="31"/>
        <v>#DIV/0!</v>
      </c>
      <c r="Q74" s="36" t="e">
        <f t="shared" si="32"/>
        <v>#DIV/0!</v>
      </c>
      <c r="R74" s="34">
        <f t="shared" ca="1" si="27"/>
        <v>136251.48983999999</v>
      </c>
      <c r="S74" s="13">
        <f t="shared" ca="1" si="33"/>
        <v>3843.8009999999999</v>
      </c>
      <c r="T74" s="33">
        <f t="shared" si="34"/>
        <v>0</v>
      </c>
    </row>
    <row r="75" spans="1:20" s="2" customFormat="1">
      <c r="B75" s="17">
        <v>44805</v>
      </c>
      <c r="C75" s="14"/>
      <c r="D75" s="14"/>
      <c r="E75" s="14">
        <f t="shared" ca="1" si="28"/>
        <v>377863.66</v>
      </c>
      <c r="F75" s="142">
        <f t="shared" ca="1" si="29"/>
        <v>2326.66</v>
      </c>
      <c r="G75" s="14"/>
      <c r="H75" s="14"/>
      <c r="I75" s="14">
        <f t="shared" si="35"/>
        <v>0</v>
      </c>
      <c r="J75" s="14"/>
      <c r="K75" s="14"/>
      <c r="L75" s="28"/>
      <c r="M75" s="15">
        <f t="shared" ca="1" si="24"/>
        <v>14.52603780703593</v>
      </c>
      <c r="N75" s="14" t="e">
        <f t="shared" si="25"/>
        <v>#DIV/0!</v>
      </c>
      <c r="O75" s="13" t="e">
        <f t="shared" ca="1" si="26"/>
        <v>#DIV/0!</v>
      </c>
      <c r="P75" s="35" t="e">
        <f t="shared" si="31"/>
        <v>#DIV/0!</v>
      </c>
      <c r="Q75" s="36" t="e">
        <f t="shared" si="32"/>
        <v>#DIV/0!</v>
      </c>
      <c r="R75" s="34">
        <f t="shared" ca="1" si="27"/>
        <v>154168.37327999997</v>
      </c>
      <c r="S75" s="13">
        <f t="shared" ca="1" si="33"/>
        <v>3024.6579999999999</v>
      </c>
      <c r="T75" s="33">
        <f t="shared" ref="T75:T78" si="36">(I75/1000)*21.28</f>
        <v>0</v>
      </c>
    </row>
    <row r="76" spans="1:20" s="2" customFormat="1">
      <c r="B76" s="17">
        <v>44835</v>
      </c>
      <c r="C76" s="52"/>
      <c r="D76" s="14"/>
      <c r="E76" s="14">
        <f t="shared" ca="1" si="28"/>
        <v>348977.9</v>
      </c>
      <c r="F76" s="142">
        <f t="shared" ca="1" si="29"/>
        <v>1610.59</v>
      </c>
      <c r="G76" s="14"/>
      <c r="H76" s="14"/>
      <c r="I76" s="14">
        <f t="shared" si="35"/>
        <v>0</v>
      </c>
      <c r="J76" s="14"/>
      <c r="K76" s="14"/>
      <c r="L76" s="28"/>
      <c r="M76" s="15">
        <f t="shared" ca="1" si="24"/>
        <v>13.415595903612443</v>
      </c>
      <c r="N76" s="14" t="e">
        <f t="shared" si="25"/>
        <v>#DIV/0!</v>
      </c>
      <c r="O76" s="13" t="e">
        <f t="shared" ca="1" si="26"/>
        <v>#DIV/0!</v>
      </c>
      <c r="P76" s="35" t="e">
        <f t="shared" si="31"/>
        <v>#DIV/0!</v>
      </c>
      <c r="Q76" s="36" t="e">
        <f t="shared" si="32"/>
        <v>#DIV/0!</v>
      </c>
      <c r="R76" s="34">
        <f t="shared" ca="1" si="27"/>
        <v>142382.98319999999</v>
      </c>
      <c r="S76" s="13">
        <f t="shared" ca="1" si="33"/>
        <v>2093.7669999999998</v>
      </c>
      <c r="T76" s="33">
        <f t="shared" si="36"/>
        <v>0</v>
      </c>
    </row>
    <row r="77" spans="1:20" s="2" customFormat="1">
      <c r="B77" s="17">
        <v>44866</v>
      </c>
      <c r="C77" s="52"/>
      <c r="D77" s="14"/>
      <c r="E77" s="14">
        <f t="shared" ca="1" si="28"/>
        <v>349888.62</v>
      </c>
      <c r="F77" s="142">
        <f t="shared" ca="1" si="29"/>
        <v>2848.31</v>
      </c>
      <c r="G77" s="14"/>
      <c r="H77" s="14"/>
      <c r="I77" s="14">
        <f t="shared" si="35"/>
        <v>0</v>
      </c>
      <c r="J77" s="14"/>
      <c r="K77" s="14"/>
      <c r="L77" s="28"/>
      <c r="M77" s="15">
        <f t="shared" ca="1" si="24"/>
        <v>13.450606291093534</v>
      </c>
      <c r="N77" s="14" t="e">
        <f t="shared" si="25"/>
        <v>#DIV/0!</v>
      </c>
      <c r="O77" s="13" t="e">
        <f t="shared" ca="1" si="26"/>
        <v>#DIV/0!</v>
      </c>
      <c r="P77" s="35" t="e">
        <f t="shared" si="31"/>
        <v>#DIV/0!</v>
      </c>
      <c r="Q77" s="36" t="e">
        <f t="shared" si="32"/>
        <v>#DIV/0!</v>
      </c>
      <c r="R77" s="34">
        <f t="shared" ca="1" si="27"/>
        <v>142754.55695999999</v>
      </c>
      <c r="S77" s="13">
        <f t="shared" ca="1" si="33"/>
        <v>3702.8029999999999</v>
      </c>
      <c r="T77" s="33">
        <f t="shared" si="36"/>
        <v>0</v>
      </c>
    </row>
    <row r="78" spans="1:20" s="2" customFormat="1" ht="14.65" thickBot="1">
      <c r="B78" s="101">
        <v>44896</v>
      </c>
      <c r="C78" s="102"/>
      <c r="D78" s="103"/>
      <c r="E78" s="14">
        <f t="shared" ca="1" si="28"/>
        <v>327651.57</v>
      </c>
      <c r="F78" s="142">
        <f t="shared" ca="1" si="29"/>
        <v>1617.76</v>
      </c>
      <c r="G78" s="103"/>
      <c r="H78" s="103"/>
      <c r="I78" s="14">
        <f t="shared" si="35"/>
        <v>0</v>
      </c>
      <c r="J78" s="103"/>
      <c r="K78" s="103"/>
      <c r="L78" s="104"/>
      <c r="M78" s="105">
        <f t="shared" ca="1" si="24"/>
        <v>12.59575766919391</v>
      </c>
      <c r="N78" s="103" t="e">
        <f t="shared" si="25"/>
        <v>#DIV/0!</v>
      </c>
      <c r="O78" s="73" t="e">
        <f t="shared" ca="1" si="26"/>
        <v>#DIV/0!</v>
      </c>
      <c r="P78" s="106" t="e">
        <f t="shared" si="31"/>
        <v>#DIV/0!</v>
      </c>
      <c r="Q78" s="107" t="e">
        <f t="shared" si="32"/>
        <v>#DIV/0!</v>
      </c>
      <c r="R78" s="105">
        <f t="shared" ca="1" si="27"/>
        <v>133681.84055999998</v>
      </c>
      <c r="S78" s="73">
        <f t="shared" ca="1" si="33"/>
        <v>2103.0880000000002</v>
      </c>
      <c r="T78" s="108">
        <f t="shared" si="3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93">
        <f ca="1">SUM(E67:E78)</f>
        <v>4207549.96</v>
      </c>
      <c r="F79" s="93">
        <f ca="1">SUM(F67:F78)</f>
        <v>29728.79</v>
      </c>
      <c r="G79" s="93"/>
      <c r="H79" s="93"/>
      <c r="I79" s="93">
        <f>SUM(I67:I78)</f>
        <v>0</v>
      </c>
      <c r="J79" s="93"/>
      <c r="K79" s="93"/>
      <c r="L79" s="93"/>
      <c r="M79" s="93">
        <f ca="1">SUM(M67:M78)</f>
        <v>161.7488958688235</v>
      </c>
      <c r="N79" s="93" t="e">
        <f>SUM(N67:N78)</f>
        <v>#DIV/0!</v>
      </c>
      <c r="O79" s="94" t="e">
        <f ca="1">AVERAGE(O67:O78)</f>
        <v>#DIV/0!</v>
      </c>
      <c r="P79" s="114" t="e">
        <f>AVERAGE(P67:P78)</f>
        <v>#DIV/0!</v>
      </c>
      <c r="Q79" s="93"/>
      <c r="R79" s="93">
        <f ca="1">SUM(R67:R78)</f>
        <v>1716680.3836799997</v>
      </c>
      <c r="S79" s="93">
        <f t="shared" ref="S79:T79" ca="1" si="37">SUM(S67:S78)</f>
        <v>38647.426999999996</v>
      </c>
      <c r="T79" s="96">
        <f t="shared" si="37"/>
        <v>0</v>
      </c>
    </row>
    <row r="80" spans="1:20">
      <c r="B80" s="85">
        <v>44927</v>
      </c>
      <c r="C80" s="87"/>
      <c r="D80" s="87"/>
      <c r="E80" s="140">
        <f ca="1">RANDBETWEEN(32000000, 42000000)/100</f>
        <v>409767.95</v>
      </c>
      <c r="F80" s="140">
        <f ca="1">RANDBETWEEN(170000, 550000)/100</f>
        <v>4673.88</v>
      </c>
      <c r="G80" s="87"/>
      <c r="H80" s="87"/>
      <c r="I80" s="14">
        <f t="shared" ref="I80:I91" si="38">G80+H80</f>
        <v>0</v>
      </c>
      <c r="J80" s="87"/>
      <c r="K80" s="87"/>
      <c r="L80" s="109"/>
      <c r="M80" s="89">
        <f t="shared" ref="M80:M91" ca="1" si="39">E80/$E$3</f>
        <v>15.752519662281388</v>
      </c>
      <c r="N80" s="87" t="e">
        <f t="shared" ref="N80:N91" si="40">(C80/$E$4)*(55/60)</f>
        <v>#DIV/0!</v>
      </c>
      <c r="O80" s="74" t="e">
        <f t="shared" ref="O80:O91" ca="1" si="4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ca="1" si="42">E80*0.408</f>
        <v>167185.3236</v>
      </c>
      <c r="S80" s="74">
        <f ca="1">F80*(1.3)</f>
        <v>6076.0440000000008</v>
      </c>
      <c r="T80" s="113">
        <f>(I80/1000)*0.561</f>
        <v>0</v>
      </c>
    </row>
    <row r="81" spans="1:20">
      <c r="B81" s="17">
        <v>44958</v>
      </c>
      <c r="C81" s="14"/>
      <c r="D81" s="14"/>
      <c r="E81" s="140">
        <f t="shared" ref="E81:E91" ca="1" si="43">RANDBETWEEN(32000000, 42000000)/100</f>
        <v>405355.18</v>
      </c>
      <c r="F81" s="140">
        <f t="shared" ref="F81:F91" ca="1" si="44">RANDBETWEEN(170000, 550000)/100</f>
        <v>2184.7199999999998</v>
      </c>
      <c r="G81" s="14"/>
      <c r="H81" s="14"/>
      <c r="I81" s="14">
        <f t="shared" si="38"/>
        <v>0</v>
      </c>
      <c r="J81" s="14"/>
      <c r="K81" s="14"/>
      <c r="L81" s="28"/>
      <c r="M81" s="15">
        <f t="shared" ca="1" si="39"/>
        <v>15.582881587390158</v>
      </c>
      <c r="N81" s="14" t="e">
        <f t="shared" si="40"/>
        <v>#DIV/0!</v>
      </c>
      <c r="O81" s="13" t="e">
        <f t="shared" ca="1" si="41"/>
        <v>#DIV/0!</v>
      </c>
      <c r="P81" s="35" t="e">
        <f t="shared" ref="P81:P91" si="45">I81/(J81+K81)/L81</f>
        <v>#DIV/0!</v>
      </c>
      <c r="Q81" s="36" t="e">
        <f t="shared" ref="Q81:Q91" si="46">H81/I81*100</f>
        <v>#DIV/0!</v>
      </c>
      <c r="R81" s="34">
        <f t="shared" ca="1" si="42"/>
        <v>165384.91343999997</v>
      </c>
      <c r="S81" s="13">
        <f t="shared" ref="S81:S91" ca="1" si="47">F81*(1.3)</f>
        <v>2840.136</v>
      </c>
      <c r="T81" s="33">
        <f t="shared" ref="T81:T87" si="48">(I81/1000)*0.561</f>
        <v>0</v>
      </c>
    </row>
    <row r="82" spans="1:20" ht="16.25" customHeight="1">
      <c r="B82" s="17">
        <v>44986</v>
      </c>
      <c r="C82" s="14"/>
      <c r="D82" s="14"/>
      <c r="E82" s="140">
        <f t="shared" ca="1" si="43"/>
        <v>355788.35</v>
      </c>
      <c r="F82" s="140">
        <f t="shared" ca="1" si="44"/>
        <v>5179.76</v>
      </c>
      <c r="G82" s="14"/>
      <c r="H82" s="14"/>
      <c r="I82" s="14">
        <f t="shared" si="38"/>
        <v>0</v>
      </c>
      <c r="J82" s="14"/>
      <c r="K82" s="14"/>
      <c r="L82" s="28"/>
      <c r="M82" s="15">
        <f t="shared" ca="1" si="39"/>
        <v>13.677406881103444</v>
      </c>
      <c r="N82" s="14" t="e">
        <f t="shared" si="40"/>
        <v>#DIV/0!</v>
      </c>
      <c r="O82" s="13" t="e">
        <f t="shared" ca="1" si="41"/>
        <v>#DIV/0!</v>
      </c>
      <c r="P82" s="35" t="e">
        <f t="shared" si="45"/>
        <v>#DIV/0!</v>
      </c>
      <c r="Q82" s="36" t="e">
        <f t="shared" si="46"/>
        <v>#DIV/0!</v>
      </c>
      <c r="R82" s="34">
        <f t="shared" ca="1" si="42"/>
        <v>145161.64679999999</v>
      </c>
      <c r="S82" s="13">
        <f t="shared" ca="1" si="47"/>
        <v>6733.6880000000001</v>
      </c>
      <c r="T82" s="33">
        <f t="shared" si="48"/>
        <v>0</v>
      </c>
    </row>
    <row r="83" spans="1:20">
      <c r="B83" s="17">
        <v>45017</v>
      </c>
      <c r="C83" s="14"/>
      <c r="D83" s="14"/>
      <c r="E83" s="140">
        <f t="shared" ca="1" si="43"/>
        <v>320406.96999999997</v>
      </c>
      <c r="F83" s="140">
        <f t="shared" ca="1" si="44"/>
        <v>2816.03</v>
      </c>
      <c r="G83" s="14"/>
      <c r="H83" s="14"/>
      <c r="I83" s="14">
        <f t="shared" si="38"/>
        <v>0</v>
      </c>
      <c r="J83" s="14"/>
      <c r="K83" s="14"/>
      <c r="L83" s="28"/>
      <c r="M83" s="15">
        <f t="shared" ca="1" si="39"/>
        <v>12.317256864176425</v>
      </c>
      <c r="N83" s="14" t="e">
        <f t="shared" si="40"/>
        <v>#DIV/0!</v>
      </c>
      <c r="O83" s="13" t="e">
        <f t="shared" ca="1" si="41"/>
        <v>#DIV/0!</v>
      </c>
      <c r="P83" s="35" t="e">
        <f t="shared" si="45"/>
        <v>#DIV/0!</v>
      </c>
      <c r="Q83" s="36" t="e">
        <f t="shared" si="46"/>
        <v>#DIV/0!</v>
      </c>
      <c r="R83" s="34">
        <f t="shared" ca="1" si="42"/>
        <v>130726.04375999999</v>
      </c>
      <c r="S83" s="13">
        <f t="shared" ca="1" si="47"/>
        <v>3660.8390000000004</v>
      </c>
      <c r="T83" s="33">
        <f t="shared" si="48"/>
        <v>0</v>
      </c>
    </row>
    <row r="84" spans="1:20" s="2" customFormat="1">
      <c r="B84" s="17">
        <v>45047</v>
      </c>
      <c r="C84" s="14"/>
      <c r="D84" s="14"/>
      <c r="E84" s="140">
        <f t="shared" ca="1" si="43"/>
        <v>367698.2</v>
      </c>
      <c r="F84" s="140">
        <f t="shared" ca="1" si="44"/>
        <v>1720.91</v>
      </c>
      <c r="G84" s="14"/>
      <c r="H84" s="14"/>
      <c r="I84" s="14">
        <f t="shared" si="38"/>
        <v>0</v>
      </c>
      <c r="J84" s="14"/>
      <c r="K84" s="14"/>
      <c r="L84" s="28"/>
      <c r="M84" s="15">
        <f t="shared" ca="1" si="39"/>
        <v>14.135251732805052</v>
      </c>
      <c r="N84" s="14" t="e">
        <f t="shared" si="40"/>
        <v>#DIV/0!</v>
      </c>
      <c r="O84" s="13" t="e">
        <f t="shared" ca="1" si="41"/>
        <v>#DIV/0!</v>
      </c>
      <c r="P84" s="35" t="e">
        <f t="shared" si="45"/>
        <v>#DIV/0!</v>
      </c>
      <c r="Q84" s="36" t="e">
        <f t="shared" si="46"/>
        <v>#DIV/0!</v>
      </c>
      <c r="R84" s="34">
        <f t="shared" ca="1" si="42"/>
        <v>150020.86559999999</v>
      </c>
      <c r="S84" s="13">
        <f t="shared" ca="1" si="47"/>
        <v>2237.183</v>
      </c>
      <c r="T84" s="33">
        <f t="shared" si="48"/>
        <v>0</v>
      </c>
    </row>
    <row r="85" spans="1:20" s="2" customFormat="1">
      <c r="B85" s="17">
        <v>45078</v>
      </c>
      <c r="C85" s="14"/>
      <c r="D85" s="14"/>
      <c r="E85" s="140">
        <f t="shared" ca="1" si="43"/>
        <v>385853.96</v>
      </c>
      <c r="F85" s="140">
        <f t="shared" ca="1" si="44"/>
        <v>3162.34</v>
      </c>
      <c r="G85" s="14"/>
      <c r="H85" s="14"/>
      <c r="I85" s="14">
        <f t="shared" si="38"/>
        <v>0</v>
      </c>
      <c r="J85" s="14"/>
      <c r="K85" s="14"/>
      <c r="L85" s="28"/>
      <c r="M85" s="15">
        <f t="shared" ca="1" si="39"/>
        <v>14.833205212045344</v>
      </c>
      <c r="N85" s="14" t="e">
        <f t="shared" si="40"/>
        <v>#DIV/0!</v>
      </c>
      <c r="O85" s="13" t="e">
        <f t="shared" ca="1" si="41"/>
        <v>#DIV/0!</v>
      </c>
      <c r="P85" s="35" t="e">
        <f t="shared" si="45"/>
        <v>#DIV/0!</v>
      </c>
      <c r="Q85" s="36" t="e">
        <f t="shared" si="46"/>
        <v>#DIV/0!</v>
      </c>
      <c r="R85" s="34">
        <f t="shared" ca="1" si="42"/>
        <v>157428.41568000001</v>
      </c>
      <c r="S85" s="13">
        <f t="shared" ca="1" si="47"/>
        <v>4111.0420000000004</v>
      </c>
      <c r="T85" s="33">
        <f t="shared" si="48"/>
        <v>0</v>
      </c>
    </row>
    <row r="86" spans="1:20" s="2" customFormat="1">
      <c r="B86" s="17">
        <v>45108</v>
      </c>
      <c r="C86" s="14"/>
      <c r="D86" s="14"/>
      <c r="E86" s="140">
        <f t="shared" ca="1" si="43"/>
        <v>377563.31</v>
      </c>
      <c r="F86" s="140">
        <f t="shared" ca="1" si="44"/>
        <v>3298.86</v>
      </c>
      <c r="G86" s="14"/>
      <c r="H86" s="14"/>
      <c r="I86" s="14">
        <f t="shared" si="38"/>
        <v>0</v>
      </c>
      <c r="J86" s="14"/>
      <c r="K86" s="14"/>
      <c r="L86" s="28"/>
      <c r="M86" s="15">
        <f t="shared" ca="1" si="39"/>
        <v>14.51449159098715</v>
      </c>
      <c r="N86" s="14" t="e">
        <f t="shared" si="40"/>
        <v>#DIV/0!</v>
      </c>
      <c r="O86" s="13" t="e">
        <f t="shared" ca="1" si="41"/>
        <v>#DIV/0!</v>
      </c>
      <c r="P86" s="35" t="e">
        <f t="shared" si="45"/>
        <v>#DIV/0!</v>
      </c>
      <c r="Q86" s="36" t="e">
        <f t="shared" si="46"/>
        <v>#DIV/0!</v>
      </c>
      <c r="R86" s="34">
        <f t="shared" ca="1" si="42"/>
        <v>154045.83047999998</v>
      </c>
      <c r="S86" s="13">
        <f t="shared" ca="1" si="47"/>
        <v>4288.518</v>
      </c>
      <c r="T86" s="33">
        <f t="shared" si="48"/>
        <v>0</v>
      </c>
    </row>
    <row r="87" spans="1:20" s="2" customFormat="1">
      <c r="B87" s="17">
        <v>45139</v>
      </c>
      <c r="C87" s="14"/>
      <c r="D87" s="14"/>
      <c r="E87" s="140">
        <f t="shared" ca="1" si="43"/>
        <v>409813.72</v>
      </c>
      <c r="F87" s="140">
        <f t="shared" ca="1" si="44"/>
        <v>2689.61</v>
      </c>
      <c r="G87" s="14"/>
      <c r="H87" s="14"/>
      <c r="I87" s="14">
        <f t="shared" si="38"/>
        <v>0</v>
      </c>
      <c r="J87" s="14"/>
      <c r="K87" s="14"/>
      <c r="L87" s="28"/>
      <c r="M87" s="15">
        <f t="shared" ca="1" si="39"/>
        <v>15.754279177209147</v>
      </c>
      <c r="N87" s="14" t="e">
        <f t="shared" si="40"/>
        <v>#DIV/0!</v>
      </c>
      <c r="O87" s="13" t="e">
        <f t="shared" ca="1" si="41"/>
        <v>#DIV/0!</v>
      </c>
      <c r="P87" s="35" t="e">
        <f t="shared" si="45"/>
        <v>#DIV/0!</v>
      </c>
      <c r="Q87" s="36" t="e">
        <f t="shared" si="46"/>
        <v>#DIV/0!</v>
      </c>
      <c r="R87" s="34">
        <f t="shared" ca="1" si="42"/>
        <v>167203.99775999997</v>
      </c>
      <c r="S87" s="13">
        <f t="shared" ca="1" si="47"/>
        <v>3496.4930000000004</v>
      </c>
      <c r="T87" s="33">
        <f t="shared" si="48"/>
        <v>0</v>
      </c>
    </row>
    <row r="88" spans="1:20" s="2" customFormat="1">
      <c r="B88" s="17">
        <v>45170</v>
      </c>
      <c r="C88" s="14"/>
      <c r="D88" s="14"/>
      <c r="E88" s="140">
        <f t="shared" ca="1" si="43"/>
        <v>390772.78</v>
      </c>
      <c r="F88" s="140">
        <f t="shared" ca="1" si="44"/>
        <v>1760.32</v>
      </c>
      <c r="G88" s="14"/>
      <c r="H88" s="14"/>
      <c r="I88" s="14">
        <f t="shared" si="38"/>
        <v>0</v>
      </c>
      <c r="J88" s="14"/>
      <c r="K88" s="14"/>
      <c r="L88" s="28"/>
      <c r="M88" s="15">
        <f t="shared" ca="1" si="39"/>
        <v>15.022297132887918</v>
      </c>
      <c r="N88" s="14" t="e">
        <f t="shared" si="40"/>
        <v>#DIV/0!</v>
      </c>
      <c r="O88" s="13" t="e">
        <f t="shared" ca="1" si="41"/>
        <v>#DIV/0!</v>
      </c>
      <c r="P88" s="35" t="e">
        <f t="shared" si="45"/>
        <v>#DIV/0!</v>
      </c>
      <c r="Q88" s="36" t="e">
        <f t="shared" si="46"/>
        <v>#DIV/0!</v>
      </c>
      <c r="R88" s="34">
        <f t="shared" ca="1" si="42"/>
        <v>159435.29423999999</v>
      </c>
      <c r="S88" s="13">
        <f t="shared" ca="1" si="47"/>
        <v>2288.4160000000002</v>
      </c>
      <c r="T88" s="33">
        <f t="shared" ref="T88:T91" si="49">(I88/1000)*21.28</f>
        <v>0</v>
      </c>
    </row>
    <row r="89" spans="1:20" s="2" customFormat="1">
      <c r="B89" s="17">
        <v>45200</v>
      </c>
      <c r="C89" s="52"/>
      <c r="D89" s="14"/>
      <c r="E89" s="140">
        <f t="shared" ca="1" si="43"/>
        <v>348992.35</v>
      </c>
      <c r="F89" s="140">
        <f t="shared" ca="1" si="44"/>
        <v>1848.6</v>
      </c>
      <c r="G89" s="14"/>
      <c r="H89" s="14"/>
      <c r="I89" s="14">
        <f t="shared" si="38"/>
        <v>0</v>
      </c>
      <c r="J89" s="14"/>
      <c r="K89" s="14"/>
      <c r="L89" s="28"/>
      <c r="M89" s="15">
        <f t="shared" ca="1" si="39"/>
        <v>13.416151398275018</v>
      </c>
      <c r="N89" s="14" t="e">
        <f t="shared" si="40"/>
        <v>#DIV/0!</v>
      </c>
      <c r="O89" s="13" t="e">
        <f t="shared" ca="1" si="41"/>
        <v>#DIV/0!</v>
      </c>
      <c r="P89" s="35" t="e">
        <f t="shared" si="45"/>
        <v>#DIV/0!</v>
      </c>
      <c r="Q89" s="36" t="e">
        <f t="shared" si="46"/>
        <v>#DIV/0!</v>
      </c>
      <c r="R89" s="34">
        <f t="shared" ca="1" si="42"/>
        <v>142388.87879999998</v>
      </c>
      <c r="S89" s="13">
        <f t="shared" ca="1" si="47"/>
        <v>2403.1799999999998</v>
      </c>
      <c r="T89" s="33">
        <f t="shared" si="49"/>
        <v>0</v>
      </c>
    </row>
    <row r="90" spans="1:20" s="2" customFormat="1">
      <c r="B90" s="17">
        <v>45231</v>
      </c>
      <c r="C90" s="52"/>
      <c r="D90" s="14"/>
      <c r="E90" s="140">
        <f t="shared" ca="1" si="43"/>
        <v>354359.13</v>
      </c>
      <c r="F90" s="140">
        <f t="shared" ca="1" si="44"/>
        <v>2139.7800000000002</v>
      </c>
      <c r="G90" s="14"/>
      <c r="H90" s="14"/>
      <c r="I90" s="14">
        <f t="shared" si="38"/>
        <v>0</v>
      </c>
      <c r="J90" s="14"/>
      <c r="K90" s="14"/>
      <c r="L90" s="28"/>
      <c r="M90" s="15">
        <f t="shared" ca="1" si="39"/>
        <v>13.622464038082837</v>
      </c>
      <c r="N90" s="14" t="e">
        <f t="shared" si="40"/>
        <v>#DIV/0!</v>
      </c>
      <c r="O90" s="13" t="e">
        <f t="shared" ca="1" si="41"/>
        <v>#DIV/0!</v>
      </c>
      <c r="P90" s="35" t="e">
        <f t="shared" si="45"/>
        <v>#DIV/0!</v>
      </c>
      <c r="Q90" s="36" t="e">
        <f t="shared" si="46"/>
        <v>#DIV/0!</v>
      </c>
      <c r="R90" s="34">
        <f t="shared" ca="1" si="42"/>
        <v>144578.52503999998</v>
      </c>
      <c r="S90" s="13">
        <f t="shared" ca="1" si="47"/>
        <v>2781.7140000000004</v>
      </c>
      <c r="T90" s="33">
        <f t="shared" si="49"/>
        <v>0</v>
      </c>
    </row>
    <row r="91" spans="1:20" s="2" customFormat="1" ht="14.65" thickBot="1">
      <c r="B91" s="101">
        <v>45261</v>
      </c>
      <c r="C91" s="102"/>
      <c r="D91" s="103"/>
      <c r="E91" s="140">
        <f t="shared" ca="1" si="43"/>
        <v>366800.62</v>
      </c>
      <c r="F91" s="140">
        <f t="shared" ca="1" si="44"/>
        <v>3249.63</v>
      </c>
      <c r="G91" s="103"/>
      <c r="H91" s="103"/>
      <c r="I91" s="103">
        <f t="shared" si="38"/>
        <v>0</v>
      </c>
      <c r="J91" s="103"/>
      <c r="K91" s="103"/>
      <c r="L91" s="104"/>
      <c r="M91" s="105">
        <f t="shared" ca="1" si="39"/>
        <v>14.100746480262801</v>
      </c>
      <c r="N91" s="103" t="e">
        <f t="shared" si="40"/>
        <v>#DIV/0!</v>
      </c>
      <c r="O91" s="73" t="e">
        <f t="shared" ca="1" si="41"/>
        <v>#DIV/0!</v>
      </c>
      <c r="P91" s="106" t="e">
        <f t="shared" si="45"/>
        <v>#DIV/0!</v>
      </c>
      <c r="Q91" s="107" t="e">
        <f t="shared" si="46"/>
        <v>#DIV/0!</v>
      </c>
      <c r="R91" s="105">
        <f t="shared" ca="1" si="42"/>
        <v>149654.65295999998</v>
      </c>
      <c r="S91" s="73">
        <f t="shared" ca="1" si="47"/>
        <v>4224.5190000000002</v>
      </c>
      <c r="T91" s="108">
        <f t="shared" si="49"/>
        <v>0</v>
      </c>
    </row>
    <row r="92" spans="1:20" ht="14.65" thickBot="1">
      <c r="A92" s="91" t="s">
        <v>63</v>
      </c>
      <c r="B92" s="115"/>
      <c r="C92" s="115"/>
      <c r="D92" s="93"/>
      <c r="E92" s="144">
        <f ca="1">SUM(E80:E91)</f>
        <v>4493172.5199999996</v>
      </c>
      <c r="F92" s="115"/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  <c r="E93" s="147">
        <f ca="1">RANDBETWEEN(38000000, 41000000)/100</f>
        <v>403869.65</v>
      </c>
    </row>
    <row r="94" spans="1:20">
      <c r="B94" s="85">
        <v>45323</v>
      </c>
      <c r="E94" s="147">
        <f ca="1">RANDBETWEEN(38000000, 41000000)/100</f>
        <v>388359.9</v>
      </c>
    </row>
    <row r="95" spans="1:20">
      <c r="B95" s="85">
        <v>45352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93"/>
      <c r="F105" s="115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6748-2514-4742-85D8-EC2AF9A6A3D6}">
  <dimension ref="A1:T105"/>
  <sheetViews>
    <sheetView topLeftCell="A87" workbookViewId="0">
      <selection activeCell="I85" sqref="I85"/>
    </sheetView>
  </sheetViews>
  <sheetFormatPr defaultColWidth="8.796875" defaultRowHeight="14.25"/>
  <cols>
    <col min="1" max="1" width="11.46484375" style="1" customWidth="1"/>
    <col min="2" max="2" width="12" style="1" customWidth="1"/>
    <col min="3" max="3" width="25.46484375" style="1" customWidth="1"/>
    <col min="4" max="4" width="20.46484375" style="2" customWidth="1"/>
    <col min="5" max="5" width="21" style="119" customWidth="1"/>
    <col min="6" max="6" width="25.46484375" style="121" customWidth="1"/>
    <col min="7" max="7" width="25.46484375" style="1" customWidth="1"/>
    <col min="8" max="9" width="20.46484375" style="1" customWidth="1"/>
    <col min="10" max="12" width="15.46484375" style="2" customWidth="1"/>
    <col min="13" max="13" width="21" style="2" customWidth="1"/>
    <col min="14" max="14" width="24.46484375" style="2" bestFit="1" customWidth="1"/>
    <col min="15" max="15" width="20" style="1" customWidth="1"/>
    <col min="16" max="16" width="22.796875" style="1" bestFit="1" customWidth="1"/>
    <col min="17" max="17" width="22" style="1" bestFit="1" customWidth="1"/>
    <col min="18" max="19" width="24.46484375" style="1" customWidth="1"/>
    <col min="20" max="20" width="24" style="1" customWidth="1"/>
    <col min="21" max="16384" width="8.796875" style="1"/>
  </cols>
  <sheetData>
    <row r="1" spans="2:14">
      <c r="B1" s="150" t="s">
        <v>11</v>
      </c>
      <c r="C1" s="150" t="s">
        <v>65</v>
      </c>
      <c r="D1" s="151"/>
      <c r="E1" s="152" t="s">
        <v>5</v>
      </c>
      <c r="F1" s="150" t="s">
        <v>64</v>
      </c>
      <c r="G1" s="150"/>
      <c r="H1" s="150"/>
      <c r="I1" s="150"/>
      <c r="J1" s="150"/>
      <c r="K1" s="150"/>
      <c r="L1" s="150"/>
      <c r="M1" s="149" t="s">
        <v>1</v>
      </c>
      <c r="N1" s="1"/>
    </row>
    <row r="2" spans="2:14">
      <c r="B2" s="150"/>
      <c r="C2" s="150"/>
      <c r="D2" s="151"/>
      <c r="E2" s="152"/>
      <c r="F2" s="117" t="s">
        <v>14</v>
      </c>
      <c r="G2" s="60" t="s">
        <v>15</v>
      </c>
      <c r="H2" s="60" t="s">
        <v>16</v>
      </c>
      <c r="I2" s="60" t="s">
        <v>17</v>
      </c>
      <c r="J2" s="60" t="s">
        <v>18</v>
      </c>
      <c r="K2" s="60" t="s">
        <v>19</v>
      </c>
      <c r="L2" s="60"/>
      <c r="M2" s="149"/>
      <c r="N2" s="1"/>
    </row>
    <row r="3" spans="2:14">
      <c r="B3" s="14">
        <v>1</v>
      </c>
      <c r="C3" s="14" t="s">
        <v>67</v>
      </c>
      <c r="D3" s="14"/>
      <c r="E3" s="118">
        <v>34658.326999999997</v>
      </c>
      <c r="F3" s="118">
        <f>AVERAGE(K51,K38,K25)</f>
        <v>174.44129427636059</v>
      </c>
      <c r="G3" s="29">
        <f>0.9*F3</f>
        <v>156.99716484872454</v>
      </c>
      <c r="H3" s="46" t="e">
        <f>AVERAGE(M51,M38,M25)</f>
        <v>#DIV/0!</v>
      </c>
      <c r="I3" s="46" t="e">
        <f>0.9*H3</f>
        <v>#DIV/0!</v>
      </c>
      <c r="J3" s="14"/>
      <c r="K3" s="45"/>
      <c r="L3" s="45"/>
      <c r="M3" s="14" t="s">
        <v>22</v>
      </c>
      <c r="N3" s="1"/>
    </row>
    <row r="4" spans="2:14">
      <c r="B4" s="14" t="s">
        <v>31</v>
      </c>
      <c r="C4" s="14" t="s">
        <v>32</v>
      </c>
      <c r="D4" s="14"/>
      <c r="E4" s="118"/>
      <c r="F4" s="118" t="e">
        <f>AVERAGE(L51,L38,L25)</f>
        <v>#DIV/0!</v>
      </c>
      <c r="G4" s="14" t="e">
        <f>0.9*F4</f>
        <v>#DIV/0!</v>
      </c>
      <c r="H4" s="14"/>
      <c r="I4" s="14"/>
      <c r="J4" s="14"/>
      <c r="K4" s="14"/>
      <c r="L4" s="14"/>
      <c r="M4" s="14"/>
      <c r="N4" s="1"/>
    </row>
    <row r="5" spans="2:14">
      <c r="B5" s="52"/>
      <c r="C5" s="14" t="s">
        <v>33</v>
      </c>
      <c r="D5" s="14"/>
      <c r="E5" s="118">
        <f>E3-E7</f>
        <v>34658.326999999997</v>
      </c>
      <c r="F5" s="118">
        <f>E3-E4</f>
        <v>34658.326999999997</v>
      </c>
      <c r="G5" s="14">
        <f>50/70</f>
        <v>0.7142857142857143</v>
      </c>
      <c r="H5" s="52"/>
      <c r="I5" s="52"/>
      <c r="J5" s="14"/>
      <c r="K5" s="14"/>
      <c r="L5" s="14"/>
      <c r="M5" s="14"/>
    </row>
    <row r="6" spans="2:14">
      <c r="C6" s="2"/>
      <c r="F6" s="119"/>
      <c r="G6" s="2"/>
    </row>
    <row r="7" spans="2:14">
      <c r="B7" s="43" t="s">
        <v>3</v>
      </c>
      <c r="C7" s="43"/>
      <c r="D7" s="43"/>
      <c r="E7" s="120"/>
      <c r="F7" s="120"/>
      <c r="G7" s="42"/>
      <c r="H7" s="42"/>
      <c r="I7" s="42"/>
    </row>
    <row r="8" spans="2:14">
      <c r="B8" s="43" t="s">
        <v>30</v>
      </c>
      <c r="C8" s="43"/>
      <c r="D8" s="43"/>
      <c r="E8" s="129"/>
      <c r="F8" s="120"/>
      <c r="G8" s="42"/>
      <c r="H8" s="42"/>
      <c r="I8" s="42"/>
    </row>
    <row r="9" spans="2:14">
      <c r="B9" s="43" t="s">
        <v>20</v>
      </c>
      <c r="C9" s="43"/>
      <c r="D9" s="43"/>
      <c r="E9" s="130"/>
      <c r="F9" s="120"/>
      <c r="G9" s="42"/>
      <c r="H9" s="42"/>
      <c r="I9" s="42"/>
    </row>
    <row r="10" spans="2:14">
      <c r="B10" s="43" t="s">
        <v>21</v>
      </c>
      <c r="C10" s="43"/>
      <c r="D10" s="43"/>
      <c r="E10" s="130"/>
      <c r="F10" s="120"/>
      <c r="G10" s="42"/>
      <c r="H10" s="42"/>
      <c r="I10" s="42"/>
      <c r="L10" s="2" t="s">
        <v>29</v>
      </c>
    </row>
    <row r="11" spans="2:14" ht="14.65" thickBot="1">
      <c r="B11" s="30"/>
      <c r="L11" s="2">
        <f>5*52/12</f>
        <v>21.666666666666668</v>
      </c>
    </row>
    <row r="12" spans="2:14" ht="98.25" customHeight="1">
      <c r="B12" s="21" t="s">
        <v>12</v>
      </c>
      <c r="C12" s="23" t="s">
        <v>35</v>
      </c>
      <c r="D12" s="23" t="s">
        <v>41</v>
      </c>
      <c r="E12" s="132" t="s">
        <v>68</v>
      </c>
      <c r="F12" s="122" t="s">
        <v>37</v>
      </c>
      <c r="G12" s="47" t="s">
        <v>38</v>
      </c>
      <c r="H12" s="20"/>
      <c r="I12" s="20"/>
      <c r="J12" s="22" t="s">
        <v>8</v>
      </c>
      <c r="K12" s="21" t="s">
        <v>9</v>
      </c>
      <c r="L12" s="20" t="s">
        <v>23</v>
      </c>
      <c r="M12" s="20" t="s">
        <v>10</v>
      </c>
      <c r="N12" s="19" t="s">
        <v>4</v>
      </c>
    </row>
    <row r="13" spans="2:14">
      <c r="B13" s="17">
        <v>43101</v>
      </c>
      <c r="C13" s="18"/>
      <c r="D13" s="18"/>
      <c r="E13" s="118">
        <v>521171.56199999998</v>
      </c>
      <c r="F13" s="118">
        <v>3243.5</v>
      </c>
      <c r="G13" s="14"/>
      <c r="H13" s="14"/>
      <c r="I13" s="14"/>
      <c r="J13" s="16">
        <f t="shared" ref="J13:J24" si="0">$L$11</f>
        <v>21.666666666666668</v>
      </c>
      <c r="K13" s="15">
        <f t="shared" ref="K13:K24" si="1">E13/$E$3</f>
        <v>15.037412567548342</v>
      </c>
      <c r="L13" s="14" t="e">
        <f>(C13/$E$4)*(55/60)</f>
        <v>#DIV/0!</v>
      </c>
      <c r="M13" s="13" t="e">
        <f t="shared" ref="M13:M24" si="2">F13*1000/(H13+0.25*I13)/J13</f>
        <v>#DIV/0!</v>
      </c>
      <c r="N13" s="12"/>
    </row>
    <row r="14" spans="2:14">
      <c r="B14" s="17">
        <v>43132</v>
      </c>
      <c r="C14" s="14"/>
      <c r="D14" s="14"/>
      <c r="E14" s="118">
        <v>438632.93099999998</v>
      </c>
      <c r="F14" s="118">
        <v>3952.1</v>
      </c>
      <c r="G14" s="14"/>
      <c r="H14" s="14"/>
      <c r="I14" s="14"/>
      <c r="J14" s="16">
        <f t="shared" si="0"/>
        <v>21.666666666666668</v>
      </c>
      <c r="K14" s="15">
        <f t="shared" si="1"/>
        <v>12.655917609641111</v>
      </c>
      <c r="L14" s="14" t="e">
        <f t="shared" ref="L14:L24" si="3">(C14/$E$4)*(55/60)</f>
        <v>#DIV/0!</v>
      </c>
      <c r="M14" s="13" t="e">
        <f t="shared" si="2"/>
        <v>#DIV/0!</v>
      </c>
      <c r="N14" s="12"/>
    </row>
    <row r="15" spans="2:14">
      <c r="B15" s="17">
        <v>43160</v>
      </c>
      <c r="C15" s="14"/>
      <c r="D15" s="14"/>
      <c r="E15" s="118">
        <v>497100.00399999996</v>
      </c>
      <c r="F15" s="118">
        <v>3824.8</v>
      </c>
      <c r="G15" s="14"/>
      <c r="H15" s="14"/>
      <c r="I15" s="14"/>
      <c r="J15" s="16">
        <f t="shared" si="0"/>
        <v>21.666666666666668</v>
      </c>
      <c r="K15" s="15">
        <f t="shared" si="1"/>
        <v>14.342873618798738</v>
      </c>
      <c r="L15" s="14" t="e">
        <f t="shared" si="3"/>
        <v>#DIV/0!</v>
      </c>
      <c r="M15" s="13" t="e">
        <f t="shared" si="2"/>
        <v>#DIV/0!</v>
      </c>
      <c r="N15" s="12"/>
    </row>
    <row r="16" spans="2:14">
      <c r="B16" s="17">
        <v>43191</v>
      </c>
      <c r="C16" s="14"/>
      <c r="D16" s="14"/>
      <c r="E16" s="118">
        <v>507985.51899999997</v>
      </c>
      <c r="F16" s="118">
        <v>3697.3</v>
      </c>
      <c r="G16" s="14"/>
      <c r="H16" s="14"/>
      <c r="I16" s="14"/>
      <c r="J16" s="16">
        <f t="shared" si="0"/>
        <v>21.666666666666668</v>
      </c>
      <c r="K16" s="15">
        <f t="shared" si="1"/>
        <v>14.656954416755315</v>
      </c>
      <c r="L16" s="14" t="e">
        <f t="shared" si="3"/>
        <v>#DIV/0!</v>
      </c>
      <c r="M16" s="13" t="e">
        <f t="shared" si="2"/>
        <v>#DIV/0!</v>
      </c>
      <c r="N16" s="12"/>
    </row>
    <row r="17" spans="1:14" s="2" customFormat="1">
      <c r="B17" s="17">
        <v>43221</v>
      </c>
      <c r="C17" s="14"/>
      <c r="D17" s="14"/>
      <c r="E17" s="118">
        <v>547022.62600000005</v>
      </c>
      <c r="F17" s="118">
        <v>2564.6</v>
      </c>
      <c r="G17" s="14"/>
      <c r="H17" s="14"/>
      <c r="I17" s="14"/>
      <c r="J17" s="16">
        <f t="shared" si="0"/>
        <v>21.666666666666668</v>
      </c>
      <c r="K17" s="15">
        <f t="shared" si="1"/>
        <v>15.783295771893435</v>
      </c>
      <c r="L17" s="14" t="e">
        <f t="shared" si="3"/>
        <v>#DIV/0!</v>
      </c>
      <c r="M17" s="13" t="e">
        <f t="shared" si="2"/>
        <v>#DIV/0!</v>
      </c>
      <c r="N17" s="12"/>
    </row>
    <row r="18" spans="1:14" s="2" customFormat="1">
      <c r="B18" s="17">
        <v>43252</v>
      </c>
      <c r="C18" s="14"/>
      <c r="D18" s="14"/>
      <c r="E18" s="118">
        <v>491477.49599999998</v>
      </c>
      <c r="F18" s="118">
        <v>3556.6</v>
      </c>
      <c r="G18" s="14"/>
      <c r="H18" s="14"/>
      <c r="I18" s="14"/>
      <c r="J18" s="16">
        <f t="shared" si="0"/>
        <v>21.666666666666668</v>
      </c>
      <c r="K18" s="15">
        <f t="shared" si="1"/>
        <v>14.180646861575287</v>
      </c>
      <c r="L18" s="14" t="e">
        <f t="shared" si="3"/>
        <v>#DIV/0!</v>
      </c>
      <c r="M18" s="13" t="e">
        <f t="shared" si="2"/>
        <v>#DIV/0!</v>
      </c>
      <c r="N18" s="12"/>
    </row>
    <row r="19" spans="1:14" s="2" customFormat="1">
      <c r="B19" s="17">
        <v>43282</v>
      </c>
      <c r="C19" s="14"/>
      <c r="D19" s="14"/>
      <c r="E19" s="118">
        <v>555131.49</v>
      </c>
      <c r="F19" s="118">
        <v>3754.5</v>
      </c>
      <c r="G19" s="14"/>
      <c r="H19" s="14"/>
      <c r="I19" s="14"/>
      <c r="J19" s="16">
        <f t="shared" si="0"/>
        <v>21.666666666666668</v>
      </c>
      <c r="K19" s="15">
        <f t="shared" si="1"/>
        <v>16.017261594883102</v>
      </c>
      <c r="L19" s="14" t="e">
        <f t="shared" si="3"/>
        <v>#DIV/0!</v>
      </c>
      <c r="M19" s="13" t="e">
        <f t="shared" si="2"/>
        <v>#DIV/0!</v>
      </c>
      <c r="N19" s="12"/>
    </row>
    <row r="20" spans="1:14" s="2" customFormat="1">
      <c r="B20" s="17">
        <v>43313</v>
      </c>
      <c r="C20" s="14"/>
      <c r="D20" s="14"/>
      <c r="E20" s="118">
        <v>527090.43799999997</v>
      </c>
      <c r="F20" s="118">
        <v>3879.7</v>
      </c>
      <c r="G20" s="14"/>
      <c r="H20" s="14"/>
      <c r="I20" s="14"/>
      <c r="J20" s="16">
        <f t="shared" si="0"/>
        <v>21.666666666666668</v>
      </c>
      <c r="K20" s="15">
        <f t="shared" si="1"/>
        <v>15.208190458818166</v>
      </c>
      <c r="L20" s="14" t="e">
        <f t="shared" si="3"/>
        <v>#DIV/0!</v>
      </c>
      <c r="M20" s="13" t="e">
        <f t="shared" si="2"/>
        <v>#DIV/0!</v>
      </c>
      <c r="N20" s="12"/>
    </row>
    <row r="21" spans="1:14" s="2" customFormat="1">
      <c r="B21" s="17">
        <v>43344</v>
      </c>
      <c r="C21" s="14"/>
      <c r="D21" s="14"/>
      <c r="E21" s="118">
        <v>477554.44500000001</v>
      </c>
      <c r="F21" s="118">
        <v>3500.1</v>
      </c>
      <c r="G21" s="14"/>
      <c r="H21" s="14"/>
      <c r="I21" s="14"/>
      <c r="J21" s="16">
        <f t="shared" si="0"/>
        <v>21.666666666666668</v>
      </c>
      <c r="K21" s="15">
        <f t="shared" si="1"/>
        <v>13.778923748973805</v>
      </c>
      <c r="L21" s="14" t="e">
        <f t="shared" si="3"/>
        <v>#DIV/0!</v>
      </c>
      <c r="M21" s="13" t="e">
        <f t="shared" si="2"/>
        <v>#DIV/0!</v>
      </c>
      <c r="N21" s="12"/>
    </row>
    <row r="22" spans="1:14" s="2" customFormat="1">
      <c r="B22" s="17">
        <v>43374</v>
      </c>
      <c r="C22" s="14"/>
      <c r="D22" s="14"/>
      <c r="E22" s="118">
        <v>535211.51899999997</v>
      </c>
      <c r="F22" s="118">
        <v>3570.9</v>
      </c>
      <c r="G22" s="14"/>
      <c r="H22" s="14"/>
      <c r="I22" s="14"/>
      <c r="J22" s="16">
        <f t="shared" si="0"/>
        <v>21.666666666666668</v>
      </c>
      <c r="K22" s="15">
        <f t="shared" si="1"/>
        <v>15.442508780068929</v>
      </c>
      <c r="L22" s="14" t="e">
        <f t="shared" si="3"/>
        <v>#DIV/0!</v>
      </c>
      <c r="M22" s="13" t="e">
        <f t="shared" si="2"/>
        <v>#DIV/0!</v>
      </c>
      <c r="N22" s="12"/>
    </row>
    <row r="23" spans="1:14" s="2" customFormat="1">
      <c r="B23" s="17">
        <v>43405</v>
      </c>
      <c r="C23" s="14"/>
      <c r="D23" s="14"/>
      <c r="E23" s="118">
        <v>503316.65299999999</v>
      </c>
      <c r="F23" s="118">
        <v>4239.8</v>
      </c>
      <c r="G23" s="14"/>
      <c r="H23" s="14"/>
      <c r="I23" s="14"/>
      <c r="J23" s="16">
        <f t="shared" si="0"/>
        <v>21.666666666666668</v>
      </c>
      <c r="K23" s="15">
        <f t="shared" si="1"/>
        <v>14.52224318271335</v>
      </c>
      <c r="L23" s="14" t="e">
        <f t="shared" si="3"/>
        <v>#DIV/0!</v>
      </c>
      <c r="M23" s="13" t="e">
        <f t="shared" si="2"/>
        <v>#DIV/0!</v>
      </c>
      <c r="N23" s="12"/>
    </row>
    <row r="24" spans="1:14" s="2" customFormat="1" ht="14.65" thickBot="1">
      <c r="B24" s="11">
        <v>43435</v>
      </c>
      <c r="C24" s="9"/>
      <c r="D24" s="9"/>
      <c r="E24" s="123">
        <v>499045.93000000005</v>
      </c>
      <c r="F24" s="123">
        <v>3653.4</v>
      </c>
      <c r="G24" s="9"/>
      <c r="H24" s="9"/>
      <c r="I24" s="9"/>
      <c r="J24" s="25">
        <f t="shared" si="0"/>
        <v>21.666666666666668</v>
      </c>
      <c r="K24" s="10">
        <f t="shared" si="1"/>
        <v>14.39901960645706</v>
      </c>
      <c r="L24" s="9" t="e">
        <f t="shared" si="3"/>
        <v>#DIV/0!</v>
      </c>
      <c r="M24" s="8" t="e">
        <f t="shared" si="2"/>
        <v>#DIV/0!</v>
      </c>
      <c r="N24" s="7"/>
    </row>
    <row r="25" spans="1:14" s="2" customFormat="1" ht="14.65" thickBot="1">
      <c r="A25" s="91" t="s">
        <v>58</v>
      </c>
      <c r="B25" s="91"/>
      <c r="C25" s="92">
        <f>SUM(C13:C24)</f>
        <v>0</v>
      </c>
      <c r="D25" s="93"/>
      <c r="E25" s="124">
        <f>SUM(E13:E24)</f>
        <v>6100740.6129999999</v>
      </c>
      <c r="F25" s="124">
        <f>SUM(F13:F24)</f>
        <v>43437.3</v>
      </c>
      <c r="G25" s="93"/>
      <c r="H25" s="93"/>
      <c r="I25" s="93"/>
      <c r="J25" s="93"/>
      <c r="K25" s="93">
        <f>E25/E3</f>
        <v>176.02524821812665</v>
      </c>
      <c r="L25" s="93" t="e">
        <f>SUM(L13:L24)</f>
        <v>#DIV/0!</v>
      </c>
      <c r="M25" s="94" t="e">
        <f>AVERAGE(M13:M24)</f>
        <v>#DIV/0!</v>
      </c>
      <c r="N25" s="95"/>
    </row>
    <row r="26" spans="1:14">
      <c r="B26" s="17">
        <v>43466</v>
      </c>
      <c r="C26" s="18"/>
      <c r="D26" s="18"/>
      <c r="E26" s="118">
        <v>571060.84</v>
      </c>
      <c r="F26" s="118">
        <v>3370</v>
      </c>
      <c r="G26" s="14"/>
      <c r="H26" s="14"/>
      <c r="I26" s="14"/>
      <c r="J26" s="16">
        <f t="shared" ref="J26:J37" si="4">$L$11</f>
        <v>21.666666666666668</v>
      </c>
      <c r="K26" s="15">
        <f t="shared" ref="K26:K37" si="5">E26/$E$3</f>
        <v>16.476872643044771</v>
      </c>
      <c r="L26" s="14" t="e">
        <f t="shared" ref="L26:L37" si="6">(C26/$E$4)*(55/60)</f>
        <v>#DIV/0!</v>
      </c>
      <c r="M26" s="13" t="e">
        <f t="shared" ref="M26:M37" si="7">F26*1000/(H26+0.25*I26)/J26</f>
        <v>#DIV/0!</v>
      </c>
      <c r="N26" s="12"/>
    </row>
    <row r="27" spans="1:14">
      <c r="B27" s="17">
        <v>43497</v>
      </c>
      <c r="C27" s="14"/>
      <c r="D27" s="14"/>
      <c r="E27" s="118">
        <v>415763.87</v>
      </c>
      <c r="F27" s="118">
        <v>3628.8</v>
      </c>
      <c r="G27" s="14"/>
      <c r="H27" s="14"/>
      <c r="I27" s="14"/>
      <c r="J27" s="16">
        <f t="shared" si="4"/>
        <v>21.666666666666668</v>
      </c>
      <c r="K27" s="15">
        <f t="shared" si="5"/>
        <v>11.996074421018649</v>
      </c>
      <c r="L27" s="14" t="e">
        <f t="shared" si="6"/>
        <v>#DIV/0!</v>
      </c>
      <c r="M27" s="13" t="e">
        <f t="shared" si="7"/>
        <v>#DIV/0!</v>
      </c>
      <c r="N27" s="12"/>
    </row>
    <row r="28" spans="1:14">
      <c r="B28" s="17">
        <v>43525</v>
      </c>
      <c r="C28" s="14"/>
      <c r="D28" s="14"/>
      <c r="E28" s="118">
        <v>528037.26</v>
      </c>
      <c r="F28" s="118">
        <v>4331.8</v>
      </c>
      <c r="G28" s="14"/>
      <c r="H28" s="14"/>
      <c r="I28" s="14"/>
      <c r="J28" s="16">
        <f t="shared" si="4"/>
        <v>21.666666666666668</v>
      </c>
      <c r="K28" s="15">
        <f t="shared" si="5"/>
        <v>15.235509203892041</v>
      </c>
      <c r="L28" s="14" t="e">
        <f t="shared" si="6"/>
        <v>#DIV/0!</v>
      </c>
      <c r="M28" s="13" t="e">
        <f t="shared" si="7"/>
        <v>#DIV/0!</v>
      </c>
      <c r="N28" s="12"/>
    </row>
    <row r="29" spans="1:14">
      <c r="B29" s="17">
        <v>43556</v>
      </c>
      <c r="C29" s="14"/>
      <c r="D29" s="14"/>
      <c r="E29" s="118">
        <v>499749.12</v>
      </c>
      <c r="F29" s="118">
        <v>3784.6</v>
      </c>
      <c r="G29" s="14"/>
      <c r="H29" s="14"/>
      <c r="I29" s="14"/>
      <c r="J29" s="16">
        <f t="shared" si="4"/>
        <v>21.666666666666668</v>
      </c>
      <c r="K29" s="15">
        <f t="shared" si="5"/>
        <v>14.419308814300241</v>
      </c>
      <c r="L29" s="14" t="e">
        <f t="shared" si="6"/>
        <v>#DIV/0!</v>
      </c>
      <c r="M29" s="13" t="e">
        <f t="shared" si="7"/>
        <v>#DIV/0!</v>
      </c>
      <c r="N29" s="12"/>
    </row>
    <row r="30" spans="1:14">
      <c r="B30" s="17">
        <v>43586</v>
      </c>
      <c r="C30" s="14"/>
      <c r="D30" s="14"/>
      <c r="E30" s="118">
        <v>566916.02</v>
      </c>
      <c r="F30" s="118">
        <v>3872.1</v>
      </c>
      <c r="G30" s="14"/>
      <c r="H30" s="14"/>
      <c r="I30" s="14"/>
      <c r="J30" s="16">
        <f t="shared" si="4"/>
        <v>21.666666666666668</v>
      </c>
      <c r="K30" s="15">
        <f t="shared" si="5"/>
        <v>16.35728175800292</v>
      </c>
      <c r="L30" s="14" t="e">
        <f t="shared" si="6"/>
        <v>#DIV/0!</v>
      </c>
      <c r="M30" s="13" t="e">
        <f t="shared" si="7"/>
        <v>#DIV/0!</v>
      </c>
      <c r="N30" s="12"/>
    </row>
    <row r="31" spans="1:14">
      <c r="B31" s="17">
        <v>43617</v>
      </c>
      <c r="C31" s="14"/>
      <c r="D31" s="14"/>
      <c r="E31" s="118">
        <v>469844.76</v>
      </c>
      <c r="F31" s="118">
        <v>4432.8</v>
      </c>
      <c r="G31" s="14"/>
      <c r="H31" s="14"/>
      <c r="I31" s="14"/>
      <c r="J31" s="16">
        <f t="shared" si="4"/>
        <v>21.666666666666668</v>
      </c>
      <c r="K31" s="15">
        <f t="shared" si="5"/>
        <v>13.556475475576189</v>
      </c>
      <c r="L31" s="14" t="e">
        <f t="shared" si="6"/>
        <v>#DIV/0!</v>
      </c>
      <c r="M31" s="13" t="e">
        <f t="shared" si="7"/>
        <v>#DIV/0!</v>
      </c>
      <c r="N31" s="12"/>
    </row>
    <row r="32" spans="1:14">
      <c r="B32" s="17">
        <v>43647</v>
      </c>
      <c r="C32" s="14"/>
      <c r="D32" s="14"/>
      <c r="E32" s="118">
        <v>584848.99</v>
      </c>
      <c r="F32" s="118">
        <v>4588.3</v>
      </c>
      <c r="G32" s="14"/>
      <c r="H32" s="14"/>
      <c r="I32" s="14"/>
      <c r="J32" s="16">
        <f t="shared" si="4"/>
        <v>21.666666666666668</v>
      </c>
      <c r="K32" s="15">
        <f t="shared" si="5"/>
        <v>16.874703444283391</v>
      </c>
      <c r="L32" s="14" t="e">
        <f t="shared" si="6"/>
        <v>#DIV/0!</v>
      </c>
      <c r="M32" s="13" t="e">
        <f t="shared" si="7"/>
        <v>#DIV/0!</v>
      </c>
      <c r="N32" s="12"/>
    </row>
    <row r="33" spans="1:14">
      <c r="B33" s="17">
        <v>43678</v>
      </c>
      <c r="C33" s="14"/>
      <c r="D33" s="14"/>
      <c r="E33" s="118">
        <v>507837.56</v>
      </c>
      <c r="F33" s="118">
        <v>4439</v>
      </c>
      <c r="G33" s="14"/>
      <c r="H33" s="14"/>
      <c r="I33" s="14"/>
      <c r="J33" s="16">
        <f t="shared" si="4"/>
        <v>21.666666666666668</v>
      </c>
      <c r="K33" s="15">
        <f t="shared" si="5"/>
        <v>14.652685341678495</v>
      </c>
      <c r="L33" s="14" t="e">
        <f t="shared" si="6"/>
        <v>#DIV/0!</v>
      </c>
      <c r="M33" s="13" t="e">
        <f t="shared" si="7"/>
        <v>#DIV/0!</v>
      </c>
      <c r="N33" s="12"/>
    </row>
    <row r="34" spans="1:14">
      <c r="B34" s="17">
        <v>43709</v>
      </c>
      <c r="C34" s="14"/>
      <c r="D34" s="14"/>
      <c r="E34" s="118">
        <v>513147.3</v>
      </c>
      <c r="F34" s="118">
        <v>4770.2</v>
      </c>
      <c r="G34" s="14"/>
      <c r="H34" s="14"/>
      <c r="I34" s="14"/>
      <c r="J34" s="16">
        <f t="shared" si="4"/>
        <v>21.666666666666668</v>
      </c>
      <c r="K34" s="15">
        <f t="shared" si="5"/>
        <v>14.805887774098272</v>
      </c>
      <c r="L34" s="14" t="e">
        <f t="shared" si="6"/>
        <v>#DIV/0!</v>
      </c>
      <c r="M34" s="13" t="e">
        <f t="shared" si="7"/>
        <v>#DIV/0!</v>
      </c>
      <c r="N34" s="12"/>
    </row>
    <row r="35" spans="1:14">
      <c r="B35" s="17">
        <v>43739</v>
      </c>
      <c r="C35" s="14"/>
      <c r="D35" s="14"/>
      <c r="E35" s="118">
        <v>576736.16</v>
      </c>
      <c r="F35" s="118">
        <v>4456.1000000000004</v>
      </c>
      <c r="G35" s="14"/>
      <c r="H35" s="14"/>
      <c r="I35" s="14"/>
      <c r="J35" s="16">
        <f t="shared" si="4"/>
        <v>21.666666666666668</v>
      </c>
      <c r="K35" s="15">
        <f t="shared" si="5"/>
        <v>16.640623189919122</v>
      </c>
      <c r="L35" s="14" t="e">
        <f t="shared" si="6"/>
        <v>#DIV/0!</v>
      </c>
      <c r="M35" s="13" t="e">
        <f t="shared" si="7"/>
        <v>#DIV/0!</v>
      </c>
      <c r="N35" s="12"/>
    </row>
    <row r="36" spans="1:14">
      <c r="B36" s="17">
        <v>43770</v>
      </c>
      <c r="C36" s="14"/>
      <c r="D36" s="14"/>
      <c r="E36" s="118">
        <v>511335.23</v>
      </c>
      <c r="F36" s="118">
        <v>6577.8</v>
      </c>
      <c r="G36" s="14"/>
      <c r="H36" s="14"/>
      <c r="I36" s="14"/>
      <c r="J36" s="16">
        <f t="shared" si="4"/>
        <v>21.666666666666668</v>
      </c>
      <c r="K36" s="15">
        <f t="shared" si="5"/>
        <v>14.753603946318586</v>
      </c>
      <c r="L36" s="14" t="e">
        <f t="shared" si="6"/>
        <v>#DIV/0!</v>
      </c>
      <c r="M36" s="13" t="e">
        <f t="shared" si="7"/>
        <v>#DIV/0!</v>
      </c>
      <c r="N36" s="12"/>
    </row>
    <row r="37" spans="1:14" ht="14.65" thickBot="1">
      <c r="B37" s="11">
        <v>43800</v>
      </c>
      <c r="C37" s="9"/>
      <c r="D37" s="9"/>
      <c r="E37" s="123">
        <v>485258.31</v>
      </c>
      <c r="F37" s="123">
        <v>5431.5</v>
      </c>
      <c r="G37" s="9"/>
      <c r="H37" s="9"/>
      <c r="I37" s="9"/>
      <c r="J37" s="25">
        <f t="shared" si="4"/>
        <v>21.666666666666668</v>
      </c>
      <c r="K37" s="10">
        <f t="shared" si="5"/>
        <v>14.001204097358768</v>
      </c>
      <c r="L37" s="9" t="e">
        <f t="shared" si="6"/>
        <v>#DIV/0!</v>
      </c>
      <c r="M37" s="8" t="e">
        <f t="shared" si="7"/>
        <v>#DIV/0!</v>
      </c>
      <c r="N37" s="7"/>
    </row>
    <row r="38" spans="1:14" ht="14.65" thickBot="1">
      <c r="A38" s="91" t="s">
        <v>59</v>
      </c>
      <c r="B38" s="91"/>
      <c r="C38" s="92">
        <f>SUM(C26:C37)</f>
        <v>0</v>
      </c>
      <c r="D38" s="93"/>
      <c r="E38" s="124">
        <f>SUM(E26:E37)</f>
        <v>6230535.4200000009</v>
      </c>
      <c r="F38" s="124">
        <f>SUM(F26:F37)</f>
        <v>53683</v>
      </c>
      <c r="G38" s="93"/>
      <c r="H38" s="93"/>
      <c r="I38" s="93"/>
      <c r="J38" s="93"/>
      <c r="K38" s="96">
        <f>SUM(K26:K37)</f>
        <v>179.77023010949145</v>
      </c>
      <c r="L38" s="93" t="e">
        <f>SUM(L26:L37)</f>
        <v>#DIV/0!</v>
      </c>
      <c r="M38" s="94" t="e">
        <f>AVERAGE(M26:M37)</f>
        <v>#DIV/0!</v>
      </c>
      <c r="N38" s="95"/>
    </row>
    <row r="39" spans="1:14" s="2" customFormat="1">
      <c r="B39" s="85">
        <v>43831</v>
      </c>
      <c r="C39" s="86"/>
      <c r="D39" s="86"/>
      <c r="E39" s="125">
        <v>540786.07000000007</v>
      </c>
      <c r="F39" s="125">
        <v>4113.5</v>
      </c>
      <c r="G39" s="87"/>
      <c r="H39" s="87"/>
      <c r="I39" s="87"/>
      <c r="J39" s="88">
        <f>$L$11</f>
        <v>21.666666666666668</v>
      </c>
      <c r="K39" s="89">
        <f t="shared" ref="K39:K50" si="8">E39/$E$3</f>
        <v>15.603351829417505</v>
      </c>
      <c r="L39" s="87" t="e">
        <f t="shared" ref="L39:L50" si="9">(C39/$E$4)*(55/60)</f>
        <v>#DIV/0!</v>
      </c>
      <c r="M39" s="74" t="e">
        <f>F39*1000/(H39+0.25*I39)/J39</f>
        <v>#DIV/0!</v>
      </c>
      <c r="N39" s="90"/>
    </row>
    <row r="40" spans="1:14" s="2" customFormat="1">
      <c r="B40" s="17">
        <v>43862</v>
      </c>
      <c r="C40" s="14"/>
      <c r="D40" s="14"/>
      <c r="E40" s="118">
        <v>451015.88</v>
      </c>
      <c r="F40" s="118">
        <v>4387.7</v>
      </c>
      <c r="G40" s="14"/>
      <c r="H40" s="14"/>
      <c r="I40" s="14"/>
      <c r="J40" s="16">
        <f>$L$11</f>
        <v>21.666666666666668</v>
      </c>
      <c r="K40" s="15">
        <f t="shared" si="8"/>
        <v>13.013204012992318</v>
      </c>
      <c r="L40" s="14" t="e">
        <f t="shared" si="9"/>
        <v>#DIV/0!</v>
      </c>
      <c r="M40" s="13" t="e">
        <f t="shared" ref="M40:M50" si="10">F40*1000/(H40+0.25*I40)/J40</f>
        <v>#DIV/0!</v>
      </c>
      <c r="N40" s="12"/>
    </row>
    <row r="41" spans="1:14" s="2" customFormat="1">
      <c r="B41" s="17">
        <v>43891</v>
      </c>
      <c r="C41" s="14"/>
      <c r="D41" s="14"/>
      <c r="E41" s="118">
        <v>517678.82199999999</v>
      </c>
      <c r="F41" s="118">
        <v>4874.5</v>
      </c>
      <c r="G41" s="14"/>
      <c r="H41" s="14"/>
      <c r="I41" s="14"/>
      <c r="J41" s="16">
        <f>$L$11</f>
        <v>21.666666666666668</v>
      </c>
      <c r="K41" s="15">
        <f t="shared" si="8"/>
        <v>14.936636208666391</v>
      </c>
      <c r="L41" s="14" t="e">
        <f t="shared" si="9"/>
        <v>#DIV/0!</v>
      </c>
      <c r="M41" s="13" t="e">
        <f t="shared" si="10"/>
        <v>#DIV/0!</v>
      </c>
      <c r="N41" s="12"/>
    </row>
    <row r="42" spans="1:14" s="2" customFormat="1">
      <c r="B42" s="17">
        <v>43922</v>
      </c>
      <c r="C42" s="14"/>
      <c r="D42" s="14"/>
      <c r="E42" s="118">
        <v>398010.22</v>
      </c>
      <c r="F42" s="118">
        <v>5030.2</v>
      </c>
      <c r="G42" s="14"/>
      <c r="H42" s="14"/>
      <c r="I42" s="14"/>
      <c r="J42" s="28">
        <v>20</v>
      </c>
      <c r="K42" s="15">
        <f t="shared" si="8"/>
        <v>11.483826671725961</v>
      </c>
      <c r="L42" s="14" t="e">
        <f t="shared" si="9"/>
        <v>#DIV/0!</v>
      </c>
      <c r="M42" s="13" t="e">
        <f t="shared" si="10"/>
        <v>#DIV/0!</v>
      </c>
      <c r="N42" s="12"/>
    </row>
    <row r="43" spans="1:14">
      <c r="B43" s="17">
        <v>43952</v>
      </c>
      <c r="C43" s="14"/>
      <c r="D43" s="14"/>
      <c r="E43" s="118">
        <v>406387.5</v>
      </c>
      <c r="F43" s="118">
        <v>5030.3999999999996</v>
      </c>
      <c r="G43" s="14"/>
      <c r="H43" s="14"/>
      <c r="I43" s="14"/>
      <c r="J43" s="28">
        <v>18</v>
      </c>
      <c r="K43" s="15">
        <f t="shared" si="8"/>
        <v>11.725537127051748</v>
      </c>
      <c r="L43" s="14" t="e">
        <f t="shared" si="9"/>
        <v>#DIV/0!</v>
      </c>
      <c r="M43" s="13" t="e">
        <f t="shared" si="10"/>
        <v>#DIV/0!</v>
      </c>
      <c r="N43" s="12"/>
    </row>
    <row r="44" spans="1:14">
      <c r="B44" s="17">
        <v>43983</v>
      </c>
      <c r="C44" s="14"/>
      <c r="D44" s="14"/>
      <c r="E44" s="118">
        <v>495106.39</v>
      </c>
      <c r="F44" s="118">
        <v>5198.1000000000004</v>
      </c>
      <c r="G44" s="14"/>
      <c r="H44" s="18"/>
      <c r="I44" s="14"/>
      <c r="J44" s="28">
        <v>22</v>
      </c>
      <c r="K44" s="15">
        <f t="shared" si="8"/>
        <v>14.285351684748084</v>
      </c>
      <c r="L44" s="14" t="e">
        <f t="shared" si="9"/>
        <v>#DIV/0!</v>
      </c>
      <c r="M44" s="13" t="e">
        <f t="shared" si="10"/>
        <v>#DIV/0!</v>
      </c>
      <c r="N44" s="12"/>
    </row>
    <row r="45" spans="1:14">
      <c r="B45" s="17">
        <v>44013</v>
      </c>
      <c r="C45" s="14"/>
      <c r="D45" s="14"/>
      <c r="E45" s="118">
        <v>516001.62</v>
      </c>
      <c r="F45" s="118">
        <v>4862.7</v>
      </c>
      <c r="G45" s="14"/>
      <c r="H45" s="18"/>
      <c r="I45" s="14"/>
      <c r="J45" s="28">
        <v>21</v>
      </c>
      <c r="K45" s="15">
        <f t="shared" si="8"/>
        <v>14.888243740097439</v>
      </c>
      <c r="L45" s="14" t="e">
        <f t="shared" si="9"/>
        <v>#DIV/0!</v>
      </c>
      <c r="M45" s="13" t="e">
        <f t="shared" si="10"/>
        <v>#DIV/0!</v>
      </c>
      <c r="N45" s="12"/>
    </row>
    <row r="46" spans="1:14">
      <c r="B46" s="17">
        <v>44044</v>
      </c>
      <c r="C46" s="14"/>
      <c r="D46" s="14"/>
      <c r="E46" s="118">
        <v>551194.38300000003</v>
      </c>
      <c r="F46" s="118">
        <v>5365.7</v>
      </c>
      <c r="G46" s="14"/>
      <c r="H46" s="18"/>
      <c r="I46" s="14"/>
      <c r="J46" s="28">
        <v>20</v>
      </c>
      <c r="K46" s="15">
        <f t="shared" si="8"/>
        <v>15.90366387275416</v>
      </c>
      <c r="L46" s="14" t="e">
        <f t="shared" si="9"/>
        <v>#DIV/0!</v>
      </c>
      <c r="M46" s="13" t="e">
        <f t="shared" si="10"/>
        <v>#DIV/0!</v>
      </c>
      <c r="N46" s="12"/>
    </row>
    <row r="47" spans="1:14">
      <c r="B47" s="17">
        <v>44075</v>
      </c>
      <c r="C47" s="14"/>
      <c r="D47" s="14"/>
      <c r="E47" s="118">
        <v>483118.19</v>
      </c>
      <c r="F47" s="118">
        <v>-11392.8</v>
      </c>
      <c r="G47" s="14"/>
      <c r="H47" s="18"/>
      <c r="I47" s="14"/>
      <c r="J47" s="28">
        <v>22</v>
      </c>
      <c r="K47" s="15">
        <f t="shared" si="8"/>
        <v>13.939455011778268</v>
      </c>
      <c r="L47" s="14" t="e">
        <f t="shared" si="9"/>
        <v>#DIV/0!</v>
      </c>
      <c r="M47" s="13" t="e">
        <f t="shared" si="10"/>
        <v>#DIV/0!</v>
      </c>
      <c r="N47" s="12"/>
    </row>
    <row r="48" spans="1:14">
      <c r="B48" s="17">
        <v>44105</v>
      </c>
      <c r="C48" s="14"/>
      <c r="D48" s="14"/>
      <c r="E48" s="118">
        <v>498066.25</v>
      </c>
      <c r="F48" s="118">
        <v>2310.5</v>
      </c>
      <c r="G48" s="14"/>
      <c r="H48" s="18"/>
      <c r="I48" s="14"/>
      <c r="J48" s="28">
        <v>22</v>
      </c>
      <c r="K48" s="15">
        <f t="shared" si="8"/>
        <v>14.370752806389069</v>
      </c>
      <c r="L48" s="14" t="e">
        <f t="shared" si="9"/>
        <v>#DIV/0!</v>
      </c>
      <c r="M48" s="13" t="e">
        <f t="shared" si="10"/>
        <v>#DIV/0!</v>
      </c>
      <c r="N48" s="12"/>
    </row>
    <row r="49" spans="1:14">
      <c r="B49" s="17">
        <v>44136</v>
      </c>
      <c r="C49" s="14"/>
      <c r="D49" s="14"/>
      <c r="E49" s="118">
        <v>469923.98</v>
      </c>
      <c r="F49" s="118">
        <v>2907.4</v>
      </c>
      <c r="G49" s="14"/>
      <c r="H49" s="18"/>
      <c r="I49" s="14"/>
      <c r="J49" s="28">
        <v>21</v>
      </c>
      <c r="K49" s="15">
        <f t="shared" si="8"/>
        <v>13.558761217758722</v>
      </c>
      <c r="L49" s="14" t="e">
        <f t="shared" si="9"/>
        <v>#DIV/0!</v>
      </c>
      <c r="M49" s="13" t="e">
        <f t="shared" si="10"/>
        <v>#DIV/0!</v>
      </c>
      <c r="N49" s="12"/>
    </row>
    <row r="50" spans="1:14" ht="14.65" thickBot="1">
      <c r="B50" s="11">
        <v>44166</v>
      </c>
      <c r="C50" s="9"/>
      <c r="D50" s="9"/>
      <c r="E50" s="123">
        <v>478964.92000000004</v>
      </c>
      <c r="F50" s="123">
        <v>2695.9</v>
      </c>
      <c r="G50" s="9"/>
      <c r="H50" s="27"/>
      <c r="I50" s="9"/>
      <c r="J50" s="26">
        <v>22</v>
      </c>
      <c r="K50" s="10">
        <f t="shared" si="8"/>
        <v>13.819620318084024</v>
      </c>
      <c r="L50" s="9" t="e">
        <f t="shared" si="9"/>
        <v>#DIV/0!</v>
      </c>
      <c r="M50" s="8" t="e">
        <f t="shared" si="10"/>
        <v>#DIV/0!</v>
      </c>
      <c r="N50" s="7"/>
    </row>
    <row r="51" spans="1:14" ht="14.65" thickBot="1">
      <c r="A51" s="91" t="s">
        <v>60</v>
      </c>
      <c r="B51" s="97"/>
      <c r="C51" s="98">
        <f>SUM(C39:C50)</f>
        <v>0</v>
      </c>
      <c r="D51" s="99"/>
      <c r="E51" s="126">
        <f>SUM(E39:E50)</f>
        <v>5806254.2249999996</v>
      </c>
      <c r="F51" s="126">
        <f>SUM(F39:F50)</f>
        <v>35383.799999999996</v>
      </c>
      <c r="G51" s="98">
        <f t="shared" ref="G51" si="11">SUM(G39:G50)</f>
        <v>0</v>
      </c>
      <c r="H51" s="98"/>
      <c r="I51" s="99"/>
      <c r="J51" s="99"/>
      <c r="K51" s="99">
        <f>SUM(K39:K50)</f>
        <v>167.52840450146368</v>
      </c>
      <c r="L51" s="99" t="e">
        <f>SUM(L39:L50)</f>
        <v>#DIV/0!</v>
      </c>
      <c r="M51" s="94" t="e">
        <f>AVERAGE(M39:M50)</f>
        <v>#DIV/0!</v>
      </c>
      <c r="N51" s="95"/>
    </row>
    <row r="52" spans="1:14" s="2" customFormat="1">
      <c r="B52" s="17">
        <v>44197</v>
      </c>
      <c r="C52" s="18"/>
      <c r="D52" s="14"/>
      <c r="E52" s="118">
        <v>414664.82999999996</v>
      </c>
      <c r="F52" s="118">
        <v>2196.8000000000002</v>
      </c>
      <c r="G52" s="14"/>
      <c r="H52" s="18"/>
      <c r="I52" s="14"/>
      <c r="J52" s="28"/>
      <c r="K52" s="15">
        <f t="shared" ref="K52:K63" si="12">E52/$E$3</f>
        <v>11.964363715536528</v>
      </c>
      <c r="L52" s="14" t="e">
        <f t="shared" ref="L52:L63" si="13">(C52/$E$4)*(55/60)</f>
        <v>#DIV/0!</v>
      </c>
      <c r="M52" s="13" t="e">
        <f>F52*1000/(H52+0.25*I52)/J52</f>
        <v>#DIV/0!</v>
      </c>
      <c r="N52" s="12"/>
    </row>
    <row r="53" spans="1:14" s="2" customFormat="1">
      <c r="B53" s="17">
        <v>44228</v>
      </c>
      <c r="C53" s="14"/>
      <c r="D53" s="14"/>
      <c r="E53" s="118">
        <v>420761.03</v>
      </c>
      <c r="F53" s="118">
        <v>2446.3000000000002</v>
      </c>
      <c r="G53" s="14"/>
      <c r="H53" s="18"/>
      <c r="I53" s="14"/>
      <c r="J53" s="28"/>
      <c r="K53" s="15">
        <f t="shared" si="12"/>
        <v>12.140257953016603</v>
      </c>
      <c r="L53" s="14" t="e">
        <f t="shared" si="13"/>
        <v>#DIV/0!</v>
      </c>
      <c r="M53" s="13" t="e">
        <f t="shared" ref="M53:M63" si="14">F53*1000/(H53+0.25*I53)/J53</f>
        <v>#DIV/0!</v>
      </c>
      <c r="N53" s="12"/>
    </row>
    <row r="54" spans="1:14" s="2" customFormat="1">
      <c r="B54" s="17">
        <v>44256</v>
      </c>
      <c r="C54" s="14"/>
      <c r="D54" s="14"/>
      <c r="E54" s="118">
        <v>421361.89300000004</v>
      </c>
      <c r="F54" s="118">
        <v>2898.3</v>
      </c>
      <c r="G54" s="14"/>
      <c r="H54" s="18"/>
      <c r="I54" s="14"/>
      <c r="J54" s="28"/>
      <c r="K54" s="15">
        <f t="shared" si="12"/>
        <v>12.157594710212067</v>
      </c>
      <c r="L54" s="14" t="e">
        <f t="shared" si="13"/>
        <v>#DIV/0!</v>
      </c>
      <c r="M54" s="13" t="e">
        <f t="shared" si="14"/>
        <v>#DIV/0!</v>
      </c>
      <c r="N54" s="12"/>
    </row>
    <row r="55" spans="1:14" s="2" customFormat="1">
      <c r="B55" s="17">
        <v>44287</v>
      </c>
      <c r="C55" s="14"/>
      <c r="D55" s="14"/>
      <c r="E55" s="118">
        <v>296409.92000000004</v>
      </c>
      <c r="F55" s="118">
        <v>2808.2</v>
      </c>
      <c r="G55" s="14"/>
      <c r="H55" s="18"/>
      <c r="I55" s="14"/>
      <c r="J55" s="28"/>
      <c r="K55" s="15">
        <f t="shared" si="12"/>
        <v>8.5523435681127964</v>
      </c>
      <c r="L55" s="14" t="e">
        <f t="shared" si="13"/>
        <v>#DIV/0!</v>
      </c>
      <c r="M55" s="13" t="e">
        <f t="shared" si="14"/>
        <v>#DIV/0!</v>
      </c>
      <c r="N55" s="12"/>
    </row>
    <row r="56" spans="1:14" s="2" customFormat="1">
      <c r="B56" s="17">
        <v>44317</v>
      </c>
      <c r="C56" s="14"/>
      <c r="D56" s="14"/>
      <c r="E56" s="118">
        <v>308805.07</v>
      </c>
      <c r="F56" s="118">
        <v>1969.6</v>
      </c>
      <c r="G56" s="14"/>
      <c r="H56" s="18"/>
      <c r="I56" s="14"/>
      <c r="J56" s="28"/>
      <c r="K56" s="15">
        <f t="shared" si="12"/>
        <v>8.9099820080755787</v>
      </c>
      <c r="L56" s="14" t="e">
        <f t="shared" si="13"/>
        <v>#DIV/0!</v>
      </c>
      <c r="M56" s="13" t="e">
        <f t="shared" si="14"/>
        <v>#DIV/0!</v>
      </c>
      <c r="N56" s="12"/>
    </row>
    <row r="57" spans="1:14" s="2" customFormat="1">
      <c r="B57" s="17">
        <v>44348</v>
      </c>
      <c r="C57" s="14"/>
      <c r="D57" s="14"/>
      <c r="E57" s="118">
        <v>312993.21999999997</v>
      </c>
      <c r="F57" s="118">
        <v>2428.1</v>
      </c>
      <c r="G57" s="14"/>
      <c r="H57" s="18"/>
      <c r="I57" s="14"/>
      <c r="J57" s="28"/>
      <c r="K57" s="15">
        <f t="shared" si="12"/>
        <v>9.0308230977219406</v>
      </c>
      <c r="L57" s="14" t="e">
        <f t="shared" si="13"/>
        <v>#DIV/0!</v>
      </c>
      <c r="M57" s="13" t="e">
        <f t="shared" si="14"/>
        <v>#DIV/0!</v>
      </c>
      <c r="N57" s="12"/>
    </row>
    <row r="58" spans="1:14" s="2" customFormat="1">
      <c r="B58" s="17">
        <v>44378</v>
      </c>
      <c r="C58" s="14"/>
      <c r="D58" s="14"/>
      <c r="E58" s="118">
        <v>283297.27</v>
      </c>
      <c r="F58" s="118">
        <v>1406.5</v>
      </c>
      <c r="G58" s="14"/>
      <c r="H58" s="18"/>
      <c r="I58" s="14"/>
      <c r="J58" s="28"/>
      <c r="K58" s="15">
        <f t="shared" si="12"/>
        <v>8.1740030325179873</v>
      </c>
      <c r="L58" s="14" t="e">
        <f t="shared" si="13"/>
        <v>#DIV/0!</v>
      </c>
      <c r="M58" s="13" t="e">
        <f t="shared" si="14"/>
        <v>#DIV/0!</v>
      </c>
      <c r="N58" s="12"/>
    </row>
    <row r="59" spans="1:14" s="2" customFormat="1">
      <c r="B59" s="17">
        <v>44409</v>
      </c>
      <c r="C59" s="14"/>
      <c r="D59" s="14"/>
      <c r="E59" s="118">
        <v>263944.02</v>
      </c>
      <c r="F59" s="118">
        <v>2144.8000000000002</v>
      </c>
      <c r="G59" s="14"/>
      <c r="H59" s="18"/>
      <c r="I59" s="14"/>
      <c r="J59" s="28"/>
      <c r="K59" s="15">
        <f t="shared" si="12"/>
        <v>7.61560187253124</v>
      </c>
      <c r="L59" s="14" t="e">
        <f t="shared" si="13"/>
        <v>#DIV/0!</v>
      </c>
      <c r="M59" s="13" t="e">
        <f t="shared" si="14"/>
        <v>#DIV/0!</v>
      </c>
      <c r="N59" s="12"/>
    </row>
    <row r="60" spans="1:14" s="2" customFormat="1">
      <c r="B60" s="17">
        <v>44440</v>
      </c>
      <c r="C60" s="14"/>
      <c r="D60" s="14"/>
      <c r="E60" s="118">
        <v>268786.94</v>
      </c>
      <c r="F60" s="118">
        <v>1089.4000000000001</v>
      </c>
      <c r="G60" s="14"/>
      <c r="H60" s="18"/>
      <c r="I60" s="14"/>
      <c r="J60" s="28"/>
      <c r="K60" s="15">
        <f t="shared" si="12"/>
        <v>7.7553351031629436</v>
      </c>
      <c r="L60" s="14" t="e">
        <f t="shared" si="13"/>
        <v>#DIV/0!</v>
      </c>
      <c r="M60" s="13" t="e">
        <f t="shared" si="14"/>
        <v>#DIV/0!</v>
      </c>
      <c r="N60" s="12"/>
    </row>
    <row r="61" spans="1:14" s="2" customFormat="1">
      <c r="B61" s="17">
        <v>44470</v>
      </c>
      <c r="C61" s="14"/>
      <c r="D61" s="14"/>
      <c r="E61" s="118">
        <v>276463.82999999996</v>
      </c>
      <c r="F61" s="118">
        <v>1591.4</v>
      </c>
      <c r="G61" s="14"/>
      <c r="H61" s="18"/>
      <c r="I61" s="14"/>
      <c r="J61" s="28"/>
      <c r="K61" s="15">
        <f t="shared" si="12"/>
        <v>7.976837139311427</v>
      </c>
      <c r="L61" s="14" t="e">
        <f t="shared" si="13"/>
        <v>#DIV/0!</v>
      </c>
      <c r="M61" s="13" t="e">
        <f t="shared" si="14"/>
        <v>#DIV/0!</v>
      </c>
      <c r="N61" s="12"/>
    </row>
    <row r="62" spans="1:14" s="2" customFormat="1">
      <c r="B62" s="17">
        <v>44501</v>
      </c>
      <c r="C62" s="14"/>
      <c r="D62" s="14"/>
      <c r="E62" s="118">
        <v>210447.9</v>
      </c>
      <c r="F62" s="118">
        <v>2469.1999999999998</v>
      </c>
      <c r="G62" s="14"/>
      <c r="H62" s="18"/>
      <c r="I62" s="14"/>
      <c r="J62" s="28"/>
      <c r="K62" s="15">
        <f t="shared" si="12"/>
        <v>6.0720732423120136</v>
      </c>
      <c r="L62" s="14" t="e">
        <f t="shared" si="13"/>
        <v>#DIV/0!</v>
      </c>
      <c r="M62" s="13" t="e">
        <f t="shared" si="14"/>
        <v>#DIV/0!</v>
      </c>
      <c r="N62" s="12"/>
    </row>
    <row r="63" spans="1:14" s="2" customFormat="1" ht="14.65" thickBot="1">
      <c r="B63" s="11">
        <v>44531</v>
      </c>
      <c r="C63" s="9"/>
      <c r="D63" s="9"/>
      <c r="E63" s="123">
        <v>281064.74</v>
      </c>
      <c r="F63" s="123">
        <v>2165.6999999999998</v>
      </c>
      <c r="G63" s="9"/>
      <c r="H63" s="27"/>
      <c r="I63" s="9"/>
      <c r="J63" s="26"/>
      <c r="K63" s="10">
        <f t="shared" si="12"/>
        <v>8.1095876324324596</v>
      </c>
      <c r="L63" s="9" t="e">
        <f t="shared" si="13"/>
        <v>#DIV/0!</v>
      </c>
      <c r="M63" s="8" t="e">
        <f t="shared" si="14"/>
        <v>#DIV/0!</v>
      </c>
      <c r="N63" s="7"/>
    </row>
    <row r="64" spans="1:14" s="2" customFormat="1" ht="14.65" thickBot="1">
      <c r="A64" s="91" t="s">
        <v>61</v>
      </c>
      <c r="B64" s="100" t="s">
        <v>24</v>
      </c>
      <c r="C64" s="92">
        <f>SUM(C52:C63)</f>
        <v>0</v>
      </c>
      <c r="D64" s="93"/>
      <c r="E64" s="124">
        <f>SUM(E52:E63)</f>
        <v>3759000.6629999997</v>
      </c>
      <c r="F64" s="124">
        <f t="shared" ref="F64:G64" si="15">SUM(F52:F63)</f>
        <v>25614.300000000007</v>
      </c>
      <c r="G64" s="92">
        <f t="shared" si="15"/>
        <v>0</v>
      </c>
      <c r="H64" s="93"/>
      <c r="I64" s="93"/>
      <c r="J64" s="93"/>
      <c r="K64" s="93">
        <f>SUM(K52:K63)</f>
        <v>108.4588030749436</v>
      </c>
      <c r="L64" s="93" t="e">
        <f>SUM(L52:L63)</f>
        <v>#DIV/0!</v>
      </c>
      <c r="M64" s="94" t="e">
        <f>AVERAGE(M52:M63)</f>
        <v>#DIV/0!</v>
      </c>
      <c r="N64" s="95"/>
    </row>
    <row r="65" spans="1:20" s="2" customFormat="1" ht="14.65" thickBot="1">
      <c r="E65" s="119"/>
      <c r="F65" s="119"/>
      <c r="M65" s="24"/>
    </row>
    <row r="66" spans="1:20" ht="57">
      <c r="B66" s="21" t="s">
        <v>12</v>
      </c>
      <c r="C66" s="23" t="s">
        <v>35</v>
      </c>
      <c r="D66" s="23" t="s">
        <v>41</v>
      </c>
      <c r="E66" s="131" t="s">
        <v>36</v>
      </c>
      <c r="F66" s="122" t="s">
        <v>37</v>
      </c>
      <c r="G66" s="47" t="s">
        <v>38</v>
      </c>
      <c r="H66" s="47" t="s">
        <v>39</v>
      </c>
      <c r="I66" s="48" t="s">
        <v>40</v>
      </c>
      <c r="J66" s="20" t="s">
        <v>6</v>
      </c>
      <c r="K66" s="20" t="s">
        <v>7</v>
      </c>
      <c r="L66" s="22" t="s">
        <v>8</v>
      </c>
      <c r="M66" s="41" t="s">
        <v>9</v>
      </c>
      <c r="N66" s="40" t="s">
        <v>23</v>
      </c>
      <c r="O66" s="39" t="s">
        <v>10</v>
      </c>
      <c r="P66" s="38" t="s">
        <v>4</v>
      </c>
      <c r="Q66" s="37" t="s">
        <v>28</v>
      </c>
      <c r="R66" s="49" t="s">
        <v>27</v>
      </c>
      <c r="S66" s="50" t="s">
        <v>26</v>
      </c>
      <c r="T66" s="51" t="s">
        <v>25</v>
      </c>
    </row>
    <row r="67" spans="1:20">
      <c r="B67" s="17">
        <v>44562</v>
      </c>
      <c r="C67" s="14"/>
      <c r="D67" s="14"/>
      <c r="E67" s="118">
        <v>258037.93</v>
      </c>
      <c r="F67" s="118">
        <v>1164.8</v>
      </c>
      <c r="G67" s="14"/>
      <c r="H67" s="14"/>
      <c r="I67" s="14">
        <f>G67+H67</f>
        <v>0</v>
      </c>
      <c r="J67" s="14"/>
      <c r="K67" s="14"/>
      <c r="L67" s="28"/>
      <c r="M67" s="15">
        <f t="shared" ref="M67:M78" si="16">E67/$E$3</f>
        <v>7.4451928969335421</v>
      </c>
      <c r="N67" s="14" t="e">
        <f t="shared" ref="N67:N78" si="17">(C67/$E$4)*(55/60)</f>
        <v>#DIV/0!</v>
      </c>
      <c r="O67" s="13" t="e">
        <f t="shared" ref="O67:O78" si="18">F67*1000/(J67+0.25*K67)/L67</f>
        <v>#DIV/0!</v>
      </c>
      <c r="P67" s="35" t="e">
        <f>I67/(J67+K67)/L67</f>
        <v>#DIV/0!</v>
      </c>
      <c r="Q67" s="36" t="e">
        <f>H67/I67*100</f>
        <v>#DIV/0!</v>
      </c>
      <c r="R67" s="34">
        <f t="shared" ref="R67:R78" si="19">E67*0.408</f>
        <v>105279.47543999999</v>
      </c>
      <c r="S67" s="13">
        <f>F67*(1.3)</f>
        <v>1514.24</v>
      </c>
      <c r="T67" s="33">
        <f>(I67/1000)*0.561</f>
        <v>0</v>
      </c>
    </row>
    <row r="68" spans="1:20">
      <c r="B68" s="17">
        <v>44593</v>
      </c>
      <c r="C68" s="14"/>
      <c r="D68" s="14"/>
      <c r="E68" s="118">
        <v>187828.7</v>
      </c>
      <c r="F68" s="118">
        <v>1638.8</v>
      </c>
      <c r="G68" s="14"/>
      <c r="H68" s="14"/>
      <c r="I68" s="14">
        <f t="shared" ref="I68:I70" si="20">G68+H68</f>
        <v>0</v>
      </c>
      <c r="J68" s="14"/>
      <c r="K68" s="14"/>
      <c r="L68" s="28"/>
      <c r="M68" s="15">
        <f t="shared" si="16"/>
        <v>5.4194393168487336</v>
      </c>
      <c r="N68" s="14" t="e">
        <f t="shared" si="17"/>
        <v>#DIV/0!</v>
      </c>
      <c r="O68" s="13" t="e">
        <f t="shared" si="18"/>
        <v>#DIV/0!</v>
      </c>
      <c r="P68" s="35" t="e">
        <f t="shared" ref="P68:P78" si="21">I68/(J68+K68)/L68</f>
        <v>#DIV/0!</v>
      </c>
      <c r="Q68" s="36" t="e">
        <f t="shared" ref="Q68:Q78" si="22">H68/I68*100</f>
        <v>#DIV/0!</v>
      </c>
      <c r="R68" s="34">
        <f t="shared" si="19"/>
        <v>76634.109599999996</v>
      </c>
      <c r="S68" s="13">
        <f t="shared" ref="S68:S78" si="23">F68*(1.3)</f>
        <v>2130.44</v>
      </c>
      <c r="T68" s="33">
        <f t="shared" ref="T68:T74" si="24">(I68/1000)*0.561</f>
        <v>0</v>
      </c>
    </row>
    <row r="69" spans="1:20" ht="16.5" customHeight="1">
      <c r="B69" s="17">
        <v>44621</v>
      </c>
      <c r="C69" s="14"/>
      <c r="D69" s="14"/>
      <c r="E69" s="118">
        <v>269154.90000000002</v>
      </c>
      <c r="F69" s="118">
        <v>1480.3</v>
      </c>
      <c r="G69" s="14"/>
      <c r="H69" s="14"/>
      <c r="I69" s="14">
        <f t="shared" si="20"/>
        <v>0</v>
      </c>
      <c r="J69" s="14"/>
      <c r="K69" s="14"/>
      <c r="L69" s="28"/>
      <c r="M69" s="15">
        <f t="shared" si="16"/>
        <v>7.7659518879835154</v>
      </c>
      <c r="N69" s="14" t="e">
        <f t="shared" si="17"/>
        <v>#DIV/0!</v>
      </c>
      <c r="O69" s="13" t="e">
        <f t="shared" si="18"/>
        <v>#DIV/0!</v>
      </c>
      <c r="P69" s="35" t="e">
        <f t="shared" si="21"/>
        <v>#DIV/0!</v>
      </c>
      <c r="Q69" s="36" t="e">
        <f t="shared" si="22"/>
        <v>#DIV/0!</v>
      </c>
      <c r="R69" s="34">
        <f t="shared" si="19"/>
        <v>109815.1992</v>
      </c>
      <c r="S69" s="13">
        <f t="shared" si="23"/>
        <v>1924.39</v>
      </c>
      <c r="T69" s="33">
        <f t="shared" si="24"/>
        <v>0</v>
      </c>
    </row>
    <row r="70" spans="1:20">
      <c r="B70" s="17">
        <v>44652</v>
      </c>
      <c r="C70" s="14"/>
      <c r="D70" s="14"/>
      <c r="E70" s="118">
        <v>240171.12</v>
      </c>
      <c r="F70" s="118">
        <v>1860.4</v>
      </c>
      <c r="G70" s="14"/>
      <c r="H70" s="14"/>
      <c r="I70" s="14">
        <f t="shared" si="20"/>
        <v>0</v>
      </c>
      <c r="J70" s="14"/>
      <c r="K70" s="14"/>
      <c r="L70" s="28"/>
      <c r="M70" s="15">
        <f t="shared" si="16"/>
        <v>6.929680131415461</v>
      </c>
      <c r="N70" s="14" t="e">
        <f t="shared" si="17"/>
        <v>#DIV/0!</v>
      </c>
      <c r="O70" s="13" t="e">
        <f t="shared" si="18"/>
        <v>#DIV/0!</v>
      </c>
      <c r="P70" s="35" t="e">
        <f t="shared" si="21"/>
        <v>#DIV/0!</v>
      </c>
      <c r="Q70" s="36" t="e">
        <f t="shared" si="22"/>
        <v>#DIV/0!</v>
      </c>
      <c r="R70" s="34">
        <f t="shared" si="19"/>
        <v>97989.816959999996</v>
      </c>
      <c r="S70" s="13">
        <f t="shared" si="23"/>
        <v>2418.52</v>
      </c>
      <c r="T70" s="33">
        <f t="shared" si="24"/>
        <v>0</v>
      </c>
    </row>
    <row r="71" spans="1:20" s="2" customFormat="1">
      <c r="B71" s="17">
        <v>44682</v>
      </c>
      <c r="C71" s="14"/>
      <c r="D71" s="14"/>
      <c r="E71" s="118">
        <v>240211.15</v>
      </c>
      <c r="F71" s="118">
        <v>2764.8</v>
      </c>
      <c r="G71" s="14"/>
      <c r="H71" s="14"/>
      <c r="I71" s="14">
        <f>G71+H71</f>
        <v>0</v>
      </c>
      <c r="J71" s="14"/>
      <c r="K71" s="14"/>
      <c r="L71" s="28"/>
      <c r="M71" s="15">
        <f t="shared" si="16"/>
        <v>6.9308351208066101</v>
      </c>
      <c r="N71" s="14" t="e">
        <f t="shared" si="17"/>
        <v>#DIV/0!</v>
      </c>
      <c r="O71" s="13" t="e">
        <f t="shared" si="18"/>
        <v>#DIV/0!</v>
      </c>
      <c r="P71" s="35" t="e">
        <f t="shared" si="21"/>
        <v>#DIV/0!</v>
      </c>
      <c r="Q71" s="36" t="e">
        <f t="shared" si="22"/>
        <v>#DIV/0!</v>
      </c>
      <c r="R71" s="34">
        <f t="shared" si="19"/>
        <v>98006.149199999985</v>
      </c>
      <c r="S71" s="13">
        <f t="shared" si="23"/>
        <v>3594.2400000000002</v>
      </c>
      <c r="T71" s="33">
        <f t="shared" si="24"/>
        <v>0</v>
      </c>
    </row>
    <row r="72" spans="1:20" s="2" customFormat="1">
      <c r="B72" s="17">
        <v>44713</v>
      </c>
      <c r="C72" s="14"/>
      <c r="D72" s="14"/>
      <c r="E72" s="118">
        <v>291115.14</v>
      </c>
      <c r="F72" s="118">
        <v>2585.9</v>
      </c>
      <c r="G72" s="14"/>
      <c r="H72" s="14"/>
      <c r="I72" s="14">
        <f t="shared" ref="I72:I78" si="25">G72+H72</f>
        <v>0</v>
      </c>
      <c r="J72" s="14"/>
      <c r="K72" s="14"/>
      <c r="L72" s="28"/>
      <c r="M72" s="15">
        <f t="shared" si="16"/>
        <v>8.3995727779935834</v>
      </c>
      <c r="N72" s="14" t="e">
        <f t="shared" si="17"/>
        <v>#DIV/0!</v>
      </c>
      <c r="O72" s="13" t="e">
        <f t="shared" si="18"/>
        <v>#DIV/0!</v>
      </c>
      <c r="P72" s="35" t="e">
        <f t="shared" si="21"/>
        <v>#DIV/0!</v>
      </c>
      <c r="Q72" s="36" t="e">
        <f t="shared" si="22"/>
        <v>#DIV/0!</v>
      </c>
      <c r="R72" s="34">
        <f t="shared" si="19"/>
        <v>118774.97712</v>
      </c>
      <c r="S72" s="13">
        <f t="shared" si="23"/>
        <v>3361.67</v>
      </c>
      <c r="T72" s="33">
        <f t="shared" si="24"/>
        <v>0</v>
      </c>
    </row>
    <row r="73" spans="1:20" s="2" customFormat="1">
      <c r="B73" s="17">
        <v>44743</v>
      </c>
      <c r="C73" s="14"/>
      <c r="D73" s="14"/>
      <c r="E73" s="118">
        <v>290968.05</v>
      </c>
      <c r="F73" s="118">
        <v>2505.1999999999998</v>
      </c>
      <c r="G73" s="14"/>
      <c r="H73" s="14"/>
      <c r="I73" s="14">
        <f t="shared" si="25"/>
        <v>0</v>
      </c>
      <c r="J73" s="14"/>
      <c r="K73" s="14"/>
      <c r="L73" s="28"/>
      <c r="M73" s="15">
        <f t="shared" si="16"/>
        <v>8.3953287762562798</v>
      </c>
      <c r="N73" s="14" t="e">
        <f t="shared" si="17"/>
        <v>#DIV/0!</v>
      </c>
      <c r="O73" s="13" t="e">
        <f t="shared" si="18"/>
        <v>#DIV/0!</v>
      </c>
      <c r="P73" s="35" t="e">
        <f t="shared" si="21"/>
        <v>#DIV/0!</v>
      </c>
      <c r="Q73" s="36" t="e">
        <f t="shared" si="22"/>
        <v>#DIV/0!</v>
      </c>
      <c r="R73" s="34">
        <f t="shared" si="19"/>
        <v>118714.96439999998</v>
      </c>
      <c r="S73" s="13">
        <f t="shared" si="23"/>
        <v>3256.7599999999998</v>
      </c>
      <c r="T73" s="33">
        <f t="shared" si="24"/>
        <v>0</v>
      </c>
    </row>
    <row r="74" spans="1:20" s="2" customFormat="1">
      <c r="B74" s="17">
        <v>44774</v>
      </c>
      <c r="C74" s="14"/>
      <c r="D74" s="14"/>
      <c r="E74" s="118">
        <v>269368.59999999998</v>
      </c>
      <c r="F74" s="118">
        <v>2286.5</v>
      </c>
      <c r="G74" s="14"/>
      <c r="H74" s="14"/>
      <c r="I74" s="14">
        <f t="shared" si="25"/>
        <v>0</v>
      </c>
      <c r="J74" s="14"/>
      <c r="K74" s="14"/>
      <c r="L74" s="28"/>
      <c r="M74" s="15">
        <f t="shared" si="16"/>
        <v>7.7721177943759372</v>
      </c>
      <c r="N74" s="14" t="e">
        <f t="shared" si="17"/>
        <v>#DIV/0!</v>
      </c>
      <c r="O74" s="13" t="e">
        <f t="shared" si="18"/>
        <v>#DIV/0!</v>
      </c>
      <c r="P74" s="35" t="e">
        <f t="shared" si="21"/>
        <v>#DIV/0!</v>
      </c>
      <c r="Q74" s="36" t="e">
        <f t="shared" si="22"/>
        <v>#DIV/0!</v>
      </c>
      <c r="R74" s="34">
        <f t="shared" si="19"/>
        <v>109902.38879999999</v>
      </c>
      <c r="S74" s="13">
        <f t="shared" si="23"/>
        <v>2972.4500000000003</v>
      </c>
      <c r="T74" s="33">
        <f t="shared" si="24"/>
        <v>0</v>
      </c>
    </row>
    <row r="75" spans="1:20" s="2" customFormat="1">
      <c r="B75" s="17">
        <v>44805</v>
      </c>
      <c r="C75" s="14"/>
      <c r="D75" s="14"/>
      <c r="E75" s="118">
        <v>266567.64</v>
      </c>
      <c r="F75" s="118">
        <v>2385.6999999999998</v>
      </c>
      <c r="G75" s="14"/>
      <c r="H75" s="14"/>
      <c r="I75" s="14">
        <f t="shared" si="25"/>
        <v>0</v>
      </c>
      <c r="J75" s="14"/>
      <c r="K75" s="14"/>
      <c r="L75" s="28"/>
      <c r="M75" s="15">
        <f t="shared" si="16"/>
        <v>7.6913014295237057</v>
      </c>
      <c r="N75" s="14" t="e">
        <f t="shared" si="17"/>
        <v>#DIV/0!</v>
      </c>
      <c r="O75" s="13" t="e">
        <f t="shared" si="18"/>
        <v>#DIV/0!</v>
      </c>
      <c r="P75" s="35" t="e">
        <f t="shared" si="21"/>
        <v>#DIV/0!</v>
      </c>
      <c r="Q75" s="36" t="e">
        <f t="shared" si="22"/>
        <v>#DIV/0!</v>
      </c>
      <c r="R75" s="34">
        <f t="shared" si="19"/>
        <v>108759.59712000001</v>
      </c>
      <c r="S75" s="13">
        <f t="shared" si="23"/>
        <v>3101.41</v>
      </c>
      <c r="T75" s="33">
        <f t="shared" ref="T75:T78" si="26">(I75/1000)*21.28</f>
        <v>0</v>
      </c>
    </row>
    <row r="76" spans="1:20" s="2" customFormat="1">
      <c r="B76" s="17">
        <v>44835</v>
      </c>
      <c r="C76" s="52"/>
      <c r="D76" s="14"/>
      <c r="E76" s="118">
        <v>280363.75699999998</v>
      </c>
      <c r="F76" s="118">
        <v>2424.8000000000002</v>
      </c>
      <c r="G76" s="14"/>
      <c r="H76" s="14"/>
      <c r="I76" s="14">
        <f t="shared" si="25"/>
        <v>0</v>
      </c>
      <c r="J76" s="14"/>
      <c r="K76" s="14"/>
      <c r="L76" s="28"/>
      <c r="M76" s="15">
        <f t="shared" si="16"/>
        <v>8.0893621033698491</v>
      </c>
      <c r="N76" s="14" t="e">
        <f t="shared" si="17"/>
        <v>#DIV/0!</v>
      </c>
      <c r="O76" s="13" t="e">
        <f t="shared" si="18"/>
        <v>#DIV/0!</v>
      </c>
      <c r="P76" s="35" t="e">
        <f t="shared" si="21"/>
        <v>#DIV/0!</v>
      </c>
      <c r="Q76" s="36" t="e">
        <f t="shared" si="22"/>
        <v>#DIV/0!</v>
      </c>
      <c r="R76" s="34">
        <f t="shared" si="19"/>
        <v>114388.41285599998</v>
      </c>
      <c r="S76" s="13">
        <f t="shared" si="23"/>
        <v>3152.2400000000002</v>
      </c>
      <c r="T76" s="33">
        <f t="shared" si="26"/>
        <v>0</v>
      </c>
    </row>
    <row r="77" spans="1:20" s="2" customFormat="1">
      <c r="B77" s="17">
        <v>44866</v>
      </c>
      <c r="C77" s="52"/>
      <c r="D77" s="14"/>
      <c r="E77" s="118">
        <v>304977.55700000003</v>
      </c>
      <c r="F77" s="118">
        <v>2508.5</v>
      </c>
      <c r="G77" s="14"/>
      <c r="H77" s="14"/>
      <c r="I77" s="14">
        <f t="shared" si="25"/>
        <v>0</v>
      </c>
      <c r="J77" s="14"/>
      <c r="K77" s="14"/>
      <c r="L77" s="28"/>
      <c r="M77" s="15">
        <f t="shared" si="16"/>
        <v>8.7995464120354114</v>
      </c>
      <c r="N77" s="14" t="e">
        <f t="shared" si="17"/>
        <v>#DIV/0!</v>
      </c>
      <c r="O77" s="13" t="e">
        <f t="shared" si="18"/>
        <v>#DIV/0!</v>
      </c>
      <c r="P77" s="35" t="e">
        <f t="shared" si="21"/>
        <v>#DIV/0!</v>
      </c>
      <c r="Q77" s="36" t="e">
        <f t="shared" si="22"/>
        <v>#DIV/0!</v>
      </c>
      <c r="R77" s="34">
        <f t="shared" si="19"/>
        <v>124430.84325600001</v>
      </c>
      <c r="S77" s="13">
        <f t="shared" si="23"/>
        <v>3261.05</v>
      </c>
      <c r="T77" s="33">
        <f t="shared" si="26"/>
        <v>0</v>
      </c>
    </row>
    <row r="78" spans="1:20" s="2" customFormat="1" ht="14.65" thickBot="1">
      <c r="B78" s="101">
        <v>44896</v>
      </c>
      <c r="C78" s="102"/>
      <c r="D78" s="103"/>
      <c r="E78" s="127">
        <v>248859.4</v>
      </c>
      <c r="F78" s="127">
        <v>2592.1</v>
      </c>
      <c r="G78" s="103"/>
      <c r="H78" s="103"/>
      <c r="I78" s="14">
        <f t="shared" si="25"/>
        <v>0</v>
      </c>
      <c r="J78" s="103"/>
      <c r="K78" s="103"/>
      <c r="L78" s="104"/>
      <c r="M78" s="105">
        <f t="shared" si="16"/>
        <v>7.1803638992730381</v>
      </c>
      <c r="N78" s="103" t="e">
        <f t="shared" si="17"/>
        <v>#DIV/0!</v>
      </c>
      <c r="O78" s="73" t="e">
        <f t="shared" si="18"/>
        <v>#DIV/0!</v>
      </c>
      <c r="P78" s="106" t="e">
        <f t="shared" si="21"/>
        <v>#DIV/0!</v>
      </c>
      <c r="Q78" s="107" t="e">
        <f t="shared" si="22"/>
        <v>#DIV/0!</v>
      </c>
      <c r="R78" s="105">
        <f t="shared" si="19"/>
        <v>101534.63519999999</v>
      </c>
      <c r="S78" s="73">
        <f t="shared" si="23"/>
        <v>3369.73</v>
      </c>
      <c r="T78" s="108">
        <f t="shared" si="26"/>
        <v>0</v>
      </c>
    </row>
    <row r="79" spans="1:20" s="2" customFormat="1" ht="14.65" thickBot="1">
      <c r="A79" s="91" t="s">
        <v>62</v>
      </c>
      <c r="B79" s="91"/>
      <c r="C79" s="93">
        <f>SUM(C67:C78)</f>
        <v>0</v>
      </c>
      <c r="D79" s="93">
        <f>SUM(D67:D78)</f>
        <v>0</v>
      </c>
      <c r="E79" s="124">
        <f>SUM(E67:E78)</f>
        <v>3147623.9439999997</v>
      </c>
      <c r="F79" s="124">
        <f>SUM(F67:F78)</f>
        <v>26197.799999999996</v>
      </c>
      <c r="G79" s="93"/>
      <c r="H79" s="93"/>
      <c r="I79" s="93">
        <f>SUM(I67:I78)</f>
        <v>0</v>
      </c>
      <c r="J79" s="93"/>
      <c r="K79" s="93"/>
      <c r="L79" s="93"/>
      <c r="M79" s="93">
        <f>SUM(M67:M78)</f>
        <v>90.818692546815669</v>
      </c>
      <c r="N79" s="93" t="e">
        <f>SUM(N67:N78)</f>
        <v>#DIV/0!</v>
      </c>
      <c r="O79" s="94" t="e">
        <f>AVERAGE(O67:O78)</f>
        <v>#DIV/0!</v>
      </c>
      <c r="P79" s="114" t="e">
        <f>AVERAGE(P67:P78)</f>
        <v>#DIV/0!</v>
      </c>
      <c r="Q79" s="93"/>
      <c r="R79" s="93">
        <f>SUM(R67:R78)</f>
        <v>1284230.5691519997</v>
      </c>
      <c r="S79" s="93">
        <f t="shared" ref="S79:T79" si="27">SUM(S67:S78)</f>
        <v>34057.14</v>
      </c>
      <c r="T79" s="96">
        <f t="shared" si="27"/>
        <v>0</v>
      </c>
    </row>
    <row r="80" spans="1:20">
      <c r="B80" s="85">
        <v>44927</v>
      </c>
      <c r="C80" s="87"/>
      <c r="D80" s="87"/>
      <c r="E80" s="125">
        <v>279019.30700000003</v>
      </c>
      <c r="F80" s="125">
        <v>2334.6999999999998</v>
      </c>
      <c r="G80" s="87"/>
      <c r="H80" s="87"/>
      <c r="I80" s="14">
        <f t="shared" ref="I80:I91" si="28">G80+H80</f>
        <v>0</v>
      </c>
      <c r="J80" s="87"/>
      <c r="K80" s="87"/>
      <c r="L80" s="109"/>
      <c r="M80" s="89">
        <f t="shared" ref="M80:M91" si="29">E80/$E$3</f>
        <v>8.0505705598542026</v>
      </c>
      <c r="N80" s="87" t="e">
        <f t="shared" ref="N80:N91" si="30">(C80/$E$4)*(55/60)</f>
        <v>#DIV/0!</v>
      </c>
      <c r="O80" s="74" t="e">
        <f t="shared" ref="O80:O91" si="31">F80*1000/(J80+0.25*K80)/L80</f>
        <v>#DIV/0!</v>
      </c>
      <c r="P80" s="110" t="e">
        <f>I80/(J80+K80)/L80</f>
        <v>#DIV/0!</v>
      </c>
      <c r="Q80" s="111" t="e">
        <f>H80/I80*100</f>
        <v>#DIV/0!</v>
      </c>
      <c r="R80" s="112">
        <f t="shared" ref="R80:R91" si="32">E80*0.408</f>
        <v>113839.87725600001</v>
      </c>
      <c r="S80" s="74">
        <f>F80*(1.3)</f>
        <v>3035.1099999999997</v>
      </c>
      <c r="T80" s="113">
        <f>(I80/1000)*0.561</f>
        <v>0</v>
      </c>
    </row>
    <row r="81" spans="1:20">
      <c r="B81" s="17">
        <v>44958</v>
      </c>
      <c r="C81" s="14"/>
      <c r="D81" s="14"/>
      <c r="E81" s="118">
        <v>225423.302</v>
      </c>
      <c r="F81" s="118">
        <v>2424.6</v>
      </c>
      <c r="G81" s="14"/>
      <c r="H81" s="14"/>
      <c r="I81" s="14">
        <f t="shared" si="28"/>
        <v>0</v>
      </c>
      <c r="J81" s="14"/>
      <c r="K81" s="14"/>
      <c r="L81" s="28"/>
      <c r="M81" s="15">
        <f t="shared" si="29"/>
        <v>6.5041599382451443</v>
      </c>
      <c r="N81" s="14" t="e">
        <f t="shared" si="30"/>
        <v>#DIV/0!</v>
      </c>
      <c r="O81" s="13" t="e">
        <f t="shared" si="31"/>
        <v>#DIV/0!</v>
      </c>
      <c r="P81" s="35" t="e">
        <f t="shared" ref="P81:P91" si="33">I81/(J81+K81)/L81</f>
        <v>#DIV/0!</v>
      </c>
      <c r="Q81" s="36" t="e">
        <f t="shared" ref="Q81:Q91" si="34">H81/I81*100</f>
        <v>#DIV/0!</v>
      </c>
      <c r="R81" s="34">
        <f t="shared" si="32"/>
        <v>91972.707215999995</v>
      </c>
      <c r="S81" s="13">
        <f t="shared" ref="S81:S91" si="35">F81*(1.3)</f>
        <v>3151.98</v>
      </c>
      <c r="T81" s="33">
        <f t="shared" ref="T81:T87" si="36">(I81/1000)*0.561</f>
        <v>0</v>
      </c>
    </row>
    <row r="82" spans="1:20" ht="16.5" customHeight="1">
      <c r="B82" s="17">
        <v>44986</v>
      </c>
      <c r="C82" s="14"/>
      <c r="D82" s="14"/>
      <c r="E82" s="118">
        <v>242744.78999999998</v>
      </c>
      <c r="F82" s="118">
        <v>2036.5</v>
      </c>
      <c r="G82" s="14"/>
      <c r="H82" s="14"/>
      <c r="I82" s="14">
        <f t="shared" si="28"/>
        <v>0</v>
      </c>
      <c r="J82" s="14"/>
      <c r="K82" s="14"/>
      <c r="L82" s="28"/>
      <c r="M82" s="15">
        <f t="shared" si="29"/>
        <v>7.0039384763147972</v>
      </c>
      <c r="N82" s="14" t="e">
        <f t="shared" si="30"/>
        <v>#DIV/0!</v>
      </c>
      <c r="O82" s="13" t="e">
        <f t="shared" si="31"/>
        <v>#DIV/0!</v>
      </c>
      <c r="P82" s="35" t="e">
        <f t="shared" si="33"/>
        <v>#DIV/0!</v>
      </c>
      <c r="Q82" s="36" t="e">
        <f t="shared" si="34"/>
        <v>#DIV/0!</v>
      </c>
      <c r="R82" s="34">
        <f t="shared" si="32"/>
        <v>99039.874319999988</v>
      </c>
      <c r="S82" s="13">
        <f t="shared" si="35"/>
        <v>2647.4500000000003</v>
      </c>
      <c r="T82" s="33">
        <f t="shared" si="36"/>
        <v>0</v>
      </c>
    </row>
    <row r="83" spans="1:20">
      <c r="B83" s="17">
        <v>45017</v>
      </c>
      <c r="C83" s="14"/>
      <c r="D83" s="14"/>
      <c r="E83" s="118">
        <v>254179.74600000001</v>
      </c>
      <c r="F83" s="118">
        <v>2156.1999999999998</v>
      </c>
      <c r="G83" s="14"/>
      <c r="H83" s="14"/>
      <c r="I83" s="14">
        <f t="shared" si="28"/>
        <v>0</v>
      </c>
      <c r="J83" s="14"/>
      <c r="K83" s="14"/>
      <c r="L83" s="28"/>
      <c r="M83" s="15">
        <f t="shared" si="29"/>
        <v>7.3338723476179339</v>
      </c>
      <c r="N83" s="14" t="e">
        <f t="shared" si="30"/>
        <v>#DIV/0!</v>
      </c>
      <c r="O83" s="13" t="e">
        <f t="shared" si="31"/>
        <v>#DIV/0!</v>
      </c>
      <c r="P83" s="35" t="e">
        <f t="shared" si="33"/>
        <v>#DIV/0!</v>
      </c>
      <c r="Q83" s="36" t="e">
        <f t="shared" si="34"/>
        <v>#DIV/0!</v>
      </c>
      <c r="R83" s="34">
        <f t="shared" si="32"/>
        <v>103705.336368</v>
      </c>
      <c r="S83" s="13">
        <f t="shared" si="35"/>
        <v>2803.06</v>
      </c>
      <c r="T83" s="33">
        <f t="shared" si="36"/>
        <v>0</v>
      </c>
    </row>
    <row r="84" spans="1:20" s="2" customFormat="1">
      <c r="B84" s="17">
        <v>45047</v>
      </c>
      <c r="C84" s="14"/>
      <c r="D84" s="14"/>
      <c r="E84" s="118">
        <v>283222.23800000001</v>
      </c>
      <c r="F84" s="118">
        <v>2342.9</v>
      </c>
      <c r="G84" s="14"/>
      <c r="H84" s="14"/>
      <c r="I84" s="14">
        <f t="shared" si="28"/>
        <v>0</v>
      </c>
      <c r="J84" s="14"/>
      <c r="K84" s="14"/>
      <c r="L84" s="28"/>
      <c r="M84" s="15">
        <f t="shared" si="29"/>
        <v>8.1718381270971339</v>
      </c>
      <c r="N84" s="14" t="e">
        <f t="shared" si="30"/>
        <v>#DIV/0!</v>
      </c>
      <c r="O84" s="13" t="e">
        <f t="shared" si="31"/>
        <v>#DIV/0!</v>
      </c>
      <c r="P84" s="35" t="e">
        <f t="shared" si="33"/>
        <v>#DIV/0!</v>
      </c>
      <c r="Q84" s="36" t="e">
        <f t="shared" si="34"/>
        <v>#DIV/0!</v>
      </c>
      <c r="R84" s="34">
        <f t="shared" si="32"/>
        <v>115554.673104</v>
      </c>
      <c r="S84" s="13">
        <f t="shared" si="35"/>
        <v>3045.7700000000004</v>
      </c>
      <c r="T84" s="33">
        <f t="shared" si="36"/>
        <v>0</v>
      </c>
    </row>
    <row r="85" spans="1:20" s="2" customFormat="1">
      <c r="B85" s="17">
        <v>45078</v>
      </c>
      <c r="C85" s="14"/>
      <c r="D85" s="14"/>
      <c r="E85" s="118">
        <v>274235.36199999996</v>
      </c>
      <c r="F85" s="118">
        <v>2363.9</v>
      </c>
      <c r="G85" s="14"/>
      <c r="H85" s="14"/>
      <c r="I85" s="14">
        <f t="shared" si="28"/>
        <v>0</v>
      </c>
      <c r="J85" s="14"/>
      <c r="K85" s="14"/>
      <c r="L85" s="28"/>
      <c r="M85" s="15">
        <f t="shared" si="29"/>
        <v>7.9125389404976181</v>
      </c>
      <c r="N85" s="14" t="e">
        <f t="shared" si="30"/>
        <v>#DIV/0!</v>
      </c>
      <c r="O85" s="13" t="e">
        <f t="shared" si="31"/>
        <v>#DIV/0!</v>
      </c>
      <c r="P85" s="35" t="e">
        <f t="shared" si="33"/>
        <v>#DIV/0!</v>
      </c>
      <c r="Q85" s="36" t="e">
        <f t="shared" si="34"/>
        <v>#DIV/0!</v>
      </c>
      <c r="R85" s="34">
        <f t="shared" si="32"/>
        <v>111888.02769599998</v>
      </c>
      <c r="S85" s="13">
        <f t="shared" si="35"/>
        <v>3073.07</v>
      </c>
      <c r="T85" s="33">
        <f t="shared" si="36"/>
        <v>0</v>
      </c>
    </row>
    <row r="86" spans="1:20" s="2" customFormat="1">
      <c r="B86" s="17">
        <v>45108</v>
      </c>
      <c r="C86" s="14"/>
      <c r="D86" s="14"/>
      <c r="E86" s="118">
        <v>283916.54400000005</v>
      </c>
      <c r="F86" s="118">
        <v>2519.1</v>
      </c>
      <c r="G86" s="14"/>
      <c r="H86" s="14"/>
      <c r="I86" s="14">
        <f t="shared" si="28"/>
        <v>0</v>
      </c>
      <c r="J86" s="14"/>
      <c r="K86" s="14"/>
      <c r="L86" s="28"/>
      <c r="M86" s="15">
        <f t="shared" si="29"/>
        <v>8.1918710040447156</v>
      </c>
      <c r="N86" s="14" t="e">
        <f t="shared" si="30"/>
        <v>#DIV/0!</v>
      </c>
      <c r="O86" s="13" t="e">
        <f t="shared" si="31"/>
        <v>#DIV/0!</v>
      </c>
      <c r="P86" s="35" t="e">
        <f t="shared" si="33"/>
        <v>#DIV/0!</v>
      </c>
      <c r="Q86" s="36" t="e">
        <f t="shared" si="34"/>
        <v>#DIV/0!</v>
      </c>
      <c r="R86" s="34">
        <f t="shared" si="32"/>
        <v>115837.94995200001</v>
      </c>
      <c r="S86" s="13">
        <f t="shared" si="35"/>
        <v>3274.83</v>
      </c>
      <c r="T86" s="33">
        <f t="shared" si="36"/>
        <v>0</v>
      </c>
    </row>
    <row r="87" spans="1:20" s="2" customFormat="1">
      <c r="B87" s="17">
        <v>45139</v>
      </c>
      <c r="C87" s="14"/>
      <c r="D87" s="14"/>
      <c r="E87" s="118">
        <v>278095.27299999999</v>
      </c>
      <c r="F87" s="118">
        <v>2362.8000000000002</v>
      </c>
      <c r="G87" s="14"/>
      <c r="H87" s="14"/>
      <c r="I87" s="14">
        <f t="shared" si="28"/>
        <v>0</v>
      </c>
      <c r="J87" s="14"/>
      <c r="K87" s="14"/>
      <c r="L87" s="28"/>
      <c r="M87" s="15">
        <f t="shared" si="29"/>
        <v>8.0239093191082187</v>
      </c>
      <c r="N87" s="14" t="e">
        <f t="shared" si="30"/>
        <v>#DIV/0!</v>
      </c>
      <c r="O87" s="13" t="e">
        <f t="shared" si="31"/>
        <v>#DIV/0!</v>
      </c>
      <c r="P87" s="35" t="e">
        <f t="shared" si="33"/>
        <v>#DIV/0!</v>
      </c>
      <c r="Q87" s="36" t="e">
        <f t="shared" si="34"/>
        <v>#DIV/0!</v>
      </c>
      <c r="R87" s="34">
        <f t="shared" si="32"/>
        <v>113462.87138399998</v>
      </c>
      <c r="S87" s="13">
        <f t="shared" si="35"/>
        <v>3071.6400000000003</v>
      </c>
      <c r="T87" s="33">
        <f t="shared" si="36"/>
        <v>0</v>
      </c>
    </row>
    <row r="88" spans="1:20" s="2" customFormat="1">
      <c r="B88" s="17">
        <v>45170</v>
      </c>
      <c r="C88" s="14"/>
      <c r="D88" s="14"/>
      <c r="E88" s="118">
        <v>259352.5</v>
      </c>
      <c r="F88" s="118">
        <v>2577.3000000000002</v>
      </c>
      <c r="G88" s="14"/>
      <c r="H88" s="14"/>
      <c r="I88" s="14">
        <f t="shared" si="28"/>
        <v>0</v>
      </c>
      <c r="J88" s="14"/>
      <c r="K88" s="14"/>
      <c r="L88" s="28"/>
      <c r="M88" s="15">
        <f t="shared" si="29"/>
        <v>7.4831223099718578</v>
      </c>
      <c r="N88" s="14" t="e">
        <f t="shared" si="30"/>
        <v>#DIV/0!</v>
      </c>
      <c r="O88" s="13" t="e">
        <f t="shared" si="31"/>
        <v>#DIV/0!</v>
      </c>
      <c r="P88" s="35" t="e">
        <f t="shared" si="33"/>
        <v>#DIV/0!</v>
      </c>
      <c r="Q88" s="36" t="e">
        <f t="shared" si="34"/>
        <v>#DIV/0!</v>
      </c>
      <c r="R88" s="34">
        <f t="shared" si="32"/>
        <v>105815.81999999999</v>
      </c>
      <c r="S88" s="13">
        <f t="shared" si="35"/>
        <v>3350.4900000000002</v>
      </c>
      <c r="T88" s="33">
        <f t="shared" ref="T88:T91" si="37">(I88/1000)*21.28</f>
        <v>0</v>
      </c>
    </row>
    <row r="89" spans="1:20" s="2" customFormat="1">
      <c r="B89" s="17">
        <v>45200</v>
      </c>
      <c r="C89" s="52"/>
      <c r="D89" s="14"/>
      <c r="E89" s="118">
        <v>271224.76099999994</v>
      </c>
      <c r="F89" s="118">
        <v>2429.5</v>
      </c>
      <c r="G89" s="14"/>
      <c r="H89" s="14"/>
      <c r="I89" s="14">
        <f t="shared" si="28"/>
        <v>0</v>
      </c>
      <c r="J89" s="14"/>
      <c r="K89" s="14"/>
      <c r="L89" s="28"/>
      <c r="M89" s="15">
        <f t="shared" si="29"/>
        <v>7.8256737839653931</v>
      </c>
      <c r="N89" s="14" t="e">
        <f t="shared" si="30"/>
        <v>#DIV/0!</v>
      </c>
      <c r="O89" s="13" t="e">
        <f t="shared" si="31"/>
        <v>#DIV/0!</v>
      </c>
      <c r="P89" s="35" t="e">
        <f t="shared" si="33"/>
        <v>#DIV/0!</v>
      </c>
      <c r="Q89" s="36" t="e">
        <f t="shared" si="34"/>
        <v>#DIV/0!</v>
      </c>
      <c r="R89" s="34">
        <f t="shared" si="32"/>
        <v>110659.70248799997</v>
      </c>
      <c r="S89" s="13">
        <f t="shared" si="35"/>
        <v>3158.35</v>
      </c>
      <c r="T89" s="33">
        <f t="shared" si="37"/>
        <v>0</v>
      </c>
    </row>
    <row r="90" spans="1:20" s="2" customFormat="1">
      <c r="B90" s="17">
        <v>45231</v>
      </c>
      <c r="C90" s="52"/>
      <c r="D90" s="14"/>
      <c r="E90" s="118">
        <v>280974.07900000003</v>
      </c>
      <c r="F90" s="118">
        <v>2727.7</v>
      </c>
      <c r="G90" s="14"/>
      <c r="H90" s="14"/>
      <c r="I90" s="14">
        <f t="shared" si="28"/>
        <v>0</v>
      </c>
      <c r="J90" s="14"/>
      <c r="K90" s="14"/>
      <c r="L90" s="28"/>
      <c r="M90" s="15">
        <f t="shared" si="29"/>
        <v>8.1069717819905165</v>
      </c>
      <c r="N90" s="14" t="e">
        <f t="shared" si="30"/>
        <v>#DIV/0!</v>
      </c>
      <c r="O90" s="13" t="e">
        <f t="shared" si="31"/>
        <v>#DIV/0!</v>
      </c>
      <c r="P90" s="35" t="e">
        <f t="shared" si="33"/>
        <v>#DIV/0!</v>
      </c>
      <c r="Q90" s="36" t="e">
        <f t="shared" si="34"/>
        <v>#DIV/0!</v>
      </c>
      <c r="R90" s="34">
        <f t="shared" si="32"/>
        <v>114637.424232</v>
      </c>
      <c r="S90" s="13">
        <f t="shared" si="35"/>
        <v>3546.0099999999998</v>
      </c>
      <c r="T90" s="33">
        <f t="shared" si="37"/>
        <v>0</v>
      </c>
    </row>
    <row r="91" spans="1:20" s="2" customFormat="1" ht="14.65" thickBot="1">
      <c r="B91" s="101">
        <v>45261</v>
      </c>
      <c r="C91" s="102"/>
      <c r="D91" s="103"/>
      <c r="E91" s="127">
        <v>259125.18899999998</v>
      </c>
      <c r="F91" s="127">
        <v>2934.2</v>
      </c>
      <c r="G91" s="103"/>
      <c r="H91" s="103"/>
      <c r="I91" s="103">
        <f t="shared" si="28"/>
        <v>0</v>
      </c>
      <c r="J91" s="103"/>
      <c r="K91" s="103"/>
      <c r="L91" s="104"/>
      <c r="M91" s="105">
        <f t="shared" si="29"/>
        <v>7.4765636841039678</v>
      </c>
      <c r="N91" s="103" t="e">
        <f t="shared" si="30"/>
        <v>#DIV/0!</v>
      </c>
      <c r="O91" s="73" t="e">
        <f t="shared" si="31"/>
        <v>#DIV/0!</v>
      </c>
      <c r="P91" s="106" t="e">
        <f t="shared" si="33"/>
        <v>#DIV/0!</v>
      </c>
      <c r="Q91" s="107" t="e">
        <f t="shared" si="34"/>
        <v>#DIV/0!</v>
      </c>
      <c r="R91" s="105">
        <f t="shared" si="32"/>
        <v>105723.07711199998</v>
      </c>
      <c r="S91" s="73">
        <f t="shared" si="35"/>
        <v>3814.46</v>
      </c>
      <c r="T91" s="108">
        <f t="shared" si="37"/>
        <v>0</v>
      </c>
    </row>
    <row r="92" spans="1:20" ht="14.65" thickBot="1">
      <c r="A92" s="91" t="s">
        <v>63</v>
      </c>
      <c r="B92" s="115"/>
      <c r="C92" s="93">
        <f>SUM(C80:C91)</f>
        <v>0</v>
      </c>
      <c r="D92" s="93">
        <f>SUM(D80:D91)</f>
        <v>0</v>
      </c>
      <c r="E92" s="124">
        <f>SUM(E80:E91)</f>
        <v>3191513.0909999995</v>
      </c>
      <c r="F92" s="124">
        <f>SUM(F80:F91)</f>
        <v>29209.4</v>
      </c>
      <c r="G92" s="115"/>
      <c r="H92" s="115"/>
      <c r="I92" s="115"/>
      <c r="J92" s="93"/>
      <c r="K92" s="93"/>
      <c r="L92" s="93"/>
      <c r="M92" s="93"/>
      <c r="N92" s="93"/>
      <c r="O92" s="115"/>
      <c r="P92" s="115"/>
      <c r="Q92" s="115"/>
      <c r="R92" s="115"/>
      <c r="S92" s="115"/>
      <c r="T92" s="116"/>
    </row>
    <row r="93" spans="1:20">
      <c r="B93" s="85">
        <v>45292</v>
      </c>
    </row>
    <row r="94" spans="1:20">
      <c r="B94" s="85">
        <v>45323</v>
      </c>
    </row>
    <row r="95" spans="1:20">
      <c r="B95" s="85">
        <v>45352</v>
      </c>
    </row>
    <row r="96" spans="1:20">
      <c r="B96" s="85">
        <v>45383</v>
      </c>
    </row>
    <row r="97" spans="1:20">
      <c r="B97" s="85">
        <v>45413</v>
      </c>
    </row>
    <row r="98" spans="1:20">
      <c r="B98" s="85">
        <v>45444</v>
      </c>
    </row>
    <row r="99" spans="1:20">
      <c r="B99" s="85">
        <v>45474</v>
      </c>
    </row>
    <row r="100" spans="1:20">
      <c r="B100" s="85">
        <v>45505</v>
      </c>
    </row>
    <row r="101" spans="1:20">
      <c r="B101" s="85">
        <v>45536</v>
      </c>
    </row>
    <row r="102" spans="1:20">
      <c r="B102" s="85">
        <v>45566</v>
      </c>
    </row>
    <row r="103" spans="1:20">
      <c r="B103" s="85">
        <v>45597</v>
      </c>
    </row>
    <row r="104" spans="1:20" ht="14.65" thickBot="1">
      <c r="B104" s="85">
        <v>45627</v>
      </c>
    </row>
    <row r="105" spans="1:20" ht="14.65" thickBot="1">
      <c r="A105" s="91" t="s">
        <v>66</v>
      </c>
      <c r="B105" s="115"/>
      <c r="C105" s="115"/>
      <c r="D105" s="93"/>
      <c r="E105" s="124"/>
      <c r="F105" s="128"/>
      <c r="G105" s="115"/>
      <c r="H105" s="115"/>
      <c r="I105" s="115"/>
      <c r="J105" s="93"/>
      <c r="K105" s="93"/>
      <c r="L105" s="93"/>
      <c r="M105" s="93"/>
      <c r="N105" s="93"/>
      <c r="O105" s="115"/>
      <c r="P105" s="115"/>
      <c r="Q105" s="115"/>
      <c r="R105" s="115"/>
      <c r="S105" s="115"/>
      <c r="T105" s="116"/>
    </row>
  </sheetData>
  <mergeCells count="6">
    <mergeCell ref="M1:M2"/>
    <mergeCell ref="B1:B2"/>
    <mergeCell ref="C1:C2"/>
    <mergeCell ref="D1:D2"/>
    <mergeCell ref="E1:E2"/>
    <mergeCell ref="F1:L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D5C9F91B2EBD489467EF312FA9CB41" ma:contentTypeVersion="19" ma:contentTypeDescription="Create a new document." ma:contentTypeScope="" ma:versionID="719b74bae7f0763af7fdaf95db641fd2">
  <xsd:schema xmlns:xsd="http://www.w3.org/2001/XMLSchema" xmlns:xs="http://www.w3.org/2001/XMLSchema" xmlns:p="http://schemas.microsoft.com/office/2006/metadata/properties" xmlns:ns2="97742593-e41b-4ba5-ab6f-65d285f62cea" xmlns:ns3="5535bd68-522e-4fea-ab39-1b6293fbe187" xmlns:ns4="afebe98a-ad4d-4bfc-ac9d-294564d51e1d" targetNamespace="http://schemas.microsoft.com/office/2006/metadata/properties" ma:root="true" ma:fieldsID="6075ea3decec519a873cca02fd015670" ns2:_="" ns3:_="" ns4:_="">
    <xsd:import namespace="97742593-e41b-4ba5-ab6f-65d285f62cea"/>
    <xsd:import namespace="5535bd68-522e-4fea-ab39-1b6293fbe187"/>
    <xsd:import namespace="afebe98a-ad4d-4bfc-ac9d-294564d51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Signeddat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42593-e41b-4ba5-ab6f-65d285f62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9d3f478-4f1e-489e-aec6-b8552e7cfc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Signeddate" ma:index="23" nillable="true" ma:displayName="Signed date" ma:description="Date of Agreement signed" ma:format="DateOnly" ma:internalName="Signeddate">
      <xsd:simpleType>
        <xsd:restriction base="dms:DateTim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5bd68-522e-4fea-ab39-1b6293fbe1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e98a-ad4d-4bfc-ac9d-294564d51e1d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3131eb7-9a9d-42e3-bbc0-14bd3fbfd7c8}" ma:internalName="TaxCatchAll" ma:showField="CatchAllData" ma:web="5535bd68-522e-4fea-ab39-1b6293fbe1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febe98a-ad4d-4bfc-ac9d-294564d51e1d" xsi:nil="true"/>
    <lcf76f155ced4ddcb4097134ff3c332f xmlns="97742593-e41b-4ba5-ab6f-65d285f62cea">
      <Terms xmlns="http://schemas.microsoft.com/office/infopath/2007/PartnerControls"/>
    </lcf76f155ced4ddcb4097134ff3c332f>
    <Signeddate xmlns="97742593-e41b-4ba5-ab6f-65d285f62cea" xsi:nil="true"/>
  </documentManagement>
</p:properties>
</file>

<file path=customXml/itemProps1.xml><?xml version="1.0" encoding="utf-8"?>
<ds:datastoreItem xmlns:ds="http://schemas.openxmlformats.org/officeDocument/2006/customXml" ds:itemID="{0A70B8DC-A930-4B65-9608-2C0B835F28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1EEDD8-1812-4D93-9766-B612A9A71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42593-e41b-4ba5-ab6f-65d285f62cea"/>
    <ds:schemaRef ds:uri="5535bd68-522e-4fea-ab39-1b6293fbe187"/>
    <ds:schemaRef ds:uri="afebe98a-ad4d-4bfc-ac9d-294564d51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732D1F-E913-4A7B-9A43-A8D1F224C816}">
  <ds:schemaRefs>
    <ds:schemaRef ds:uri="33b818d7-a207-4654-bf50-fe3c5de0ee1d"/>
    <ds:schemaRef ds:uri="http://purl.org/dc/elements/1.1/"/>
    <ds:schemaRef ds:uri="http://schemas.microsoft.com/office/2006/documentManagement/types"/>
    <ds:schemaRef ds:uri="http://purl.org/dc/terms/"/>
    <ds:schemaRef ds:uri="7a2213af-753e-4872-a79b-ab3cae59a3ef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afebe98a-ad4d-4bfc-ac9d-294564d51e1d"/>
    <ds:schemaRef ds:uri="97742593-e41b-4ba5-ab6f-65d285f62c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SGX C1 Energy &amp; Water</vt:lpstr>
      <vt:lpstr>SGX C2 Energy &amp; Water</vt:lpstr>
      <vt:lpstr>TP1 Energy &amp; Water</vt:lpstr>
      <vt:lpstr>TP2 Energy &amp; Water</vt:lpstr>
      <vt:lpstr>SC Energy &amp; Water</vt:lpstr>
      <vt:lpstr>SLT Energy &amp; Water</vt:lpstr>
      <vt:lpstr>GWY Energy &amp; Water</vt:lpstr>
      <vt:lpstr>UIC Energy &amp; Water</vt:lpstr>
      <vt:lpstr>Exclude Tenants</vt:lpstr>
      <vt:lpstr>Sample 1</vt:lpstr>
      <vt:lpstr>Sample 1_Electrical analysis</vt:lpstr>
      <vt:lpstr>Sample 2_Simplified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Koh, Kwok Soon @ Singapore</dc:creator>
  <cp:lastModifiedBy>#TAN WEI YIN#</cp:lastModifiedBy>
  <dcterms:created xsi:type="dcterms:W3CDTF">2022-04-19T06:16:27Z</dcterms:created>
  <dcterms:modified xsi:type="dcterms:W3CDTF">2024-06-03T10:03:07Z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0x010100B3D5C9F91B2EBD489467EF312FA9CB41</vt:lpwstr>
  </property>
  <property fmtid="{D5CDD505-2E9C-101B-9397-08002B2CF9AE}" pid="3" name="MediaServiceImageTags">
    <vt:lpwstr/>
  </property>
  <property fmtid="{D5CDD505-2E9C-101B-9397-08002B2CF9AE}" pid="4" name="MSIP_Label_7137e7e7-1808-4445-8afe-71fa89c03d5c_Enabled">
    <vt:lpwstr>true</vt:lpwstr>
  </property>
  <property fmtid="{D5CDD505-2E9C-101B-9397-08002B2CF9AE}" pid="5" name="MSIP_Label_7137e7e7-1808-4445-8afe-71fa89c03d5c_SetDate">
    <vt:lpwstr>2024-03-19T09:33:23Z</vt:lpwstr>
  </property>
  <property fmtid="{D5CDD505-2E9C-101B-9397-08002B2CF9AE}" pid="6" name="MSIP_Label_7137e7e7-1808-4445-8afe-71fa89c03d5c_Method">
    <vt:lpwstr>Standard</vt:lpwstr>
  </property>
  <property fmtid="{D5CDD505-2E9C-101B-9397-08002B2CF9AE}" pid="7" name="MSIP_Label_7137e7e7-1808-4445-8afe-71fa89c03d5c_Name">
    <vt:lpwstr>defa4170-0d19-0005-0004-bc88714345d2</vt:lpwstr>
  </property>
  <property fmtid="{D5CDD505-2E9C-101B-9397-08002B2CF9AE}" pid="8" name="MSIP_Label_7137e7e7-1808-4445-8afe-71fa89c03d5c_SiteId">
    <vt:lpwstr>babe6989-bef7-4c09-92d4-b4a939ce0d2f</vt:lpwstr>
  </property>
  <property fmtid="{D5CDD505-2E9C-101B-9397-08002B2CF9AE}" pid="9" name="MSIP_Label_7137e7e7-1808-4445-8afe-71fa89c03d5c_ActionId">
    <vt:lpwstr>5e819564-0185-400b-9cea-086861a66c43</vt:lpwstr>
  </property>
  <property fmtid="{D5CDD505-2E9C-101B-9397-08002B2CF9AE}" pid="10" name="MSIP_Label_7137e7e7-1808-4445-8afe-71fa89c03d5c_ContentBits">
    <vt:lpwstr>0</vt:lpwstr>
  </property>
</Properties>
</file>