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ripoo\Documents\"/>
    </mc:Choice>
  </mc:AlternateContent>
  <xr:revisionPtr revIDLastSave="0" documentId="13_ncr:1_{BC5CEECF-EA13-404C-9F28-CBA01384D02E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実験1" sheetId="1" r:id="rId1"/>
    <sheet name="実験1 グラフ" sheetId="4" r:id="rId2"/>
    <sheet name="実験2" sheetId="3" r:id="rId3"/>
    <sheet name="Sheet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3" l="1"/>
  <c r="O4" i="3"/>
  <c r="O5" i="3" s="1"/>
  <c r="S5" i="3"/>
  <c r="T5" i="3"/>
  <c r="Q17" i="3" s="1"/>
  <c r="R17" i="3" s="1"/>
  <c r="S6" i="3"/>
  <c r="T6" i="3"/>
  <c r="S7" i="3"/>
  <c r="T7" i="3" s="1"/>
  <c r="Q19" i="3" s="1"/>
  <c r="R19" i="3" s="1"/>
  <c r="S8" i="3"/>
  <c r="T8" i="3"/>
  <c r="S9" i="3"/>
  <c r="T9" i="3"/>
  <c r="Q21" i="3" s="1"/>
  <c r="O10" i="3"/>
  <c r="O8" i="3" s="1"/>
  <c r="S10" i="3"/>
  <c r="T10" i="3" s="1"/>
  <c r="S11" i="3"/>
  <c r="T11" i="3"/>
  <c r="S12" i="3"/>
  <c r="T12" i="3" s="1"/>
  <c r="S13" i="3"/>
  <c r="T13" i="3"/>
  <c r="S14" i="3"/>
  <c r="T14" i="3" s="1"/>
  <c r="S15" i="3"/>
  <c r="T15" i="3"/>
  <c r="P9" i="1"/>
  <c r="S10" i="1"/>
  <c r="Q18" i="3"/>
  <c r="R18" i="3" s="1"/>
  <c r="Q20" i="3"/>
  <c r="R20" i="3" s="1"/>
  <c r="O18" i="3"/>
  <c r="I13" i="1"/>
  <c r="H13" i="1"/>
  <c r="O7" i="3" l="1"/>
  <c r="O6" i="3"/>
  <c r="J13" i="1"/>
  <c r="L13" i="1"/>
  <c r="K13" i="1"/>
  <c r="L23" i="1" l="1"/>
  <c r="L24" i="1"/>
  <c r="I24" i="1"/>
  <c r="I23" i="1"/>
  <c r="C10" i="1" l="1"/>
  <c r="H6" i="1"/>
  <c r="H7" i="1"/>
  <c r="H8" i="1"/>
  <c r="H9" i="1"/>
  <c r="H5" i="1"/>
  <c r="C5" i="1"/>
  <c r="D5" i="1" s="1"/>
  <c r="C6" i="1"/>
  <c r="D6" i="1" s="1"/>
  <c r="C7" i="1"/>
  <c r="D7" i="1" s="1"/>
  <c r="C8" i="1"/>
  <c r="D8" i="1" s="1"/>
  <c r="C9" i="1"/>
  <c r="D9" i="1" s="1"/>
  <c r="C4" i="1"/>
  <c r="D4" i="1" s="1"/>
  <c r="D16" i="1"/>
  <c r="I6" i="1" s="1"/>
  <c r="D17" i="1"/>
  <c r="I7" i="1" s="1"/>
  <c r="D18" i="1"/>
  <c r="I8" i="1" s="1"/>
  <c r="D19" i="1"/>
  <c r="I9" i="1" s="1"/>
  <c r="D20" i="1"/>
  <c r="D15" i="1"/>
  <c r="I5" i="1" s="1"/>
  <c r="J6" i="1" l="1"/>
  <c r="K6" i="1" s="1"/>
  <c r="S6" i="1" s="1"/>
  <c r="L25" i="1"/>
  <c r="M13" i="1"/>
  <c r="J7" i="1"/>
  <c r="K7" i="1" s="1"/>
  <c r="S7" i="1" s="1"/>
  <c r="D10" i="1"/>
  <c r="I27" i="1"/>
  <c r="I25" i="1" s="1"/>
  <c r="L27" i="1"/>
  <c r="J5" i="1"/>
  <c r="L5" i="1" s="1"/>
  <c r="M5" i="1" s="1"/>
  <c r="P4" i="1" s="1"/>
  <c r="J9" i="1"/>
  <c r="K9" i="1" s="1"/>
  <c r="S9" i="1" s="1"/>
  <c r="J8" i="1"/>
  <c r="K8" i="1" s="1"/>
  <c r="S8" i="1" s="1"/>
  <c r="L6" i="1" l="1"/>
  <c r="L7" i="1" s="1"/>
  <c r="M7" i="1" s="1"/>
  <c r="P6" i="1" s="1"/>
  <c r="K5" i="1"/>
  <c r="S5" i="1" s="1"/>
  <c r="L8" i="1" l="1"/>
  <c r="M6" i="1"/>
  <c r="P5" i="1" s="1"/>
  <c r="L9" i="1"/>
  <c r="M8" i="1"/>
  <c r="P7" i="1" s="1"/>
  <c r="M9" i="1" l="1"/>
  <c r="P8" i="1" s="1"/>
</calcChain>
</file>

<file path=xl/sharedStrings.xml><?xml version="1.0" encoding="utf-8"?>
<sst xmlns="http://schemas.openxmlformats.org/spreadsheetml/2006/main" count="81" uniqueCount="64">
  <si>
    <t>採取時間(min)</t>
    <rPh sb="0" eb="2">
      <t>サイシュ</t>
    </rPh>
    <rPh sb="2" eb="4">
      <t>ジカン</t>
    </rPh>
    <phoneticPr fontId="1"/>
  </si>
  <si>
    <t>吸光度(OD630)</t>
    <rPh sb="0" eb="3">
      <t>キュウコウド</t>
    </rPh>
    <phoneticPr fontId="1"/>
  </si>
  <si>
    <t>濃度(mg/L)</t>
    <rPh sb="0" eb="2">
      <t>ノウド</t>
    </rPh>
    <phoneticPr fontId="1"/>
  </si>
  <si>
    <t>A(送液前)</t>
    <rPh sb="2" eb="3">
      <t>ソウ</t>
    </rPh>
    <rPh sb="3" eb="4">
      <t>エキ</t>
    </rPh>
    <rPh sb="4" eb="5">
      <t>マエ</t>
    </rPh>
    <phoneticPr fontId="1"/>
  </si>
  <si>
    <t>表3．三角フラスコと液量(排泄液量)の重さ</t>
    <rPh sb="0" eb="1">
      <t>ヒョウ</t>
    </rPh>
    <rPh sb="3" eb="5">
      <t>サンカク</t>
    </rPh>
    <rPh sb="10" eb="12">
      <t>エキリョウ</t>
    </rPh>
    <rPh sb="13" eb="15">
      <t>ハイセツ</t>
    </rPh>
    <rPh sb="15" eb="17">
      <t>エキリョウ</t>
    </rPh>
    <rPh sb="19" eb="20">
      <t>オモ</t>
    </rPh>
    <phoneticPr fontId="1"/>
  </si>
  <si>
    <t>三角フラスコ</t>
    <rPh sb="0" eb="2">
      <t>サンカク</t>
    </rPh>
    <phoneticPr fontId="1"/>
  </si>
  <si>
    <t>三角フラスコの重さ(g)</t>
    <rPh sb="0" eb="2">
      <t>サンカク</t>
    </rPh>
    <rPh sb="7" eb="8">
      <t>オモ</t>
    </rPh>
    <phoneticPr fontId="1"/>
  </si>
  <si>
    <t>サンプリング後の三角フラスコの重さ(g)</t>
    <rPh sb="6" eb="7">
      <t>ゴ</t>
    </rPh>
    <rPh sb="8" eb="10">
      <t>サンカク</t>
    </rPh>
    <rPh sb="15" eb="16">
      <t>オモ</t>
    </rPh>
    <phoneticPr fontId="1"/>
  </si>
  <si>
    <t>液量(g)</t>
    <rPh sb="0" eb="2">
      <t>エキリョウ</t>
    </rPh>
    <phoneticPr fontId="1"/>
  </si>
  <si>
    <t>0ー5</t>
    <phoneticPr fontId="1"/>
  </si>
  <si>
    <t>5―10</t>
    <phoneticPr fontId="1"/>
  </si>
  <si>
    <t>10―20</t>
    <phoneticPr fontId="1"/>
  </si>
  <si>
    <t>20―30</t>
    <phoneticPr fontId="1"/>
  </si>
  <si>
    <t>30―40</t>
    <phoneticPr fontId="1"/>
  </si>
  <si>
    <t>40―50</t>
    <phoneticPr fontId="1"/>
  </si>
  <si>
    <t>表4．尿中薬物量の測定結果</t>
    <rPh sb="0" eb="1">
      <t>ヒョウ</t>
    </rPh>
    <rPh sb="3" eb="5">
      <t>ニョウチュウ</t>
    </rPh>
    <rPh sb="5" eb="7">
      <t>ヤクブツ</t>
    </rPh>
    <rPh sb="7" eb="8">
      <t>リョウ</t>
    </rPh>
    <rPh sb="9" eb="11">
      <t>ソクテイ</t>
    </rPh>
    <rPh sb="11" eb="13">
      <t>ケッカ</t>
    </rPh>
    <phoneticPr fontId="1"/>
  </si>
  <si>
    <t>吸光度</t>
    <rPh sb="0" eb="3">
      <t>キュウコウド</t>
    </rPh>
    <phoneticPr fontId="1"/>
  </si>
  <si>
    <t>排液中薬物濃度</t>
    <rPh sb="0" eb="2">
      <t>ハイエキ</t>
    </rPh>
    <rPh sb="2" eb="3">
      <t>チュウ</t>
    </rPh>
    <rPh sb="3" eb="5">
      <t>ヤクブツ</t>
    </rPh>
    <rPh sb="5" eb="7">
      <t>ノウド</t>
    </rPh>
    <phoneticPr fontId="1"/>
  </si>
  <si>
    <t>時間</t>
    <rPh sb="0" eb="2">
      <t>ジカン</t>
    </rPh>
    <phoneticPr fontId="1"/>
  </si>
  <si>
    <t>排泄液量</t>
    <rPh sb="0" eb="2">
      <t>ハイセツ</t>
    </rPh>
    <rPh sb="2" eb="4">
      <t>エキリョウ</t>
    </rPh>
    <phoneticPr fontId="1"/>
  </si>
  <si>
    <t>累積排泄量 Xu,t</t>
    <rPh sb="0" eb="2">
      <t>ルイセキ</t>
    </rPh>
    <rPh sb="2" eb="4">
      <t>ハイセツ</t>
    </rPh>
    <rPh sb="4" eb="5">
      <t>リョウ</t>
    </rPh>
    <phoneticPr fontId="1"/>
  </si>
  <si>
    <t>排泄速度     dXu/dt</t>
    <rPh sb="0" eb="2">
      <t>ハイセツ</t>
    </rPh>
    <rPh sb="2" eb="4">
      <t>ソクド</t>
    </rPh>
    <phoneticPr fontId="1"/>
  </si>
  <si>
    <t>排泄薬物量 Xu</t>
    <rPh sb="0" eb="2">
      <t>ハイセツ</t>
    </rPh>
    <rPh sb="2" eb="4">
      <t>ヤクブツ</t>
    </rPh>
    <rPh sb="4" eb="5">
      <t>リョウ</t>
    </rPh>
    <phoneticPr fontId="1"/>
  </si>
  <si>
    <t>未排泄量　　Xu∞-Xu,t</t>
    <rPh sb="0" eb="1">
      <t>ミ</t>
    </rPh>
    <rPh sb="1" eb="3">
      <t>ハイセツ</t>
    </rPh>
    <rPh sb="3" eb="4">
      <t>リョウ</t>
    </rPh>
    <phoneticPr fontId="1"/>
  </si>
  <si>
    <t>(min)</t>
    <phoneticPr fontId="1"/>
  </si>
  <si>
    <t>(OD630)</t>
    <phoneticPr fontId="1"/>
  </si>
  <si>
    <t>(mg/L)</t>
    <phoneticPr fontId="1"/>
  </si>
  <si>
    <t>(L)</t>
    <phoneticPr fontId="1"/>
  </si>
  <si>
    <t>(mg)</t>
    <phoneticPr fontId="1"/>
  </si>
  <si>
    <t>(mg/min)</t>
    <phoneticPr fontId="1"/>
  </si>
  <si>
    <t>(mg)</t>
    <phoneticPr fontId="1"/>
  </si>
  <si>
    <t>流速</t>
    <rPh sb="0" eb="2">
      <t>リュウソク</t>
    </rPh>
    <phoneticPr fontId="1"/>
  </si>
  <si>
    <t>(mL/min)</t>
    <phoneticPr fontId="1"/>
  </si>
  <si>
    <t>(L/min)</t>
    <phoneticPr fontId="1"/>
  </si>
  <si>
    <t>濃度(自然対数)</t>
    <rPh sb="0" eb="2">
      <t>ノウド</t>
    </rPh>
    <rPh sb="3" eb="5">
      <t>シゼン</t>
    </rPh>
    <rPh sb="5" eb="7">
      <t>タイスウ</t>
    </rPh>
    <phoneticPr fontId="1"/>
  </si>
  <si>
    <t>排泄速度(自然対数)</t>
    <rPh sb="0" eb="2">
      <t>ハイセツ</t>
    </rPh>
    <rPh sb="2" eb="4">
      <t>ソクド</t>
    </rPh>
    <rPh sb="5" eb="7">
      <t>シゼン</t>
    </rPh>
    <rPh sb="7" eb="9">
      <t>タイスウ</t>
    </rPh>
    <phoneticPr fontId="1"/>
  </si>
  <si>
    <t>ka</t>
    <phoneticPr fontId="1"/>
  </si>
  <si>
    <t>CL(L/h)</t>
    <phoneticPr fontId="1"/>
  </si>
  <si>
    <t>AUC(mg・h/L)</t>
    <phoneticPr fontId="1"/>
  </si>
  <si>
    <r>
      <t>t</t>
    </r>
    <r>
      <rPr>
        <vertAlign val="subscript"/>
        <sz val="11"/>
        <color theme="1"/>
        <rFont val="游ゴシック"/>
        <family val="3"/>
        <charset val="128"/>
        <scheme val="minor"/>
      </rPr>
      <t>1/2</t>
    </r>
    <r>
      <rPr>
        <sz val="11"/>
        <color theme="1"/>
        <rFont val="游ゴシック"/>
        <family val="2"/>
        <charset val="128"/>
        <scheme val="minor"/>
      </rPr>
      <t>(h)</t>
    </r>
    <phoneticPr fontId="1"/>
  </si>
  <si>
    <r>
      <t>k</t>
    </r>
    <r>
      <rPr>
        <vertAlign val="subscript"/>
        <sz val="11"/>
        <color theme="1"/>
        <rFont val="游ゴシック"/>
        <family val="3"/>
        <charset val="128"/>
        <scheme val="minor"/>
      </rPr>
      <t>e</t>
    </r>
    <r>
      <rPr>
        <sz val="11"/>
        <color theme="1"/>
        <rFont val="游ゴシック"/>
        <family val="2"/>
        <charset val="128"/>
        <scheme val="minor"/>
      </rPr>
      <t>(1/h)</t>
    </r>
    <phoneticPr fontId="1"/>
  </si>
  <si>
    <r>
      <t>V</t>
    </r>
    <r>
      <rPr>
        <vertAlign val="subscript"/>
        <sz val="11"/>
        <color theme="1"/>
        <rFont val="游ゴシック"/>
        <family val="3"/>
        <charset val="128"/>
        <scheme val="minor"/>
      </rPr>
      <t>d</t>
    </r>
    <r>
      <rPr>
        <sz val="11"/>
        <color theme="1"/>
        <rFont val="游ゴシック"/>
        <family val="2"/>
        <charset val="128"/>
        <scheme val="minor"/>
      </rPr>
      <t>(L)</t>
    </r>
    <phoneticPr fontId="1"/>
  </si>
  <si>
    <t>時間(min)</t>
    <rPh sb="0" eb="2">
      <t>ジカン</t>
    </rPh>
    <phoneticPr fontId="1"/>
  </si>
  <si>
    <t>未排泄量(mg)
(自然対数)</t>
    <rPh sb="0" eb="1">
      <t>ミ</t>
    </rPh>
    <rPh sb="1" eb="3">
      <t>ハイセツ</t>
    </rPh>
    <rPh sb="3" eb="4">
      <t>リョウ</t>
    </rPh>
    <rPh sb="10" eb="12">
      <t>シゼン</t>
    </rPh>
    <rPh sb="12" eb="14">
      <t>タイスウ</t>
    </rPh>
    <phoneticPr fontId="1"/>
  </si>
  <si>
    <t>時間</t>
    <rPh sb="0" eb="2">
      <t>ジカン</t>
    </rPh>
    <phoneticPr fontId="1"/>
  </si>
  <si>
    <t>排泄速度(mg/min)
(自然対数)</t>
    <rPh sb="0" eb="2">
      <t>ハイセツ</t>
    </rPh>
    <rPh sb="2" eb="4">
      <t>ソクド</t>
    </rPh>
    <rPh sb="14" eb="16">
      <t>シゼン</t>
    </rPh>
    <rPh sb="16" eb="18">
      <t>タイスウ</t>
    </rPh>
    <phoneticPr fontId="1"/>
  </si>
  <si>
    <t>時間(min)</t>
    <rPh sb="0" eb="2">
      <t>ジカン</t>
    </rPh>
    <phoneticPr fontId="1"/>
  </si>
  <si>
    <t>ピペット洗うべき！</t>
    <rPh sb="4" eb="5">
      <t>アラ</t>
    </rPh>
    <phoneticPr fontId="1"/>
  </si>
  <si>
    <t>濃いのから測ったからその影響？</t>
    <rPh sb="0" eb="1">
      <t>コ</t>
    </rPh>
    <rPh sb="5" eb="6">
      <t>ハカ</t>
    </rPh>
    <rPh sb="12" eb="14">
      <t>エイキョウ</t>
    </rPh>
    <phoneticPr fontId="1"/>
  </si>
  <si>
    <t>精製水</t>
    <rPh sb="0" eb="3">
      <t>セイセイスイ</t>
    </rPh>
    <phoneticPr fontId="1"/>
  </si>
  <si>
    <t>シグママイナスプロット</t>
    <phoneticPr fontId="1"/>
  </si>
  <si>
    <t>血中コンパートメント</t>
    <rPh sb="0" eb="2">
      <t>ケッチュウ</t>
    </rPh>
    <phoneticPr fontId="1"/>
  </si>
  <si>
    <t>ke</t>
    <phoneticPr fontId="1"/>
  </si>
  <si>
    <r>
      <rPr>
        <sz val="11"/>
        <color theme="1"/>
        <rFont val="游ゴシック"/>
        <family val="3"/>
        <charset val="128"/>
        <scheme val="minor"/>
      </rPr>
      <t>D</t>
    </r>
    <r>
      <rPr>
        <vertAlign val="subscript"/>
        <sz val="11"/>
        <color theme="1"/>
        <rFont val="游ゴシック"/>
        <family val="3"/>
        <charset val="128"/>
        <scheme val="minor"/>
      </rPr>
      <t xml:space="preserve"> </t>
    </r>
    <r>
      <rPr>
        <sz val="11"/>
        <color theme="1"/>
        <rFont val="游ゴシック"/>
        <family val="3"/>
        <charset val="128"/>
        <scheme val="minor"/>
      </rPr>
      <t>(mg)</t>
    </r>
    <phoneticPr fontId="1"/>
  </si>
  <si>
    <t>時間たつと濃度薄くなるから誤差でやすくなる</t>
    <rPh sb="0" eb="2">
      <t>ジカン</t>
    </rPh>
    <rPh sb="5" eb="7">
      <t>ノウド</t>
    </rPh>
    <rPh sb="7" eb="8">
      <t>ウス</t>
    </rPh>
    <rPh sb="13" eb="15">
      <t>ゴサ</t>
    </rPh>
    <phoneticPr fontId="1"/>
  </si>
  <si>
    <t>未排泄量         (自然対数)</t>
    <rPh sb="0" eb="1">
      <t>ミ</t>
    </rPh>
    <rPh sb="1" eb="3">
      <t>ハイセツ</t>
    </rPh>
    <rPh sb="3" eb="4">
      <t>リョウ</t>
    </rPh>
    <rPh sb="14" eb="16">
      <t>シゼン</t>
    </rPh>
    <rPh sb="16" eb="18">
      <t>タイスウ</t>
    </rPh>
    <phoneticPr fontId="1"/>
  </si>
  <si>
    <t>50分の部分のデータなしで</t>
    <rPh sb="2" eb="3">
      <t>プン</t>
    </rPh>
    <rPh sb="4" eb="6">
      <t>ブブン</t>
    </rPh>
    <phoneticPr fontId="1"/>
  </si>
  <si>
    <t>表6．血中コンパートメントの測定結果（実験2）</t>
    <rPh sb="0" eb="1">
      <t>ヒョウ</t>
    </rPh>
    <rPh sb="3" eb="5">
      <t>ケッチュウ</t>
    </rPh>
    <rPh sb="14" eb="16">
      <t>ソクテイ</t>
    </rPh>
    <rPh sb="16" eb="18">
      <t>ケッカ</t>
    </rPh>
    <rPh sb="19" eb="21">
      <t>ジッケン</t>
    </rPh>
    <phoneticPr fontId="1"/>
  </si>
  <si>
    <t>表2．血中コンパートメントの測定結果（実験１）</t>
    <rPh sb="0" eb="1">
      <t>ヒョウ</t>
    </rPh>
    <rPh sb="3" eb="5">
      <t>ケッチュウ</t>
    </rPh>
    <rPh sb="14" eb="16">
      <t>ソクテイ</t>
    </rPh>
    <rPh sb="16" eb="18">
      <t>ケッカ</t>
    </rPh>
    <rPh sb="19" eb="21">
      <t>ジッケン</t>
    </rPh>
    <phoneticPr fontId="1"/>
  </si>
  <si>
    <t>ke=0.0732</t>
    <phoneticPr fontId="1"/>
  </si>
  <si>
    <t>D(mg)</t>
    <phoneticPr fontId="1"/>
  </si>
  <si>
    <t>Dとは薬物投与量のこと</t>
    <rPh sb="3" eb="5">
      <t>ヤクブツ</t>
    </rPh>
    <rPh sb="5" eb="7">
      <t>トウヨ</t>
    </rPh>
    <rPh sb="7" eb="8">
      <t>リョウ</t>
    </rPh>
    <phoneticPr fontId="1"/>
  </si>
  <si>
    <t>ke=0.04</t>
    <phoneticPr fontId="1"/>
  </si>
  <si>
    <t>A(4倍希釈)</t>
    <rPh sb="3" eb="4">
      <t>バイ</t>
    </rPh>
    <rPh sb="4" eb="6">
      <t>キシャク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</si>
</sst>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00"/>
    <numFmt numFmtId="177" formatCode="0.000_ "/>
    <numFmt numFmtId="178" formatCode="0.0_ "/>
    <numFmt numFmtId="179" formatCode="0.0000_ "/>
    <numFmt numFmtId="180" formatCode="0.00000_ "/>
    <numFmt numFmtId="181" formatCode="0.000_);[Red]\(0.000\)"/>
    <numFmt numFmtId="182" formatCode="0.000"/>
    <numFmt numFmtId="183" formatCode="0.0000_);[Red]\(0.0000\)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/>
      <top/>
      <bottom/>
      <diagonal style="thin">
        <color auto="1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21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top" wrapText="1"/>
    </xf>
    <xf numFmtId="56" fontId="0" fillId="0" borderId="0" xfId="0" applyNumberForma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77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77" fontId="0" fillId="0" borderId="22" xfId="0" applyNumberFormat="1" applyBorder="1" applyAlignment="1">
      <alignment horizontal="center" vertical="center"/>
    </xf>
    <xf numFmtId="177" fontId="0" fillId="0" borderId="21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77" fontId="0" fillId="0" borderId="24" xfId="0" applyNumberFormat="1" applyBorder="1" applyAlignment="1">
      <alignment horizontal="center" vertical="center"/>
    </xf>
    <xf numFmtId="177" fontId="0" fillId="0" borderId="25" xfId="0" applyNumberFormat="1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178" fontId="0" fillId="0" borderId="2" xfId="0" applyNumberFormat="1" applyBorder="1">
      <alignment vertical="center"/>
    </xf>
    <xf numFmtId="179" fontId="0" fillId="0" borderId="2" xfId="0" applyNumberFormat="1" applyBorder="1">
      <alignment vertical="center"/>
    </xf>
    <xf numFmtId="177" fontId="0" fillId="0" borderId="2" xfId="0" applyNumberFormat="1" applyBorder="1">
      <alignment vertic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56" fontId="0" fillId="0" borderId="9" xfId="0" applyNumberFormat="1" applyBorder="1" applyAlignment="1">
      <alignment horizontal="center" vertical="center"/>
    </xf>
    <xf numFmtId="56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80" fontId="0" fillId="0" borderId="2" xfId="0" applyNumberFormat="1" applyBorder="1">
      <alignment vertical="center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81" fontId="0" fillId="0" borderId="2" xfId="0" applyNumberFormat="1" applyBorder="1" applyAlignment="1">
      <alignment horizontal="center" vertical="center"/>
    </xf>
    <xf numFmtId="181" fontId="0" fillId="0" borderId="20" xfId="0" applyNumberFormat="1" applyFill="1" applyBorder="1" applyAlignment="1">
      <alignment horizontal="center" vertical="center"/>
    </xf>
    <xf numFmtId="0" fontId="0" fillId="0" borderId="0" xfId="0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182" fontId="0" fillId="0" borderId="0" xfId="0" applyNumberFormat="1">
      <alignment vertical="center"/>
    </xf>
    <xf numFmtId="182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77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7" fontId="0" fillId="0" borderId="2" xfId="0" applyNumberFormat="1" applyFill="1" applyBorder="1" applyAlignment="1">
      <alignment horizontal="center" vertical="center"/>
    </xf>
    <xf numFmtId="182" fontId="0" fillId="0" borderId="2" xfId="0" applyNumberForma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181" fontId="0" fillId="0" borderId="12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81" fontId="0" fillId="0" borderId="30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0" fontId="0" fillId="0" borderId="27" xfId="0" applyBorder="1">
      <alignment vertical="center"/>
    </xf>
    <xf numFmtId="177" fontId="0" fillId="0" borderId="2" xfId="0" applyNumberFormat="1" applyBorder="1" applyAlignment="1">
      <alignment vertical="center"/>
    </xf>
    <xf numFmtId="183" fontId="0" fillId="0" borderId="2" xfId="0" applyNumberFormat="1" applyBorder="1">
      <alignment vertical="center"/>
    </xf>
    <xf numFmtId="176" fontId="0" fillId="0" borderId="10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0" fontId="0" fillId="0" borderId="32" xfId="0" applyFill="1" applyBorder="1" applyAlignment="1">
      <alignment horizontal="center" vertical="top" wrapText="1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176" fontId="0" fillId="0" borderId="2" xfId="0" applyNumberFormat="1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0" fillId="0" borderId="29" xfId="0" applyFill="1" applyBorder="1" applyAlignment="1">
      <alignment horizontal="center" vertical="center"/>
    </xf>
    <xf numFmtId="177" fontId="0" fillId="0" borderId="27" xfId="0" applyNumberFormat="1" applyFill="1" applyBorder="1" applyAlignment="1">
      <alignment horizontal="center" vertical="center"/>
    </xf>
    <xf numFmtId="177" fontId="0" fillId="0" borderId="37" xfId="0" applyNumberFormat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血中コンパートメント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3623140857392826E-2"/>
                  <c:y val="-0.252034849810440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実験1!$A$22:$A$28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実験1!$B$22:$B$28</c:f>
              <c:numCache>
                <c:formatCode>0.000_ </c:formatCode>
                <c:ptCount val="7"/>
                <c:pt idx="0" formatCode="General">
                  <c:v>1.3029999999999999</c:v>
                </c:pt>
                <c:pt idx="1">
                  <c:v>1.0960000000000001</c:v>
                </c:pt>
                <c:pt idx="2">
                  <c:v>0.83599999999999997</c:v>
                </c:pt>
                <c:pt idx="3">
                  <c:v>0.42799999999999999</c:v>
                </c:pt>
                <c:pt idx="4">
                  <c:v>-0.32900000000000001</c:v>
                </c:pt>
                <c:pt idx="5">
                  <c:v>-0.72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DB-4BB0-8B15-C29ACB32C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776496"/>
        <c:axId val="574648536"/>
      </c:scatterChart>
      <c:valAx>
        <c:axId val="58177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  <a:r>
                  <a:rPr lang="en-US" altLang="ja-JP"/>
                  <a:t>(min)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4648536"/>
        <c:crosses val="autoZero"/>
        <c:crossBetween val="midCat"/>
      </c:valAx>
      <c:valAx>
        <c:axId val="57464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濃度 </a:t>
                </a:r>
                <a:r>
                  <a:rPr lang="en-US" altLang="ja-JP"/>
                  <a:t>lnC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77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シグママイナスプロット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実験1!$O$4:$O$8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実験1!$P$4:$P$8</c:f>
              <c:numCache>
                <c:formatCode>General</c:formatCode>
                <c:ptCount val="5"/>
                <c:pt idx="0">
                  <c:v>-0.54962651394615858</c:v>
                </c:pt>
                <c:pt idx="1">
                  <c:v>-0.81013353365217522</c:v>
                </c:pt>
                <c:pt idx="2">
                  <c:v>-1.35340647858878</c:v>
                </c:pt>
                <c:pt idx="3">
                  <c:v>-2.0565691212199018</c:v>
                </c:pt>
                <c:pt idx="4">
                  <c:v>-3.1866990931729737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84-4F50-93E4-7F43CA45D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173784"/>
        <c:axId val="535171816"/>
      </c:scatterChart>
      <c:valAx>
        <c:axId val="535173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時間（</a:t>
                </a:r>
                <a:r>
                  <a:rPr lang="en-US" altLang="ja-JP"/>
                  <a:t>min)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5171816"/>
        <c:crosses val="autoZero"/>
        <c:crossBetween val="midCat"/>
      </c:valAx>
      <c:valAx>
        <c:axId val="53517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未排泄量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5173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ログレートプロット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2270918965318"/>
          <c:y val="0.20106481481481481"/>
          <c:w val="0.83955083444758083"/>
          <c:h val="0.705053846361988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654855643044616E-2"/>
                  <c:y val="-0.15754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実験1!$R$5:$R$9</c:f>
              <c:numCache>
                <c:formatCode>General</c:formatCode>
                <c:ptCount val="5"/>
                <c:pt idx="0">
                  <c:v>2.5</c:v>
                </c:pt>
                <c:pt idx="1">
                  <c:v>7.5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</c:numCache>
            </c:numRef>
          </c:xVal>
          <c:yVal>
            <c:numRef>
              <c:f>実験1!$S$5:$S$9</c:f>
              <c:numCache>
                <c:formatCode>General</c:formatCode>
                <c:ptCount val="5"/>
                <c:pt idx="0">
                  <c:v>-3.4493293624817776</c:v>
                </c:pt>
                <c:pt idx="1">
                  <c:v>-3.6316173419471416</c:v>
                </c:pt>
                <c:pt idx="2">
                  <c:v>-3.9822309004716425</c:v>
                </c:pt>
                <c:pt idx="3">
                  <c:v>-4.3392226056823162</c:v>
                </c:pt>
                <c:pt idx="4">
                  <c:v>-4.7492253309833377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AC-4727-A29A-FCE3CE9C4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98472"/>
        <c:axId val="176704952"/>
      </c:scatterChart>
      <c:valAx>
        <c:axId val="172898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  <a:r>
                  <a:rPr lang="en-US" altLang="ja-JP"/>
                  <a:t>(min)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704952"/>
        <c:crosses val="autoZero"/>
        <c:crossBetween val="midCat"/>
      </c:valAx>
      <c:valAx>
        <c:axId val="17670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排泄速度</a:t>
                </a:r>
                <a:r>
                  <a:rPr lang="ja-JP" altLang="en-US" baseline="0"/>
                  <a:t> </a:t>
                </a:r>
                <a:r>
                  <a:rPr lang="en-US" altLang="ja-JP"/>
                  <a:t>ln(dXu/dt)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898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血中コンパートメント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7761592300962384E-2"/>
          <c:y val="0.14550925925925925"/>
          <c:w val="0.8762384076990376"/>
          <c:h val="0.7480092592592592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実験2!$N$14:$N$23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</c:numCache>
            </c:numRef>
          </c:xVal>
          <c:yVal>
            <c:numRef>
              <c:f>実験2!$O$14:$O$23</c:f>
              <c:numCache>
                <c:formatCode>General</c:formatCode>
                <c:ptCount val="10"/>
                <c:pt idx="0">
                  <c:v>-1.4271163556401458</c:v>
                </c:pt>
                <c:pt idx="1">
                  <c:v>0.65232518603969014</c:v>
                </c:pt>
                <c:pt idx="2">
                  <c:v>0.94778939893352609</c:v>
                </c:pt>
                <c:pt idx="3">
                  <c:v>1.2753628004126092</c:v>
                </c:pt>
                <c:pt idx="4">
                  <c:v>1.2565652544451067</c:v>
                </c:pt>
                <c:pt idx="5">
                  <c:v>1.1919002230916669</c:v>
                </c:pt>
                <c:pt idx="6">
                  <c:v>0.87546873735389985</c:v>
                </c:pt>
                <c:pt idx="7">
                  <c:v>0.50279345206872639</c:v>
                </c:pt>
                <c:pt idx="8">
                  <c:v>0.17114825619582946</c:v>
                </c:pt>
                <c:pt idx="9">
                  <c:v>-0.52200000000000002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A8-4039-8A48-6A73C666563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20"/>
            <c:dispRSqr val="1"/>
            <c:dispEq val="1"/>
            <c:trendlineLbl>
              <c:layout>
                <c:manualLayout>
                  <c:x val="7.3871391076115483E-2"/>
                  <c:y val="0.164621245261009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実験2!$N$19:$N$23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</c:numCache>
            </c:numRef>
          </c:xVal>
          <c:yVal>
            <c:numRef>
              <c:f>実験2!$O$19:$O$23</c:f>
              <c:numCache>
                <c:formatCode>General</c:formatCode>
                <c:ptCount val="5"/>
                <c:pt idx="0">
                  <c:v>1.1919002230916669</c:v>
                </c:pt>
                <c:pt idx="1">
                  <c:v>0.87546873735389985</c:v>
                </c:pt>
                <c:pt idx="2">
                  <c:v>0.50279345206872639</c:v>
                </c:pt>
                <c:pt idx="3">
                  <c:v>0.17114825619582946</c:v>
                </c:pt>
                <c:pt idx="4">
                  <c:v>-0.52200000000000002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1A8-4039-8A48-6A73C6665633}"/>
            </c:ext>
          </c:extLst>
        </c:ser>
        <c:ser>
          <c:idx val="2"/>
          <c:order val="2"/>
          <c:tx>
            <c:strRef>
              <c:f>実験2!$Q$5:$Q$9</c:f>
              <c:strCache>
                <c:ptCount val="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実験2!$Q$5:$Q$9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xVal>
          <c:yVal>
            <c:numRef>
              <c:f>実験2!$R$17:$R$21</c:f>
              <c:numCache>
                <c:formatCode>0.000_ </c:formatCode>
                <c:ptCount val="5"/>
                <c:pt idx="0">
                  <c:v>3.4648764501522074</c:v>
                </c:pt>
                <c:pt idx="1">
                  <c:v>1.4713158441437488</c:v>
                </c:pt>
                <c:pt idx="2">
                  <c:v>1.1880543032424282</c:v>
                </c:pt>
                <c:pt idx="3">
                  <c:v>0.87400968324443151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1A8-4039-8A48-6A73C6665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805656"/>
        <c:axId val="822799752"/>
      </c:scatterChart>
      <c:valAx>
        <c:axId val="822805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時間（</a:t>
                </a:r>
                <a:r>
                  <a:rPr lang="en-US" altLang="ja-JP"/>
                  <a:t>min)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2799752"/>
        <c:crosses val="autoZero"/>
        <c:crossBetween val="midCat"/>
      </c:valAx>
      <c:valAx>
        <c:axId val="82279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lnC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2805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血中コンパートメント（棄却版）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実験2!$A$4:$A$13</c:f>
              <c:numCache>
                <c:formatCode>General</c:formatCode>
                <c:ptCount val="10"/>
              </c:numCache>
            </c:numRef>
          </c:xVal>
          <c:yVal>
            <c:numRef>
              <c:f>実験2!$D$4:$D$13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94-44DD-A031-5E2A9258F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027528"/>
        <c:axId val="576024904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40"/>
            <c:dispRSqr val="1"/>
            <c:dispEq val="1"/>
            <c:trendlineLbl>
              <c:layout>
                <c:manualLayout>
                  <c:x val="2.1093613298337709E-2"/>
                  <c:y val="-0.208395304753572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実験2!$A$11:$A$13</c:f>
              <c:numCache>
                <c:formatCode>General</c:formatCode>
                <c:ptCount val="3"/>
              </c:numCache>
            </c:numRef>
          </c:xVal>
          <c:yVal>
            <c:numRef>
              <c:f>実験2!$D$11:$D$13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94-44DD-A031-5E2A9258F9C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10"/>
            <c:backward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実験2!$A$5:$A$8</c:f>
              <c:numCache>
                <c:formatCode>General</c:formatCode>
                <c:ptCount val="4"/>
              </c:numCache>
            </c:numRef>
          </c:xVal>
          <c:yVal>
            <c:numRef>
              <c:f>実験2!$E$5:$E$8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94-44DD-A031-5E2A9258F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027528"/>
        <c:axId val="576024904"/>
      </c:scatterChart>
      <c:valAx>
        <c:axId val="57602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  <a:r>
                  <a:rPr lang="en-US" altLang="ja-JP"/>
                  <a:t>(min)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024904"/>
        <c:crosses val="autoZero"/>
        <c:crossBetween val="midCat"/>
      </c:valAx>
      <c:valAx>
        <c:axId val="57602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濃度 </a:t>
                </a:r>
                <a:r>
                  <a:rPr lang="en-US" altLang="ja-JP"/>
                  <a:t>lnC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02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20</xdr:row>
      <xdr:rowOff>219074</xdr:rowOff>
    </xdr:from>
    <xdr:to>
      <xdr:col>6</xdr:col>
      <xdr:colOff>500063</xdr:colOff>
      <xdr:row>33</xdr:row>
      <xdr:rowOff>47624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FFB6CA-C172-434C-8409-37747C604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1</xdr:row>
      <xdr:rowOff>83820</xdr:rowOff>
    </xdr:from>
    <xdr:to>
      <xdr:col>6</xdr:col>
      <xdr:colOff>624840</xdr:colOff>
      <xdr:row>13</xdr:row>
      <xdr:rowOff>182880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1C30E684-FE85-4C9C-A58D-B5B094445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152400</xdr:colOff>
      <xdr:row>13</xdr:row>
      <xdr:rowOff>213360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9C5965D7-4326-4BC8-8A12-5356A69AA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134174</xdr:colOff>
      <xdr:row>15</xdr:row>
      <xdr:rowOff>131187</xdr:rowOff>
    </xdr:from>
    <xdr:to>
      <xdr:col>11</xdr:col>
      <xdr:colOff>216244</xdr:colOff>
      <xdr:row>33</xdr:row>
      <xdr:rowOff>10297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696CA80-7BB8-4332-AEFC-4F26A107B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0</xdr:row>
      <xdr:rowOff>190501</xdr:rowOff>
    </xdr:from>
    <xdr:to>
      <xdr:col>7</xdr:col>
      <xdr:colOff>404813</xdr:colOff>
      <xdr:row>13</xdr:row>
      <xdr:rowOff>23813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47145B5-DBE7-4E2F-A8C4-C801084AC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34"/>
  <sheetViews>
    <sheetView topLeftCell="J6" zoomScaleNormal="100" workbookViewId="0">
      <selection activeCell="P23" sqref="P23"/>
    </sheetView>
  </sheetViews>
  <sheetFormatPr defaultRowHeight="18" x14ac:dyDescent="0.45"/>
  <cols>
    <col min="1" max="1" width="13.796875" customWidth="1"/>
    <col min="2" max="3" width="20" customWidth="1"/>
    <col min="4" max="4" width="18.59765625" customWidth="1"/>
    <col min="6" max="7" width="10" customWidth="1"/>
    <col min="8" max="8" width="14.19921875" customWidth="1"/>
    <col min="9" max="10" width="10" customWidth="1"/>
    <col min="11" max="11" width="13.5" customWidth="1"/>
    <col min="12" max="13" width="10" customWidth="1"/>
    <col min="16" max="16" width="12.09765625" customWidth="1"/>
    <col min="19" max="19" width="15.69921875" customWidth="1"/>
  </cols>
  <sheetData>
    <row r="2" spans="1:19" ht="18.600000000000001" thickBot="1" x14ac:dyDescent="0.5">
      <c r="A2" s="84" t="s">
        <v>58</v>
      </c>
      <c r="B2" s="84"/>
      <c r="C2" s="84"/>
      <c r="D2" s="1"/>
      <c r="F2" s="85" t="s">
        <v>15</v>
      </c>
      <c r="G2" s="85"/>
      <c r="H2" s="85"/>
      <c r="I2" s="85"/>
      <c r="J2" s="85"/>
      <c r="K2" s="85"/>
      <c r="L2" s="85"/>
      <c r="M2" s="85"/>
    </row>
    <row r="3" spans="1:19" ht="37.5" customHeight="1" x14ac:dyDescent="0.45">
      <c r="A3" s="8" t="s">
        <v>0</v>
      </c>
      <c r="B3" s="9" t="s">
        <v>1</v>
      </c>
      <c r="C3" s="18" t="s">
        <v>2</v>
      </c>
      <c r="D3" s="22" t="s">
        <v>34</v>
      </c>
      <c r="F3" s="37" t="s">
        <v>18</v>
      </c>
      <c r="G3" s="38" t="s">
        <v>16</v>
      </c>
      <c r="H3" s="38" t="s">
        <v>17</v>
      </c>
      <c r="I3" s="38" t="s">
        <v>19</v>
      </c>
      <c r="J3" s="38" t="s">
        <v>22</v>
      </c>
      <c r="K3" s="38" t="s">
        <v>21</v>
      </c>
      <c r="L3" s="38" t="s">
        <v>20</v>
      </c>
      <c r="M3" s="39" t="s">
        <v>23</v>
      </c>
      <c r="O3" s="6" t="s">
        <v>18</v>
      </c>
      <c r="P3" s="76" t="s">
        <v>55</v>
      </c>
      <c r="R3" t="s">
        <v>44</v>
      </c>
      <c r="S3" s="2" t="s">
        <v>35</v>
      </c>
    </row>
    <row r="4" spans="1:19" x14ac:dyDescent="0.45">
      <c r="A4" s="10">
        <v>5</v>
      </c>
      <c r="B4" s="59">
        <v>0.44890000000000002</v>
      </c>
      <c r="C4" s="19">
        <f t="shared" ref="C4:C10" si="0">B4/0.15</f>
        <v>2.992666666666667</v>
      </c>
      <c r="D4" s="12">
        <f>LN(C4)</f>
        <v>1.0961648516916309</v>
      </c>
      <c r="F4" s="32" t="s">
        <v>24</v>
      </c>
      <c r="G4" s="33" t="s">
        <v>25</v>
      </c>
      <c r="H4" s="33" t="s">
        <v>26</v>
      </c>
      <c r="I4" s="33" t="s">
        <v>27</v>
      </c>
      <c r="J4" s="33" t="s">
        <v>28</v>
      </c>
      <c r="K4" s="33" t="s">
        <v>29</v>
      </c>
      <c r="L4" s="33" t="s">
        <v>30</v>
      </c>
      <c r="M4" s="34" t="s">
        <v>28</v>
      </c>
      <c r="O4" s="83">
        <v>5</v>
      </c>
      <c r="P4" s="77">
        <f t="shared" ref="P4:P9" si="1">LN(M5)</f>
        <v>-0.54962651394615858</v>
      </c>
    </row>
    <row r="5" spans="1:19" x14ac:dyDescent="0.45">
      <c r="A5" s="10">
        <v>10</v>
      </c>
      <c r="B5" s="11">
        <v>0.34589999999999999</v>
      </c>
      <c r="C5" s="19">
        <f t="shared" si="0"/>
        <v>2.306</v>
      </c>
      <c r="D5" s="12">
        <f t="shared" ref="D5:D10" si="2">LN(C5)</f>
        <v>0.83551442184686731</v>
      </c>
      <c r="F5" s="10">
        <v>5</v>
      </c>
      <c r="G5" s="11">
        <v>0.50800000000000001</v>
      </c>
      <c r="H5" s="35">
        <f>G5/0.15</f>
        <v>3.3866666666666667</v>
      </c>
      <c r="I5" s="35">
        <f>D15*0.001</f>
        <v>4.6900000000000004E-2</v>
      </c>
      <c r="J5" s="35">
        <f>H5*I5</f>
        <v>0.15883466666666668</v>
      </c>
      <c r="K5" s="35">
        <f>J5/5</f>
        <v>3.1766933333333337E-2</v>
      </c>
      <c r="L5" s="35">
        <f>J5</f>
        <v>0.15883466666666668</v>
      </c>
      <c r="M5" s="74">
        <f>$C$10*0.2-L5</f>
        <v>0.57716533333333353</v>
      </c>
      <c r="O5" s="83">
        <v>10</v>
      </c>
      <c r="P5" s="77">
        <f t="shared" si="1"/>
        <v>-0.81013353365217522</v>
      </c>
      <c r="R5">
        <v>2.5</v>
      </c>
      <c r="S5">
        <f>LN(K5)</f>
        <v>-3.4493293624817776</v>
      </c>
    </row>
    <row r="6" spans="1:19" x14ac:dyDescent="0.45">
      <c r="A6" s="10">
        <v>20</v>
      </c>
      <c r="B6" s="11">
        <v>0.23019999999999999</v>
      </c>
      <c r="C6" s="19">
        <f t="shared" si="0"/>
        <v>1.5346666666666666</v>
      </c>
      <c r="D6" s="12">
        <f t="shared" si="2"/>
        <v>0.42831320219152647</v>
      </c>
      <c r="F6" s="56">
        <v>10</v>
      </c>
      <c r="G6" s="11">
        <v>0.41799999999999998</v>
      </c>
      <c r="H6" s="35">
        <f t="shared" ref="H6:H10" si="3">G6/0.15</f>
        <v>2.7866666666666666</v>
      </c>
      <c r="I6" s="35">
        <f t="shared" ref="I6:I10" si="4">D16*0.001</f>
        <v>4.7500000000000001E-2</v>
      </c>
      <c r="J6" s="35">
        <f t="shared" ref="J6:J10" si="5">H6*I6</f>
        <v>0.13236666666666666</v>
      </c>
      <c r="K6" s="35">
        <f>J6/5</f>
        <v>2.6473333333333331E-2</v>
      </c>
      <c r="L6" s="35">
        <f>L5+J6</f>
        <v>0.29120133333333331</v>
      </c>
      <c r="M6" s="74">
        <f t="shared" ref="M6:M10" si="6">$C$10*0.2-L6</f>
        <v>0.4447986666666669</v>
      </c>
      <c r="O6" s="83">
        <v>20</v>
      </c>
      <c r="P6" s="77">
        <f t="shared" si="1"/>
        <v>-1.35340647858878</v>
      </c>
      <c r="R6">
        <v>7.5</v>
      </c>
      <c r="S6">
        <f t="shared" ref="S6:S10" si="7">LN(K6)</f>
        <v>-3.6316173419471416</v>
      </c>
    </row>
    <row r="7" spans="1:19" x14ac:dyDescent="0.45">
      <c r="A7" s="10">
        <v>30</v>
      </c>
      <c r="B7" s="11">
        <v>0.108</v>
      </c>
      <c r="C7" s="19">
        <f t="shared" si="0"/>
        <v>0.72</v>
      </c>
      <c r="D7" s="12">
        <f t="shared" si="2"/>
        <v>-0.3285040669720361</v>
      </c>
      <c r="F7" s="56">
        <v>20</v>
      </c>
      <c r="G7" s="11">
        <v>0.29499999999999998</v>
      </c>
      <c r="H7" s="35">
        <f t="shared" si="3"/>
        <v>1.9666666666666666</v>
      </c>
      <c r="I7" s="35">
        <f t="shared" si="4"/>
        <v>9.4800000000000009E-2</v>
      </c>
      <c r="J7" s="35">
        <f t="shared" si="5"/>
        <v>0.18643999999999999</v>
      </c>
      <c r="K7" s="35">
        <f>J7/10</f>
        <v>1.8644000000000001E-2</v>
      </c>
      <c r="L7" s="35">
        <f t="shared" ref="L7:L10" si="8">L6+J7</f>
        <v>0.47764133333333331</v>
      </c>
      <c r="M7" s="74">
        <f t="shared" si="6"/>
        <v>0.2583586666666669</v>
      </c>
      <c r="O7" s="83">
        <v>30</v>
      </c>
      <c r="P7" s="77">
        <f t="shared" si="1"/>
        <v>-2.0565691212199018</v>
      </c>
      <c r="R7">
        <v>15</v>
      </c>
      <c r="S7">
        <f t="shared" si="7"/>
        <v>-3.9822309004716425</v>
      </c>
    </row>
    <row r="8" spans="1:19" x14ac:dyDescent="0.45">
      <c r="A8" s="10">
        <v>40</v>
      </c>
      <c r="B8" s="11">
        <v>7.2999999999999995E-2</v>
      </c>
      <c r="C8" s="19">
        <f t="shared" si="0"/>
        <v>0.48666666666666664</v>
      </c>
      <c r="D8" s="12">
        <f t="shared" si="2"/>
        <v>-0.72017585294786468</v>
      </c>
      <c r="F8" s="56">
        <v>30</v>
      </c>
      <c r="G8" s="11">
        <v>0.20599999999999999</v>
      </c>
      <c r="H8" s="35">
        <f t="shared" si="3"/>
        <v>1.3733333333333333</v>
      </c>
      <c r="I8" s="35">
        <f t="shared" si="4"/>
        <v>9.5000000000000001E-2</v>
      </c>
      <c r="J8" s="35">
        <f t="shared" si="5"/>
        <v>0.13046666666666668</v>
      </c>
      <c r="K8" s="35">
        <f t="shared" ref="K8:K10" si="9">J8/10</f>
        <v>1.3046666666666668E-2</v>
      </c>
      <c r="L8" s="35">
        <f t="shared" si="8"/>
        <v>0.60810799999999998</v>
      </c>
      <c r="M8" s="74">
        <f t="shared" si="6"/>
        <v>0.12789200000000023</v>
      </c>
      <c r="O8" s="83">
        <v>40</v>
      </c>
      <c r="P8" s="77">
        <f t="shared" si="1"/>
        <v>-3.1866990931729737</v>
      </c>
      <c r="R8">
        <v>25</v>
      </c>
      <c r="S8">
        <f t="shared" si="7"/>
        <v>-4.3392226056823162</v>
      </c>
    </row>
    <row r="9" spans="1:19" ht="18.600000000000001" thickBot="1" x14ac:dyDescent="0.5">
      <c r="A9" s="13">
        <v>50</v>
      </c>
      <c r="B9" s="14">
        <v>3.5000000000000003E-2</v>
      </c>
      <c r="C9" s="20">
        <f t="shared" si="0"/>
        <v>0.23333333333333336</v>
      </c>
      <c r="D9" s="21">
        <f t="shared" si="2"/>
        <v>-1.455287232606842</v>
      </c>
      <c r="F9" s="56">
        <v>40</v>
      </c>
      <c r="G9" s="11">
        <v>0.13700000000000001</v>
      </c>
      <c r="H9" s="35">
        <f t="shared" si="3"/>
        <v>0.91333333333333344</v>
      </c>
      <c r="I9" s="35">
        <f t="shared" si="4"/>
        <v>9.4799999999999995E-2</v>
      </c>
      <c r="J9" s="35">
        <f t="shared" si="5"/>
        <v>8.6584000000000008E-2</v>
      </c>
      <c r="K9" s="35">
        <f t="shared" si="9"/>
        <v>8.6584000000000001E-3</v>
      </c>
      <c r="L9" s="35">
        <f t="shared" si="8"/>
        <v>0.69469199999999998</v>
      </c>
      <c r="M9" s="74">
        <f t="shared" si="6"/>
        <v>4.1308000000000233E-2</v>
      </c>
      <c r="O9" s="83">
        <v>50</v>
      </c>
      <c r="P9" s="78" t="e">
        <f t="shared" si="1"/>
        <v>#NUM!</v>
      </c>
      <c r="R9">
        <v>35</v>
      </c>
      <c r="S9">
        <f t="shared" si="7"/>
        <v>-4.7492253309833377</v>
      </c>
    </row>
    <row r="10" spans="1:19" ht="18.600000000000001" thickBot="1" x14ac:dyDescent="0.5">
      <c r="A10" s="15" t="s">
        <v>3</v>
      </c>
      <c r="B10" s="16">
        <v>0.55200000000000005</v>
      </c>
      <c r="C10" s="16">
        <f t="shared" si="0"/>
        <v>3.6800000000000006</v>
      </c>
      <c r="D10" s="17">
        <f t="shared" si="2"/>
        <v>1.3029127521808397</v>
      </c>
      <c r="F10" s="57"/>
      <c r="G10" s="55"/>
      <c r="H10" s="36"/>
      <c r="I10" s="36"/>
      <c r="J10" s="36"/>
      <c r="K10" s="36"/>
      <c r="L10" s="36"/>
      <c r="M10" s="75"/>
      <c r="R10">
        <v>45</v>
      </c>
      <c r="S10" t="e">
        <f t="shared" si="7"/>
        <v>#NUM!</v>
      </c>
    </row>
    <row r="11" spans="1:19" x14ac:dyDescent="0.45">
      <c r="A11" s="54" t="s">
        <v>49</v>
      </c>
      <c r="B11" s="53">
        <v>-0.13200000000000001</v>
      </c>
      <c r="C11" s="53"/>
      <c r="D11" s="53"/>
      <c r="H11" t="s">
        <v>56</v>
      </c>
    </row>
    <row r="12" spans="1:19" s="47" customFormat="1" x14ac:dyDescent="0.45">
      <c r="B12" s="53"/>
      <c r="C12" s="53"/>
      <c r="D12" s="53"/>
      <c r="E12"/>
    </row>
    <row r="13" spans="1:19" ht="18.600000000000001" thickBot="1" x14ac:dyDescent="0.5">
      <c r="A13" s="85" t="s">
        <v>4</v>
      </c>
      <c r="B13" s="85"/>
      <c r="C13" s="85"/>
      <c r="D13" s="85"/>
      <c r="F13" s="57">
        <v>50</v>
      </c>
      <c r="G13" s="55">
        <v>0.108</v>
      </c>
      <c r="H13" s="36">
        <f t="shared" ref="H13" si="10">G13/0.15</f>
        <v>0.72</v>
      </c>
      <c r="I13" s="36">
        <f t="shared" ref="I13" si="11">D23*0.001</f>
        <v>0</v>
      </c>
      <c r="J13" s="36">
        <f t="shared" ref="J13" si="12">H13*I13</f>
        <v>0</v>
      </c>
      <c r="K13" s="36">
        <f t="shared" ref="K13" si="13">J13/10</f>
        <v>0</v>
      </c>
      <c r="L13" s="36">
        <f t="shared" ref="L13" si="14">L12+J13</f>
        <v>0</v>
      </c>
      <c r="M13" s="75">
        <f t="shared" ref="M13" si="15">$C$10*0.2-L13</f>
        <v>0.73600000000000021</v>
      </c>
    </row>
    <row r="14" spans="1:19" ht="36" x14ac:dyDescent="0.45">
      <c r="A14" s="8" t="s">
        <v>5</v>
      </c>
      <c r="B14" s="26" t="s">
        <v>6</v>
      </c>
      <c r="C14" s="26" t="s">
        <v>7</v>
      </c>
      <c r="D14" s="27" t="s">
        <v>8</v>
      </c>
      <c r="J14" s="47"/>
      <c r="K14" s="47"/>
      <c r="O14" s="28" t="s">
        <v>42</v>
      </c>
      <c r="P14" s="41" t="s">
        <v>43</v>
      </c>
      <c r="R14" s="41" t="s">
        <v>46</v>
      </c>
      <c r="S14" s="42" t="s">
        <v>45</v>
      </c>
    </row>
    <row r="15" spans="1:19" x14ac:dyDescent="0.45">
      <c r="A15" s="10" t="s">
        <v>9</v>
      </c>
      <c r="B15" s="28">
        <v>73.5</v>
      </c>
      <c r="C15" s="28">
        <v>120.4</v>
      </c>
      <c r="D15" s="48">
        <f>C15-B15</f>
        <v>46.900000000000006</v>
      </c>
      <c r="F15" s="1" t="s">
        <v>31</v>
      </c>
      <c r="G15" s="1" t="s">
        <v>32</v>
      </c>
      <c r="H15">
        <v>10</v>
      </c>
      <c r="O15" s="28">
        <v>5</v>
      </c>
      <c r="P15" s="28">
        <v>-0.40405610122474406</v>
      </c>
      <c r="R15" s="28">
        <v>2.5</v>
      </c>
      <c r="S15" s="28">
        <v>-3.0516961070715665</v>
      </c>
    </row>
    <row r="16" spans="1:19" x14ac:dyDescent="0.45">
      <c r="A16" s="29" t="s">
        <v>10</v>
      </c>
      <c r="B16" s="28">
        <v>74.2</v>
      </c>
      <c r="C16" s="28">
        <v>121.7</v>
      </c>
      <c r="D16" s="48">
        <f t="shared" ref="D16:D20" si="16">C16-B16</f>
        <v>47.5</v>
      </c>
      <c r="G16" t="s">
        <v>33</v>
      </c>
      <c r="H16" s="50">
        <v>0.01</v>
      </c>
      <c r="O16" s="28">
        <v>10</v>
      </c>
      <c r="P16" s="28">
        <v>-0.68711209504577375</v>
      </c>
      <c r="R16" s="28">
        <v>7.5</v>
      </c>
      <c r="S16" s="28">
        <v>-3.4137964172386703</v>
      </c>
    </row>
    <row r="17" spans="1:19" x14ac:dyDescent="0.45">
      <c r="A17" s="29" t="s">
        <v>11</v>
      </c>
      <c r="B17" s="28">
        <v>67.099999999999994</v>
      </c>
      <c r="C17" s="28">
        <v>161.9</v>
      </c>
      <c r="D17" s="48">
        <f t="shared" si="16"/>
        <v>94.800000000000011</v>
      </c>
      <c r="O17" s="28">
        <v>20</v>
      </c>
      <c r="P17" s="28">
        <v>-1.2864610925879809</v>
      </c>
      <c r="R17" s="28">
        <v>15</v>
      </c>
      <c r="S17" s="28">
        <v>-3.7863599874324887</v>
      </c>
    </row>
    <row r="18" spans="1:19" x14ac:dyDescent="0.45">
      <c r="A18" s="29" t="s">
        <v>12</v>
      </c>
      <c r="B18" s="28">
        <v>72</v>
      </c>
      <c r="C18" s="52">
        <v>167</v>
      </c>
      <c r="D18" s="48">
        <f t="shared" si="16"/>
        <v>95</v>
      </c>
      <c r="F18" s="83" t="s">
        <v>47</v>
      </c>
      <c r="G18" s="83"/>
      <c r="H18" s="83"/>
      <c r="O18" s="28">
        <v>30</v>
      </c>
      <c r="P18" s="28">
        <v>-1.8385576187766937</v>
      </c>
      <c r="R18" s="28">
        <v>25</v>
      </c>
      <c r="S18" s="28">
        <v>-4.446458494833271</v>
      </c>
    </row>
    <row r="19" spans="1:19" x14ac:dyDescent="0.45">
      <c r="A19" s="29" t="s">
        <v>13</v>
      </c>
      <c r="B19" s="28">
        <v>72.8</v>
      </c>
      <c r="C19" s="28">
        <v>167.6</v>
      </c>
      <c r="D19" s="48">
        <f t="shared" si="16"/>
        <v>94.8</v>
      </c>
      <c r="F19" s="83" t="s">
        <v>48</v>
      </c>
      <c r="G19" s="83"/>
      <c r="H19" s="83"/>
      <c r="O19" s="28">
        <v>40</v>
      </c>
      <c r="P19" s="28">
        <v>-2.2684026918713727</v>
      </c>
      <c r="R19" s="28">
        <v>35</v>
      </c>
      <c r="S19" s="28">
        <v>-5.1927088816371274</v>
      </c>
    </row>
    <row r="20" spans="1:19" ht="18.600000000000001" thickBot="1" x14ac:dyDescent="0.5">
      <c r="A20" s="30" t="s">
        <v>14</v>
      </c>
      <c r="B20" s="31">
        <v>72.8</v>
      </c>
      <c r="C20" s="31">
        <v>167</v>
      </c>
      <c r="D20" s="49">
        <f t="shared" si="16"/>
        <v>94.2</v>
      </c>
      <c r="O20" s="28">
        <v>50</v>
      </c>
      <c r="P20" s="28">
        <v>-2.5447076109060567</v>
      </c>
      <c r="R20" s="28">
        <v>45</v>
      </c>
      <c r="S20" s="28">
        <v>-5.99221149266904</v>
      </c>
    </row>
    <row r="21" spans="1:19" x14ac:dyDescent="0.45">
      <c r="H21" t="s">
        <v>51</v>
      </c>
      <c r="K21" t="s">
        <v>50</v>
      </c>
    </row>
    <row r="22" spans="1:19" ht="19.2" x14ac:dyDescent="0.45">
      <c r="A22" s="54">
        <v>0</v>
      </c>
      <c r="B22" s="58">
        <v>1.3029999999999999</v>
      </c>
      <c r="C22" s="7"/>
      <c r="D22" s="7"/>
      <c r="H22" s="28" t="s">
        <v>40</v>
      </c>
      <c r="I22" s="24">
        <v>5.2200000000000003E-2</v>
      </c>
      <c r="K22" s="28" t="s">
        <v>40</v>
      </c>
      <c r="L22" s="24">
        <v>7.3200000000000001E-2</v>
      </c>
    </row>
    <row r="23" spans="1:19" ht="19.2" x14ac:dyDescent="0.45">
      <c r="A23" s="10">
        <v>5</v>
      </c>
      <c r="B23" s="12">
        <v>1.0960000000000001</v>
      </c>
      <c r="C23" s="3"/>
      <c r="D23" s="5"/>
      <c r="H23" s="28" t="s">
        <v>39</v>
      </c>
      <c r="I23" s="23">
        <f>LN(2)/I22</f>
        <v>13.278681619922322</v>
      </c>
      <c r="K23" s="28" t="s">
        <v>39</v>
      </c>
      <c r="L23" s="23">
        <f>LN(2)/L22</f>
        <v>9.4692237781413287</v>
      </c>
    </row>
    <row r="24" spans="1:19" x14ac:dyDescent="0.45">
      <c r="A24" s="10">
        <v>10</v>
      </c>
      <c r="B24" s="12">
        <v>0.83599999999999997</v>
      </c>
      <c r="C24" s="3"/>
      <c r="D24" s="3"/>
      <c r="H24" s="28" t="s">
        <v>37</v>
      </c>
      <c r="I24" s="40">
        <f>I22*I26</f>
        <v>1.0440000000000001E-2</v>
      </c>
      <c r="K24" s="28" t="s">
        <v>37</v>
      </c>
      <c r="L24" s="40">
        <f>L22*L26</f>
        <v>1.464E-2</v>
      </c>
    </row>
    <row r="25" spans="1:19" x14ac:dyDescent="0.45">
      <c r="A25" s="10">
        <v>20</v>
      </c>
      <c r="B25" s="12">
        <v>0.42799999999999999</v>
      </c>
      <c r="C25" s="3"/>
      <c r="D25" s="3"/>
      <c r="H25" s="28" t="s">
        <v>38</v>
      </c>
      <c r="I25" s="23">
        <f>I27/I24</f>
        <v>70.498084291187752</v>
      </c>
      <c r="K25" s="28" t="s">
        <v>38</v>
      </c>
      <c r="L25" s="23">
        <f>C10/L22</f>
        <v>50.273224043715857</v>
      </c>
    </row>
    <row r="26" spans="1:19" ht="19.2" x14ac:dyDescent="0.45">
      <c r="A26" s="10">
        <v>30</v>
      </c>
      <c r="B26" s="12">
        <v>-0.32900000000000001</v>
      </c>
      <c r="C26" s="3"/>
      <c r="D26" s="3"/>
      <c r="H26" s="28" t="s">
        <v>41</v>
      </c>
      <c r="I26" s="72">
        <v>0.2</v>
      </c>
      <c r="K26" s="28" t="s">
        <v>41</v>
      </c>
      <c r="L26" s="25">
        <v>0.2</v>
      </c>
    </row>
    <row r="27" spans="1:19" x14ac:dyDescent="0.45">
      <c r="A27" s="10">
        <v>40</v>
      </c>
      <c r="B27" s="12">
        <v>-0.72</v>
      </c>
      <c r="C27" s="3"/>
      <c r="D27" s="3"/>
      <c r="H27" s="61" t="s">
        <v>60</v>
      </c>
      <c r="I27" s="73">
        <f>C10*I26</f>
        <v>0.73600000000000021</v>
      </c>
      <c r="K27" s="61" t="s">
        <v>60</v>
      </c>
      <c r="L27" s="79">
        <f>C10*L26</f>
        <v>0.73600000000000021</v>
      </c>
      <c r="M27" t="s">
        <v>61</v>
      </c>
    </row>
    <row r="28" spans="1:19" ht="18.600000000000001" thickBot="1" x14ac:dyDescent="0.5">
      <c r="A28" s="13"/>
      <c r="B28" s="21"/>
      <c r="C28" s="3"/>
      <c r="D28" s="3"/>
      <c r="K28" s="90"/>
    </row>
    <row r="29" spans="1:19" x14ac:dyDescent="0.45">
      <c r="A29" s="87">
        <v>50</v>
      </c>
      <c r="B29" s="88">
        <v>-1.4550000000000001</v>
      </c>
      <c r="C29" s="3"/>
      <c r="D29" s="3"/>
    </row>
    <row r="30" spans="1:19" x14ac:dyDescent="0.45">
      <c r="A30" s="3"/>
      <c r="B30" s="3"/>
      <c r="C30" s="3"/>
      <c r="D30" s="3"/>
      <c r="H30" t="s">
        <v>54</v>
      </c>
    </row>
    <row r="31" spans="1:19" x14ac:dyDescent="0.45">
      <c r="A31" s="3"/>
      <c r="B31" s="3"/>
      <c r="C31" s="3"/>
      <c r="D31" s="3"/>
    </row>
    <row r="32" spans="1:19" x14ac:dyDescent="0.45">
      <c r="A32" s="3"/>
      <c r="B32" s="3"/>
      <c r="C32" s="3"/>
      <c r="D32" s="3"/>
    </row>
    <row r="33" spans="1:4" x14ac:dyDescent="0.45">
      <c r="A33" s="3"/>
      <c r="B33" s="3"/>
      <c r="C33" s="3"/>
      <c r="D33" s="3"/>
    </row>
    <row r="34" spans="1:4" x14ac:dyDescent="0.45">
      <c r="A34" s="3"/>
      <c r="B34" s="3"/>
      <c r="C34" s="3"/>
      <c r="D34" s="3"/>
    </row>
  </sheetData>
  <mergeCells count="3">
    <mergeCell ref="A2:C2"/>
    <mergeCell ref="F2:M2"/>
    <mergeCell ref="A13:D1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33E06-5BEF-437C-B1EB-8FD3AC575655}">
  <dimension ref="H2:J2"/>
  <sheetViews>
    <sheetView tabSelected="1" workbookViewId="0">
      <selection activeCell="H15" sqref="H15:J15"/>
    </sheetView>
  </sheetViews>
  <sheetFormatPr defaultRowHeight="18" x14ac:dyDescent="0.45"/>
  <cols>
    <col min="8" max="8" width="9.69921875" bestFit="1" customWidth="1"/>
    <col min="9" max="9" width="3.5" customWidth="1"/>
    <col min="10" max="10" width="9.69921875" bestFit="1" customWidth="1"/>
  </cols>
  <sheetData>
    <row r="2" spans="8:10" x14ac:dyDescent="0.45">
      <c r="H2" t="s">
        <v>59</v>
      </c>
      <c r="J2" t="s">
        <v>62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23"/>
  <sheetViews>
    <sheetView topLeftCell="A5" zoomScale="74" zoomScaleNormal="74" workbookViewId="0">
      <selection activeCell="A16" sqref="A16:B16"/>
    </sheetView>
  </sheetViews>
  <sheetFormatPr defaultRowHeight="18" x14ac:dyDescent="0.45"/>
  <cols>
    <col min="1" max="1" width="14" customWidth="1"/>
    <col min="2" max="2" width="15.296875" customWidth="1"/>
    <col min="3" max="3" width="15.09765625" customWidth="1"/>
    <col min="4" max="4" width="14" customWidth="1"/>
    <col min="6" max="6" width="9" customWidth="1"/>
    <col min="7" max="7" width="9.09765625" customWidth="1"/>
    <col min="9" max="9" width="12.8984375" customWidth="1"/>
    <col min="12" max="12" width="8.8984375" customWidth="1"/>
    <col min="14" max="14" width="13.69921875" bestFit="1" customWidth="1"/>
    <col min="15" max="15" width="9.3984375" bestFit="1" customWidth="1"/>
    <col min="17" max="17" width="13.3984375" bestFit="1" customWidth="1"/>
    <col min="18" max="18" width="14.09765625" bestFit="1" customWidth="1"/>
    <col min="19" max="19" width="11.5" bestFit="1" customWidth="1"/>
    <col min="20" max="20" width="13.8984375" bestFit="1" customWidth="1"/>
  </cols>
  <sheetData>
    <row r="2" spans="1:20" ht="18.600000000000001" thickBot="1" x14ac:dyDescent="0.5">
      <c r="A2" s="86"/>
      <c r="B2" s="86"/>
      <c r="C2" s="86"/>
      <c r="D2" s="86"/>
    </row>
    <row r="3" spans="1:20" ht="18.600000000000001" thickBot="1" x14ac:dyDescent="0.5">
      <c r="A3" s="8"/>
      <c r="B3" s="9"/>
      <c r="C3" s="9"/>
      <c r="D3" s="18"/>
      <c r="E3" s="22"/>
      <c r="N3" s="28" t="s">
        <v>36</v>
      </c>
      <c r="O3" s="79">
        <f>0.1026</f>
        <v>0.1026</v>
      </c>
      <c r="Q3" s="92" t="s">
        <v>57</v>
      </c>
      <c r="R3" s="92"/>
      <c r="S3" s="92"/>
      <c r="T3" s="82"/>
    </row>
    <row r="4" spans="1:20" x14ac:dyDescent="0.45">
      <c r="A4" s="10"/>
      <c r="B4" s="28"/>
      <c r="C4" s="45"/>
      <c r="D4" s="62"/>
      <c r="E4" s="80"/>
      <c r="N4" s="28" t="s">
        <v>52</v>
      </c>
      <c r="O4" s="79">
        <f>0.0311</f>
        <v>3.1099999999999999E-2</v>
      </c>
      <c r="Q4" s="8" t="s">
        <v>0</v>
      </c>
      <c r="R4" s="9" t="s">
        <v>1</v>
      </c>
      <c r="S4" s="18" t="s">
        <v>2</v>
      </c>
      <c r="T4" s="22" t="s">
        <v>34</v>
      </c>
    </row>
    <row r="5" spans="1:20" ht="19.2" x14ac:dyDescent="0.45">
      <c r="A5" s="10"/>
      <c r="B5" s="28"/>
      <c r="C5" s="45"/>
      <c r="D5" s="62"/>
      <c r="E5" s="63"/>
      <c r="F5" s="47"/>
      <c r="N5" s="28" t="s">
        <v>40</v>
      </c>
      <c r="O5" s="79">
        <f>O4</f>
        <v>3.1099999999999999E-2</v>
      </c>
      <c r="Q5" s="10">
        <v>0</v>
      </c>
      <c r="R5" s="59">
        <v>3.5999999999999997E-2</v>
      </c>
      <c r="S5" s="19">
        <f t="shared" ref="S5:S15" si="0">R5/0.15</f>
        <v>0.24</v>
      </c>
      <c r="T5" s="12">
        <f>LN(S5)</f>
        <v>-1.4271163556401458</v>
      </c>
    </row>
    <row r="6" spans="1:20" ht="19.2" x14ac:dyDescent="0.45">
      <c r="A6" s="10"/>
      <c r="B6" s="51"/>
      <c r="C6" s="45"/>
      <c r="D6" s="62"/>
      <c r="E6" s="63"/>
      <c r="F6" s="47"/>
      <c r="N6" s="28" t="s">
        <v>39</v>
      </c>
      <c r="O6" s="79">
        <f>LN(2)/O5</f>
        <v>22.287690693245828</v>
      </c>
      <c r="Q6" s="10">
        <v>3</v>
      </c>
      <c r="R6" s="11">
        <v>0.28799999999999998</v>
      </c>
      <c r="S6" s="19">
        <f t="shared" si="0"/>
        <v>1.92</v>
      </c>
      <c r="T6" s="12">
        <f t="shared" ref="T6:T15" si="1">LN(S6)</f>
        <v>0.65232518603969014</v>
      </c>
    </row>
    <row r="7" spans="1:20" x14ac:dyDescent="0.45">
      <c r="A7" s="10"/>
      <c r="B7" s="28"/>
      <c r="C7" s="45"/>
      <c r="D7" s="62"/>
      <c r="E7" s="63"/>
      <c r="F7" s="47"/>
      <c r="N7" s="28" t="s">
        <v>37</v>
      </c>
      <c r="O7" s="79">
        <f>O5*O9</f>
        <v>6.2199999999999998E-3</v>
      </c>
      <c r="Q7" s="10">
        <v>5</v>
      </c>
      <c r="R7" s="11">
        <v>0.38700000000000001</v>
      </c>
      <c r="S7" s="19">
        <f t="shared" si="0"/>
        <v>2.58</v>
      </c>
      <c r="T7" s="12">
        <f t="shared" si="1"/>
        <v>0.94778939893352609</v>
      </c>
    </row>
    <row r="8" spans="1:20" x14ac:dyDescent="0.45">
      <c r="A8" s="10"/>
      <c r="B8" s="28"/>
      <c r="C8" s="45"/>
      <c r="D8" s="62"/>
      <c r="E8" s="63"/>
      <c r="F8" s="47"/>
      <c r="N8" s="28" t="s">
        <v>38</v>
      </c>
      <c r="O8" s="79">
        <f>(O10/O9)*(1/O4)</f>
        <v>0</v>
      </c>
      <c r="Q8" s="10">
        <v>10</v>
      </c>
      <c r="R8" s="11">
        <v>0.53700000000000003</v>
      </c>
      <c r="S8" s="19">
        <f t="shared" si="0"/>
        <v>3.5800000000000005</v>
      </c>
      <c r="T8" s="12">
        <f t="shared" si="1"/>
        <v>1.2753628004126092</v>
      </c>
    </row>
    <row r="9" spans="1:20" ht="19.2" x14ac:dyDescent="0.45">
      <c r="A9" s="10"/>
      <c r="B9" s="28"/>
      <c r="C9" s="45"/>
      <c r="D9" s="62"/>
      <c r="E9" s="80"/>
      <c r="F9" s="47"/>
      <c r="N9" s="28" t="s">
        <v>41</v>
      </c>
      <c r="O9" s="60">
        <v>0.2</v>
      </c>
      <c r="Q9" s="10">
        <v>15</v>
      </c>
      <c r="R9" s="11">
        <v>0.52700000000000002</v>
      </c>
      <c r="S9" s="19">
        <f t="shared" si="0"/>
        <v>3.5133333333333336</v>
      </c>
      <c r="T9" s="12">
        <f>LN(S9)</f>
        <v>1.2565652544451067</v>
      </c>
    </row>
    <row r="10" spans="1:20" ht="19.2" x14ac:dyDescent="0.45">
      <c r="A10" s="10"/>
      <c r="B10" s="28"/>
      <c r="C10" s="45"/>
      <c r="D10" s="62"/>
      <c r="E10" s="80"/>
      <c r="F10" s="47"/>
      <c r="N10" s="61" t="s">
        <v>53</v>
      </c>
      <c r="O10" s="79">
        <f>C14*4*O9</f>
        <v>0</v>
      </c>
      <c r="Q10" s="13">
        <v>20</v>
      </c>
      <c r="R10" s="14">
        <v>0.49399999999999999</v>
      </c>
      <c r="S10" s="20">
        <f t="shared" si="0"/>
        <v>3.2933333333333334</v>
      </c>
      <c r="T10" s="89">
        <f t="shared" si="1"/>
        <v>1.1919002230916669</v>
      </c>
    </row>
    <row r="11" spans="1:20" x14ac:dyDescent="0.45">
      <c r="A11" s="10"/>
      <c r="B11" s="28"/>
      <c r="C11" s="45"/>
      <c r="D11" s="62"/>
      <c r="E11" s="80"/>
      <c r="F11" s="47"/>
      <c r="Q11" s="13">
        <v>30</v>
      </c>
      <c r="R11" s="14">
        <v>0.36</v>
      </c>
      <c r="S11" s="20">
        <f t="shared" si="0"/>
        <v>2.4</v>
      </c>
      <c r="T11" s="89">
        <f t="shared" si="1"/>
        <v>0.87546873735389985</v>
      </c>
    </row>
    <row r="12" spans="1:20" x14ac:dyDescent="0.45">
      <c r="A12" s="10"/>
      <c r="B12" s="28"/>
      <c r="C12" s="45"/>
      <c r="D12" s="62"/>
      <c r="E12" s="80"/>
      <c r="F12" s="47"/>
      <c r="Q12" s="13">
        <v>40</v>
      </c>
      <c r="R12" s="14">
        <v>0.248</v>
      </c>
      <c r="S12" s="20">
        <f t="shared" si="0"/>
        <v>1.6533333333333333</v>
      </c>
      <c r="T12" s="89">
        <f t="shared" si="1"/>
        <v>0.50279345206872639</v>
      </c>
    </row>
    <row r="13" spans="1:20" ht="18.600000000000001" thickBot="1" x14ac:dyDescent="0.5">
      <c r="A13" s="64"/>
      <c r="B13" s="31"/>
      <c r="C13" s="65"/>
      <c r="D13" s="66"/>
      <c r="E13" s="81"/>
      <c r="F13" s="47"/>
      <c r="Q13" s="13">
        <v>50</v>
      </c>
      <c r="R13" s="14">
        <v>0.17799999999999999</v>
      </c>
      <c r="S13" s="20">
        <f t="shared" si="0"/>
        <v>1.1866666666666668</v>
      </c>
      <c r="T13" s="89">
        <f t="shared" si="1"/>
        <v>0.17114825619582946</v>
      </c>
    </row>
    <row r="14" spans="1:20" ht="18.600000000000001" thickBot="1" x14ac:dyDescent="0.5">
      <c r="A14" s="67"/>
      <c r="B14" s="68"/>
      <c r="C14" s="69"/>
      <c r="D14" s="70"/>
      <c r="E14" s="71"/>
      <c r="N14" s="10">
        <v>0</v>
      </c>
      <c r="O14">
        <v>-1.4271163556401458</v>
      </c>
      <c r="Q14" s="13">
        <v>60</v>
      </c>
      <c r="R14" s="14">
        <v>8.8999999999999996E-2</v>
      </c>
      <c r="S14" s="20">
        <f t="shared" si="0"/>
        <v>0.59333333333333338</v>
      </c>
      <c r="T14" s="89">
        <f t="shared" si="1"/>
        <v>-0.52199892436411588</v>
      </c>
    </row>
    <row r="15" spans="1:20" ht="18.600000000000001" thickBot="1" x14ac:dyDescent="0.5">
      <c r="A15" s="15"/>
      <c r="B15" s="43"/>
      <c r="C15" s="46"/>
      <c r="D15" s="44"/>
      <c r="E15" s="4"/>
      <c r="N15" s="10">
        <v>3</v>
      </c>
      <c r="O15">
        <v>0.65232518603969014</v>
      </c>
      <c r="Q15" s="15" t="s">
        <v>63</v>
      </c>
      <c r="R15" s="16">
        <v>0.55200000000000005</v>
      </c>
      <c r="S15" s="16">
        <f t="shared" si="0"/>
        <v>3.6800000000000006</v>
      </c>
      <c r="T15" s="17">
        <f t="shared" si="1"/>
        <v>1.3029127521808397</v>
      </c>
    </row>
    <row r="16" spans="1:20" x14ac:dyDescent="0.45">
      <c r="A16" s="54"/>
      <c r="B16" s="54"/>
      <c r="N16" s="10">
        <v>5</v>
      </c>
      <c r="O16">
        <v>0.94778939893352609</v>
      </c>
    </row>
    <row r="17" spans="14:18" x14ac:dyDescent="0.45">
      <c r="N17" s="10">
        <v>10</v>
      </c>
      <c r="O17">
        <v>1.2753628004126092</v>
      </c>
      <c r="Q17">
        <f>T5*0.0413+2.0967</f>
        <v>2.0377600945120617</v>
      </c>
      <c r="R17" s="91">
        <f>Q17-T5</f>
        <v>3.4648764501522074</v>
      </c>
    </row>
    <row r="18" spans="14:18" x14ac:dyDescent="0.45">
      <c r="N18" s="10">
        <v>15</v>
      </c>
      <c r="O18">
        <f>LN(S9)</f>
        <v>1.2565652544451067</v>
      </c>
      <c r="Q18" s="83">
        <f>T6*0.0413+2.0967</f>
        <v>2.123641030183439</v>
      </c>
      <c r="R18" s="91">
        <f>Q18-T6</f>
        <v>1.4713158441437488</v>
      </c>
    </row>
    <row r="19" spans="14:18" x14ac:dyDescent="0.45">
      <c r="N19" s="13">
        <v>20</v>
      </c>
      <c r="O19">
        <v>1.1919002230916669</v>
      </c>
      <c r="Q19" s="83">
        <f>T7*0.0413+2.0967</f>
        <v>2.1358437021759542</v>
      </c>
      <c r="R19" s="91">
        <f>Q19-T7</f>
        <v>1.1880543032424282</v>
      </c>
    </row>
    <row r="20" spans="14:18" x14ac:dyDescent="0.45">
      <c r="N20" s="13">
        <v>30</v>
      </c>
      <c r="O20">
        <v>0.87546873735389985</v>
      </c>
      <c r="Q20" s="83">
        <f>T8*0.0413+2.0967</f>
        <v>2.1493724836570407</v>
      </c>
      <c r="R20" s="91">
        <f>Q20-T8</f>
        <v>0.87400968324443151</v>
      </c>
    </row>
    <row r="21" spans="14:18" x14ac:dyDescent="0.45">
      <c r="N21" s="13">
        <v>40</v>
      </c>
      <c r="O21">
        <v>0.50279345206872639</v>
      </c>
      <c r="Q21" s="83">
        <f>T9*0.0413+2.0967</f>
        <v>2.1485961450085829</v>
      </c>
      <c r="R21" s="91"/>
    </row>
    <row r="22" spans="14:18" x14ac:dyDescent="0.45">
      <c r="N22" s="13">
        <v>50</v>
      </c>
      <c r="O22">
        <v>0.17114825619582946</v>
      </c>
    </row>
    <row r="23" spans="14:18" x14ac:dyDescent="0.45">
      <c r="N23" s="13">
        <v>60</v>
      </c>
      <c r="O23">
        <v>-0.52200000000000002</v>
      </c>
    </row>
  </sheetData>
  <mergeCells count="2">
    <mergeCell ref="Q3:S3"/>
    <mergeCell ref="A2:D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E2462-873B-4476-BE2E-FC7FB54697A0}">
  <dimension ref="A1"/>
  <sheetViews>
    <sheetView workbookViewId="0">
      <selection activeCell="I5" sqref="I5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実験1</vt:lpstr>
      <vt:lpstr>実験1 グラフ</vt:lpstr>
      <vt:lpstr>実験2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麻生早希</dc:creator>
  <cp:lastModifiedBy>yuripoo</cp:lastModifiedBy>
  <cp:lastPrinted>2019-10-03T07:58:33Z</cp:lastPrinted>
  <dcterms:created xsi:type="dcterms:W3CDTF">2017-10-26T04:01:50Z</dcterms:created>
  <dcterms:modified xsi:type="dcterms:W3CDTF">2019-10-03T10:03:41Z</dcterms:modified>
</cp:coreProperties>
</file>