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17900" yWindow="460" windowWidth="10900" windowHeight="16600" tabRatio="500"/>
  </bookViews>
  <sheets>
    <sheet name="市场数据" sheetId="1" r:id="rId1"/>
    <sheet name="价值股" sheetId="2" r:id="rId2"/>
    <sheet name="成长股" sheetId="4" r:id="rId3"/>
    <sheet name="分析框架" sheetId="5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2" i="1"/>
  <c r="AG83" i="1"/>
  <c r="AG68" i="1"/>
  <c r="AG66" i="1"/>
  <c r="AG62" i="1"/>
  <c r="AG60" i="1"/>
  <c r="AG75" i="1"/>
  <c r="AG69" i="1"/>
  <c r="AG63" i="1"/>
  <c r="AG24" i="1"/>
  <c r="AG20" i="1"/>
  <c r="AG18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4" i="1"/>
  <c r="AH52" i="1"/>
  <c r="AH50" i="1"/>
  <c r="AH48" i="1"/>
  <c r="AH46" i="1"/>
  <c r="AH44" i="1"/>
  <c r="AH42" i="1"/>
  <c r="AH40" i="1"/>
  <c r="AH38" i="1"/>
  <c r="AH36" i="1"/>
  <c r="AH34" i="1"/>
  <c r="AH32" i="1"/>
  <c r="AH30" i="1"/>
  <c r="AH28" i="1"/>
  <c r="AH26" i="1"/>
  <c r="AF83" i="1"/>
  <c r="AF68" i="1"/>
  <c r="AF66" i="1"/>
  <c r="AF62" i="1"/>
  <c r="AF60" i="1"/>
  <c r="AF75" i="1"/>
  <c r="AF69" i="1"/>
  <c r="AF63" i="1"/>
  <c r="AF24" i="1"/>
  <c r="AF20" i="1"/>
  <c r="AF18" i="1"/>
  <c r="S120" i="1"/>
  <c r="S118" i="1"/>
  <c r="S116" i="1"/>
  <c r="AE68" i="1"/>
  <c r="AE66" i="1"/>
  <c r="AE62" i="1"/>
  <c r="AE60" i="1"/>
  <c r="AE83" i="1"/>
  <c r="AE75" i="1"/>
  <c r="AE69" i="1"/>
  <c r="AE63" i="1"/>
  <c r="AE24" i="1"/>
  <c r="AE20" i="1"/>
  <c r="AE18" i="1"/>
  <c r="AD83" i="1"/>
  <c r="AD68" i="1"/>
  <c r="AD66" i="1"/>
  <c r="AD62" i="1"/>
  <c r="AC60" i="1"/>
  <c r="AD60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D75" i="1"/>
  <c r="AD69" i="1"/>
  <c r="AD63" i="1"/>
  <c r="AD20" i="1"/>
  <c r="AD18" i="1"/>
  <c r="AC83" i="1"/>
  <c r="AC68" i="1"/>
  <c r="AC66" i="1"/>
  <c r="AC62" i="1"/>
  <c r="AC75" i="1"/>
  <c r="AC69" i="1"/>
  <c r="AC63" i="1"/>
  <c r="AC20" i="1"/>
  <c r="AC18" i="1"/>
  <c r="AB68" i="1"/>
  <c r="AB66" i="1"/>
  <c r="AB62" i="1"/>
  <c r="AB60" i="1"/>
  <c r="AB83" i="1"/>
  <c r="AB75" i="1"/>
  <c r="AB69" i="1"/>
  <c r="AB63" i="1"/>
  <c r="AB20" i="1"/>
  <c r="AB18" i="1"/>
  <c r="AA83" i="1"/>
  <c r="AA62" i="1"/>
  <c r="AA75" i="1"/>
  <c r="AA69" i="1"/>
  <c r="AA63" i="1"/>
  <c r="AA20" i="1"/>
  <c r="AA18" i="1"/>
  <c r="Z83" i="1"/>
  <c r="Z68" i="1"/>
  <c r="Z66" i="1"/>
  <c r="Z62" i="1"/>
  <c r="Z60" i="1"/>
  <c r="Z75" i="1"/>
  <c r="Z69" i="1"/>
  <c r="Z63" i="1"/>
  <c r="Z20" i="1"/>
  <c r="Z18" i="1"/>
  <c r="Y83" i="1"/>
  <c r="Y68" i="1"/>
  <c r="Y66" i="1"/>
  <c r="Y62" i="1"/>
  <c r="Y60" i="1"/>
  <c r="Y75" i="1"/>
  <c r="Y69" i="1"/>
  <c r="Y63" i="1"/>
  <c r="Y20" i="1"/>
  <c r="Y18" i="1"/>
  <c r="X20" i="1"/>
  <c r="X18" i="1"/>
  <c r="X83" i="1"/>
  <c r="X68" i="1"/>
  <c r="X66" i="1"/>
  <c r="X62" i="1"/>
  <c r="X60" i="1"/>
  <c r="X75" i="1"/>
  <c r="X69" i="1"/>
  <c r="X63" i="1"/>
  <c r="W83" i="1"/>
  <c r="W66" i="1"/>
  <c r="W68" i="1"/>
  <c r="W60" i="1"/>
  <c r="W62" i="1"/>
  <c r="W75" i="1"/>
  <c r="B75" i="1"/>
  <c r="W69" i="1"/>
  <c r="B69" i="1"/>
  <c r="W63" i="1"/>
  <c r="B63" i="1"/>
  <c r="W20" i="1"/>
  <c r="B20" i="1"/>
  <c r="W18" i="1"/>
  <c r="B18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V75" i="1"/>
  <c r="V20" i="1"/>
  <c r="V18" i="1"/>
  <c r="V83" i="1"/>
  <c r="T83" i="1"/>
  <c r="U83" i="1"/>
  <c r="U75" i="1"/>
  <c r="U20" i="1"/>
  <c r="U18" i="1"/>
  <c r="T20" i="1"/>
  <c r="T18" i="1"/>
  <c r="T75" i="1"/>
  <c r="C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O254" i="2"/>
  <c r="F255" i="2"/>
  <c r="E255" i="2"/>
  <c r="F254" i="2"/>
  <c r="E254" i="2"/>
  <c r="G254" i="2"/>
  <c r="H254" i="2"/>
  <c r="I254" i="2"/>
  <c r="J254" i="2"/>
  <c r="K254" i="2"/>
  <c r="L254" i="2"/>
  <c r="M254" i="2"/>
  <c r="N254" i="2"/>
  <c r="O255" i="2"/>
  <c r="N255" i="2"/>
  <c r="M255" i="2"/>
  <c r="L255" i="2"/>
  <c r="K255" i="2"/>
  <c r="J255" i="2"/>
  <c r="I255" i="2"/>
  <c r="H255" i="2"/>
  <c r="G255" i="2"/>
  <c r="E256" i="2"/>
  <c r="E257" i="2"/>
  <c r="F253" i="2"/>
  <c r="F256" i="2"/>
  <c r="F257" i="2"/>
  <c r="G253" i="2"/>
  <c r="G256" i="2"/>
  <c r="G257" i="2"/>
  <c r="H253" i="2"/>
  <c r="H256" i="2"/>
  <c r="H257" i="2"/>
  <c r="I253" i="2"/>
  <c r="I256" i="2"/>
  <c r="I257" i="2"/>
  <c r="J253" i="2"/>
  <c r="J256" i="2"/>
  <c r="J257" i="2"/>
  <c r="K253" i="2"/>
  <c r="K256" i="2"/>
  <c r="K257" i="2"/>
  <c r="L253" i="2"/>
  <c r="L256" i="2"/>
  <c r="L257" i="2"/>
  <c r="M253" i="2"/>
  <c r="M256" i="2"/>
  <c r="M257" i="2"/>
  <c r="N253" i="2"/>
  <c r="N256" i="2"/>
  <c r="N257" i="2"/>
  <c r="O253" i="2"/>
  <c r="O256" i="2"/>
  <c r="O257" i="2"/>
  <c r="P257" i="2"/>
  <c r="D254" i="2"/>
  <c r="C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E248" i="2"/>
  <c r="E249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G248" i="2"/>
  <c r="P244" i="2"/>
  <c r="O244" i="2"/>
  <c r="N244" i="2"/>
  <c r="M244" i="2"/>
  <c r="L244" i="2"/>
  <c r="P243" i="2"/>
  <c r="O243" i="2"/>
  <c r="N243" i="2"/>
  <c r="M243" i="2"/>
  <c r="L243" i="2"/>
  <c r="P242" i="2"/>
  <c r="O242" i="2"/>
  <c r="N242" i="2"/>
  <c r="M242" i="2"/>
  <c r="L242" i="2"/>
  <c r="P241" i="2"/>
  <c r="O241" i="2"/>
  <c r="N241" i="2"/>
  <c r="M241" i="2"/>
  <c r="L241" i="2"/>
  <c r="P240" i="2"/>
  <c r="O240" i="2"/>
  <c r="N240" i="2"/>
  <c r="M240" i="2"/>
  <c r="L240" i="2"/>
  <c r="O81" i="2"/>
  <c r="O80" i="2"/>
  <c r="O109" i="2"/>
  <c r="O167" i="2"/>
  <c r="E138" i="2"/>
  <c r="F138" i="2"/>
  <c r="G138" i="2"/>
  <c r="H138" i="2"/>
  <c r="I138" i="2"/>
  <c r="J138" i="2"/>
  <c r="K138" i="2"/>
  <c r="L138" i="2"/>
  <c r="M138" i="2"/>
  <c r="N138" i="2"/>
  <c r="O138" i="2"/>
  <c r="O225" i="2"/>
  <c r="O226" i="2"/>
  <c r="E80" i="2"/>
  <c r="E81" i="2"/>
  <c r="F80" i="2"/>
  <c r="F81" i="2"/>
  <c r="G80" i="2"/>
  <c r="G81" i="2"/>
  <c r="H80" i="2"/>
  <c r="H81" i="2"/>
  <c r="I80" i="2"/>
  <c r="I81" i="2"/>
  <c r="J80" i="2"/>
  <c r="J81" i="2"/>
  <c r="K80" i="2"/>
  <c r="K81" i="2"/>
  <c r="L80" i="2"/>
  <c r="L81" i="2"/>
  <c r="M80" i="2"/>
  <c r="M81" i="2"/>
  <c r="N80" i="2"/>
  <c r="N81" i="2"/>
  <c r="D80" i="2"/>
  <c r="G227" i="2"/>
  <c r="G228" i="2"/>
  <c r="E227" i="2"/>
  <c r="E228" i="2"/>
  <c r="F227" i="2"/>
  <c r="F228" i="2"/>
  <c r="H227" i="2"/>
  <c r="H228" i="2"/>
  <c r="I227" i="2"/>
  <c r="I228" i="2"/>
  <c r="J227" i="2"/>
  <c r="J228" i="2"/>
  <c r="K227" i="2"/>
  <c r="K228" i="2"/>
  <c r="L227" i="2"/>
  <c r="L228" i="2"/>
  <c r="M227" i="2"/>
  <c r="M228" i="2"/>
  <c r="N227" i="2"/>
  <c r="N228" i="2"/>
  <c r="O227" i="2"/>
  <c r="O228" i="2"/>
  <c r="P228" i="2"/>
  <c r="N167" i="2"/>
  <c r="G167" i="2"/>
  <c r="F167" i="2"/>
  <c r="E167" i="2"/>
  <c r="F225" i="2"/>
  <c r="F226" i="2"/>
  <c r="E225" i="2"/>
  <c r="N226" i="2"/>
  <c r="M226" i="2"/>
  <c r="L226" i="2"/>
  <c r="K226" i="2"/>
  <c r="J226" i="2"/>
  <c r="I226" i="2"/>
  <c r="H226" i="2"/>
  <c r="G226" i="2"/>
  <c r="E226" i="2"/>
  <c r="N225" i="2"/>
  <c r="G225" i="2"/>
  <c r="H225" i="2"/>
  <c r="I225" i="2"/>
  <c r="J225" i="2"/>
  <c r="K225" i="2"/>
  <c r="L225" i="2"/>
  <c r="M225" i="2"/>
  <c r="F224" i="2"/>
  <c r="G224" i="2"/>
  <c r="H224" i="2"/>
  <c r="I224" i="2"/>
  <c r="J224" i="2"/>
  <c r="K224" i="2"/>
  <c r="L224" i="2"/>
  <c r="M224" i="2"/>
  <c r="N224" i="2"/>
  <c r="O224" i="2"/>
  <c r="D225" i="2"/>
  <c r="C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E219" i="2"/>
  <c r="E220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G219" i="2"/>
  <c r="P215" i="2"/>
  <c r="O215" i="2"/>
  <c r="N215" i="2"/>
  <c r="M215" i="2"/>
  <c r="L215" i="2"/>
  <c r="P214" i="2"/>
  <c r="O214" i="2"/>
  <c r="N214" i="2"/>
  <c r="M214" i="2"/>
  <c r="L214" i="2"/>
  <c r="P213" i="2"/>
  <c r="O213" i="2"/>
  <c r="N213" i="2"/>
  <c r="M213" i="2"/>
  <c r="L213" i="2"/>
  <c r="P212" i="2"/>
  <c r="O212" i="2"/>
  <c r="N212" i="2"/>
  <c r="M212" i="2"/>
  <c r="L212" i="2"/>
  <c r="P211" i="2"/>
  <c r="O211" i="2"/>
  <c r="N211" i="2"/>
  <c r="M211" i="2"/>
  <c r="L211" i="2"/>
  <c r="F196" i="2"/>
  <c r="E196" i="2"/>
  <c r="G196" i="2"/>
  <c r="H196" i="2"/>
  <c r="I196" i="2"/>
  <c r="J196" i="2"/>
  <c r="K196" i="2"/>
  <c r="L196" i="2"/>
  <c r="M196" i="2"/>
  <c r="N196" i="2"/>
  <c r="O196" i="2"/>
  <c r="C178" i="2"/>
  <c r="C179" i="2"/>
  <c r="E179" i="2"/>
  <c r="C180" i="2"/>
  <c r="E180" i="2"/>
  <c r="C181" i="2"/>
  <c r="E181" i="2"/>
  <c r="C182" i="2"/>
  <c r="E182" i="2"/>
  <c r="C183" i="2"/>
  <c r="E183" i="2"/>
  <c r="C184" i="2"/>
  <c r="E184" i="2"/>
  <c r="C185" i="2"/>
  <c r="E185" i="2"/>
  <c r="C186" i="2"/>
  <c r="E186" i="2"/>
  <c r="C187" i="2"/>
  <c r="E187" i="2"/>
  <c r="C188" i="2"/>
  <c r="E188" i="2"/>
  <c r="C189" i="2"/>
  <c r="E189" i="2"/>
  <c r="E190" i="2"/>
  <c r="E191" i="2"/>
  <c r="O197" i="2"/>
  <c r="N197" i="2"/>
  <c r="M197" i="2"/>
  <c r="L197" i="2"/>
  <c r="K197" i="2"/>
  <c r="J197" i="2"/>
  <c r="I197" i="2"/>
  <c r="H197" i="2"/>
  <c r="G197" i="2"/>
  <c r="F197" i="2"/>
  <c r="E197" i="2"/>
  <c r="E198" i="2"/>
  <c r="E199" i="2"/>
  <c r="F195" i="2"/>
  <c r="F198" i="2"/>
  <c r="F199" i="2"/>
  <c r="G195" i="2"/>
  <c r="G198" i="2"/>
  <c r="G199" i="2"/>
  <c r="H195" i="2"/>
  <c r="H198" i="2"/>
  <c r="H199" i="2"/>
  <c r="I195" i="2"/>
  <c r="I198" i="2"/>
  <c r="I199" i="2"/>
  <c r="J195" i="2"/>
  <c r="J198" i="2"/>
  <c r="J199" i="2"/>
  <c r="K195" i="2"/>
  <c r="K198" i="2"/>
  <c r="K199" i="2"/>
  <c r="L195" i="2"/>
  <c r="L198" i="2"/>
  <c r="L199" i="2"/>
  <c r="M195" i="2"/>
  <c r="M198" i="2"/>
  <c r="M199" i="2"/>
  <c r="N195" i="2"/>
  <c r="N198" i="2"/>
  <c r="N199" i="2"/>
  <c r="O195" i="2"/>
  <c r="O198" i="2"/>
  <c r="O199" i="2"/>
  <c r="P199" i="2"/>
  <c r="D196" i="2"/>
  <c r="D179" i="2"/>
  <c r="D180" i="2"/>
  <c r="D181" i="2"/>
  <c r="D182" i="2"/>
  <c r="D183" i="2"/>
  <c r="D184" i="2"/>
  <c r="D185" i="2"/>
  <c r="D186" i="2"/>
  <c r="D187" i="2"/>
  <c r="D188" i="2"/>
  <c r="D189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G190" i="2"/>
  <c r="P186" i="2"/>
  <c r="O186" i="2"/>
  <c r="N186" i="2"/>
  <c r="M186" i="2"/>
  <c r="L186" i="2"/>
  <c r="P185" i="2"/>
  <c r="O185" i="2"/>
  <c r="N185" i="2"/>
  <c r="M185" i="2"/>
  <c r="L185" i="2"/>
  <c r="P184" i="2"/>
  <c r="O184" i="2"/>
  <c r="N184" i="2"/>
  <c r="M184" i="2"/>
  <c r="L184" i="2"/>
  <c r="P183" i="2"/>
  <c r="O183" i="2"/>
  <c r="N183" i="2"/>
  <c r="M183" i="2"/>
  <c r="L183" i="2"/>
  <c r="P182" i="2"/>
  <c r="O182" i="2"/>
  <c r="N182" i="2"/>
  <c r="M182" i="2"/>
  <c r="L182" i="2"/>
  <c r="S75" i="1"/>
  <c r="G5" i="5"/>
  <c r="G6" i="5"/>
  <c r="G7" i="5"/>
  <c r="G9" i="5"/>
  <c r="G10" i="5"/>
  <c r="G11" i="5"/>
  <c r="O168" i="2"/>
  <c r="H167" i="2"/>
  <c r="I167" i="2"/>
  <c r="J167" i="2"/>
  <c r="K167" i="2"/>
  <c r="L167" i="2"/>
  <c r="M167" i="2"/>
  <c r="P157" i="2"/>
  <c r="O157" i="2"/>
  <c r="P156" i="2"/>
  <c r="O156" i="2"/>
  <c r="P155" i="2"/>
  <c r="O155" i="2"/>
  <c r="P154" i="2"/>
  <c r="O154" i="2"/>
  <c r="P153" i="2"/>
  <c r="O153" i="2"/>
  <c r="O124" i="2"/>
  <c r="N157" i="2"/>
  <c r="N156" i="2"/>
  <c r="N155" i="2"/>
  <c r="N154" i="2"/>
  <c r="N153" i="2"/>
  <c r="M157" i="2"/>
  <c r="M156" i="2"/>
  <c r="M155" i="2"/>
  <c r="M154" i="2"/>
  <c r="M153" i="2"/>
  <c r="L157" i="2"/>
  <c r="L156" i="2"/>
  <c r="L155" i="2"/>
  <c r="L154" i="2"/>
  <c r="L153" i="2"/>
  <c r="L124" i="2"/>
  <c r="C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E161" i="2"/>
  <c r="E162" i="2"/>
  <c r="N168" i="2"/>
  <c r="M168" i="2"/>
  <c r="L168" i="2"/>
  <c r="K168" i="2"/>
  <c r="J168" i="2"/>
  <c r="I168" i="2"/>
  <c r="H168" i="2"/>
  <c r="G168" i="2"/>
  <c r="F168" i="2"/>
  <c r="E168" i="2"/>
  <c r="E169" i="2"/>
  <c r="E170" i="2"/>
  <c r="F166" i="2"/>
  <c r="F169" i="2"/>
  <c r="F170" i="2"/>
  <c r="G166" i="2"/>
  <c r="G169" i="2"/>
  <c r="G170" i="2"/>
  <c r="H166" i="2"/>
  <c r="H169" i="2"/>
  <c r="H170" i="2"/>
  <c r="I166" i="2"/>
  <c r="I169" i="2"/>
  <c r="I170" i="2"/>
  <c r="J166" i="2"/>
  <c r="J169" i="2"/>
  <c r="J170" i="2"/>
  <c r="K166" i="2"/>
  <c r="K169" i="2"/>
  <c r="K170" i="2"/>
  <c r="L166" i="2"/>
  <c r="L169" i="2"/>
  <c r="L170" i="2"/>
  <c r="M166" i="2"/>
  <c r="M169" i="2"/>
  <c r="M170" i="2"/>
  <c r="N166" i="2"/>
  <c r="N169" i="2"/>
  <c r="N170" i="2"/>
  <c r="O166" i="2"/>
  <c r="O169" i="2"/>
  <c r="O170" i="2"/>
  <c r="P170" i="2"/>
  <c r="D167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G161" i="2"/>
  <c r="R83" i="1"/>
  <c r="Z3" i="2"/>
  <c r="Z4" i="2"/>
  <c r="Q4" i="2"/>
  <c r="P4" i="2"/>
  <c r="Y4" i="2"/>
  <c r="X4" i="2"/>
  <c r="W4" i="2"/>
  <c r="V4" i="2"/>
  <c r="U4" i="2"/>
  <c r="T4" i="2"/>
  <c r="S4" i="2"/>
  <c r="R4" i="2"/>
  <c r="P3" i="2"/>
  <c r="P5" i="2"/>
  <c r="P6" i="2"/>
  <c r="Q2" i="2"/>
  <c r="Q3" i="2"/>
  <c r="Q5" i="2"/>
  <c r="Q6" i="2"/>
  <c r="R2" i="2"/>
  <c r="R3" i="2"/>
  <c r="R5" i="2"/>
  <c r="R6" i="2"/>
  <c r="S2" i="2"/>
  <c r="S3" i="2"/>
  <c r="S5" i="2"/>
  <c r="S6" i="2"/>
  <c r="T2" i="2"/>
  <c r="T3" i="2"/>
  <c r="T5" i="2"/>
  <c r="T6" i="2"/>
  <c r="U2" i="2"/>
  <c r="U3" i="2"/>
  <c r="U5" i="2"/>
  <c r="U6" i="2"/>
  <c r="V2" i="2"/>
  <c r="V3" i="2"/>
  <c r="V5" i="2"/>
  <c r="V6" i="2"/>
  <c r="W2" i="2"/>
  <c r="W3" i="2"/>
  <c r="W5" i="2"/>
  <c r="W6" i="2"/>
  <c r="X2" i="2"/>
  <c r="X3" i="2"/>
  <c r="X5" i="2"/>
  <c r="X6" i="2"/>
  <c r="Y2" i="2"/>
  <c r="Y3" i="2"/>
  <c r="Y5" i="2"/>
  <c r="Y6" i="2"/>
  <c r="Z2" i="2"/>
  <c r="Z5" i="2"/>
  <c r="Z6" i="2"/>
  <c r="AA6" i="2"/>
  <c r="O3" i="2"/>
  <c r="P70" i="2"/>
  <c r="P69" i="2"/>
  <c r="P68" i="2"/>
  <c r="P67" i="2"/>
  <c r="P66" i="2"/>
  <c r="O70" i="2"/>
  <c r="O69" i="2"/>
  <c r="O68" i="2"/>
  <c r="O67" i="2"/>
  <c r="O66" i="2"/>
  <c r="N67" i="2"/>
  <c r="N68" i="2"/>
  <c r="N69" i="2"/>
  <c r="N70" i="2"/>
  <c r="N66" i="2"/>
  <c r="M70" i="2"/>
  <c r="M69" i="2"/>
  <c r="M68" i="2"/>
  <c r="M67" i="2"/>
  <c r="M66" i="2"/>
  <c r="L70" i="2"/>
  <c r="L69" i="2"/>
  <c r="L68" i="2"/>
  <c r="L67" i="2"/>
  <c r="L66" i="2"/>
  <c r="O95" i="2"/>
  <c r="N99" i="2"/>
  <c r="N98" i="2"/>
  <c r="N97" i="2"/>
  <c r="N96" i="2"/>
  <c r="N95" i="2"/>
  <c r="M99" i="2"/>
  <c r="M98" i="2"/>
  <c r="M97" i="2"/>
  <c r="M96" i="2"/>
  <c r="M95" i="2"/>
  <c r="L99" i="2"/>
  <c r="L98" i="2"/>
  <c r="L97" i="2"/>
  <c r="L96" i="2"/>
  <c r="L95" i="2"/>
  <c r="O99" i="2"/>
  <c r="O98" i="2"/>
  <c r="O97" i="2"/>
  <c r="O96" i="2"/>
  <c r="P99" i="2"/>
  <c r="P98" i="2"/>
  <c r="P97" i="2"/>
  <c r="P96" i="2"/>
  <c r="P95" i="2"/>
  <c r="P124" i="2"/>
  <c r="L128" i="2"/>
  <c r="O128" i="2"/>
  <c r="P128" i="2"/>
  <c r="L127" i="2"/>
  <c r="O127" i="2"/>
  <c r="P127" i="2"/>
  <c r="L126" i="2"/>
  <c r="O126" i="2"/>
  <c r="P126" i="2"/>
  <c r="L125" i="2"/>
  <c r="O125" i="2"/>
  <c r="P125" i="2"/>
  <c r="N128" i="2"/>
  <c r="N127" i="2"/>
  <c r="N126" i="2"/>
  <c r="N125" i="2"/>
  <c r="N124" i="2"/>
  <c r="M128" i="2"/>
  <c r="M127" i="2"/>
  <c r="M126" i="2"/>
  <c r="M125" i="2"/>
  <c r="M124" i="2"/>
  <c r="F137" i="2"/>
  <c r="G137" i="2"/>
  <c r="G139" i="2"/>
  <c r="E139" i="2"/>
  <c r="F139" i="2"/>
  <c r="D121" i="2"/>
  <c r="D122" i="2"/>
  <c r="D123" i="2"/>
  <c r="D124" i="2"/>
  <c r="D125" i="2"/>
  <c r="D126" i="2"/>
  <c r="D127" i="2"/>
  <c r="D128" i="2"/>
  <c r="D129" i="2"/>
  <c r="D130" i="2"/>
  <c r="D131" i="2"/>
  <c r="C120" i="2"/>
  <c r="C121" i="2"/>
  <c r="C122" i="2"/>
  <c r="C123" i="2"/>
  <c r="C124" i="2"/>
  <c r="C125" i="2"/>
  <c r="C126" i="2"/>
  <c r="C127" i="2"/>
  <c r="C128" i="2"/>
  <c r="C129" i="2"/>
  <c r="C130" i="2"/>
  <c r="E130" i="2"/>
  <c r="C131" i="2"/>
  <c r="E121" i="2"/>
  <c r="E122" i="2"/>
  <c r="E123" i="2"/>
  <c r="E124" i="2"/>
  <c r="E125" i="2"/>
  <c r="E126" i="2"/>
  <c r="E127" i="2"/>
  <c r="E128" i="2"/>
  <c r="E129" i="2"/>
  <c r="E131" i="2"/>
  <c r="E132" i="2"/>
  <c r="E133" i="2"/>
  <c r="E109" i="2"/>
  <c r="F109" i="2"/>
  <c r="G109" i="2"/>
  <c r="H109" i="2"/>
  <c r="I109" i="2"/>
  <c r="J109" i="2"/>
  <c r="K109" i="2"/>
  <c r="L109" i="2"/>
  <c r="M109" i="2"/>
  <c r="N109" i="2"/>
  <c r="H137" i="2"/>
  <c r="I137" i="2"/>
  <c r="J137" i="2"/>
  <c r="K137" i="2"/>
  <c r="L137" i="2"/>
  <c r="M137" i="2"/>
  <c r="N137" i="2"/>
  <c r="O137" i="2"/>
  <c r="O139" i="2"/>
  <c r="N139" i="2"/>
  <c r="M139" i="2"/>
  <c r="L139" i="2"/>
  <c r="K139" i="2"/>
  <c r="J139" i="2"/>
  <c r="I139" i="2"/>
  <c r="H139" i="2"/>
  <c r="F79" i="2"/>
  <c r="G79" i="2"/>
  <c r="H79" i="2"/>
  <c r="I79" i="2"/>
  <c r="J79" i="2"/>
  <c r="K79" i="2"/>
  <c r="L79" i="2"/>
  <c r="M79" i="2"/>
  <c r="N79" i="2"/>
  <c r="O79" i="2"/>
  <c r="E140" i="2"/>
  <c r="E141" i="2"/>
  <c r="F140" i="2"/>
  <c r="F141" i="2"/>
  <c r="G140" i="2"/>
  <c r="G141" i="2"/>
  <c r="H140" i="2"/>
  <c r="H141" i="2"/>
  <c r="I140" i="2"/>
  <c r="I141" i="2"/>
  <c r="J140" i="2"/>
  <c r="J141" i="2"/>
  <c r="K140" i="2"/>
  <c r="K141" i="2"/>
  <c r="L140" i="2"/>
  <c r="L141" i="2"/>
  <c r="M140" i="2"/>
  <c r="M141" i="2"/>
  <c r="N140" i="2"/>
  <c r="N141" i="2"/>
  <c r="O140" i="2"/>
  <c r="O141" i="2"/>
  <c r="P141" i="2"/>
  <c r="D138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G132" i="2"/>
  <c r="E110" i="2"/>
  <c r="F108" i="2"/>
  <c r="G108" i="2"/>
  <c r="H108" i="2"/>
  <c r="I108" i="2"/>
  <c r="J108" i="2"/>
  <c r="K108" i="2"/>
  <c r="K110" i="2"/>
  <c r="G110" i="2"/>
  <c r="F110" i="2"/>
  <c r="L108" i="2"/>
  <c r="M108" i="2"/>
  <c r="N108" i="2"/>
  <c r="O108" i="2"/>
  <c r="O110" i="2"/>
  <c r="N110" i="2"/>
  <c r="M110" i="2"/>
  <c r="L110" i="2"/>
  <c r="J110" i="2"/>
  <c r="I110" i="2"/>
  <c r="H110" i="2"/>
  <c r="E111" i="2"/>
  <c r="E112" i="2"/>
  <c r="F111" i="2"/>
  <c r="F112" i="2"/>
  <c r="G111" i="2"/>
  <c r="G112" i="2"/>
  <c r="H111" i="2"/>
  <c r="H112" i="2"/>
  <c r="I111" i="2"/>
  <c r="I112" i="2"/>
  <c r="J111" i="2"/>
  <c r="J112" i="2"/>
  <c r="K111" i="2"/>
  <c r="K112" i="2"/>
  <c r="L111" i="2"/>
  <c r="L112" i="2"/>
  <c r="M111" i="2"/>
  <c r="M112" i="2"/>
  <c r="N111" i="2"/>
  <c r="N112" i="2"/>
  <c r="O111" i="2"/>
  <c r="O112" i="2"/>
  <c r="P112" i="2"/>
  <c r="D109" i="2"/>
  <c r="C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E103" i="2"/>
  <c r="E104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G103" i="2"/>
  <c r="E90" i="2"/>
  <c r="D17" i="4"/>
  <c r="E14" i="4"/>
  <c r="F12" i="4"/>
  <c r="F14" i="4"/>
  <c r="G12" i="4"/>
  <c r="G14" i="4"/>
  <c r="H12" i="4"/>
  <c r="H14" i="4"/>
  <c r="I12" i="4"/>
  <c r="I14" i="4"/>
  <c r="J12" i="4"/>
  <c r="J14" i="4"/>
  <c r="K12" i="4"/>
  <c r="K14" i="4"/>
  <c r="L12" i="4"/>
  <c r="L14" i="4"/>
  <c r="M12" i="4"/>
  <c r="M14" i="4"/>
  <c r="N12" i="4"/>
  <c r="N14" i="4"/>
  <c r="O12" i="4"/>
  <c r="O14" i="4"/>
  <c r="P12" i="4"/>
  <c r="P13" i="4"/>
  <c r="P14" i="4"/>
  <c r="Q12" i="4"/>
  <c r="Q13" i="4"/>
  <c r="Q14" i="4"/>
  <c r="R12" i="4"/>
  <c r="R13" i="4"/>
  <c r="R14" i="4"/>
  <c r="S12" i="4"/>
  <c r="S13" i="4"/>
  <c r="S14" i="4"/>
  <c r="T12" i="4"/>
  <c r="T13" i="4"/>
  <c r="T14" i="4"/>
  <c r="U12" i="4"/>
  <c r="U13" i="4"/>
  <c r="U14" i="4"/>
  <c r="V12" i="4"/>
  <c r="V13" i="4"/>
  <c r="V14" i="4"/>
  <c r="W12" i="4"/>
  <c r="W13" i="4"/>
  <c r="W14" i="4"/>
  <c r="X12" i="4"/>
  <c r="X13" i="4"/>
  <c r="X14" i="4"/>
  <c r="Y12" i="4"/>
  <c r="Y13" i="4"/>
  <c r="Y14" i="4"/>
  <c r="Z12" i="4"/>
  <c r="Z13" i="4"/>
  <c r="Z14" i="4"/>
  <c r="AA12" i="4"/>
  <c r="AA13" i="4"/>
  <c r="AA14" i="4"/>
  <c r="AB12" i="4"/>
  <c r="AB13" i="4"/>
  <c r="AB14" i="4"/>
  <c r="AC12" i="4"/>
  <c r="AC13" i="4"/>
  <c r="AC14" i="4"/>
  <c r="AD12" i="4"/>
  <c r="AD13" i="4"/>
  <c r="AD14" i="4"/>
  <c r="AE12" i="4"/>
  <c r="AE13" i="4"/>
  <c r="AE14" i="4"/>
  <c r="AF12" i="4"/>
  <c r="AF13" i="4"/>
  <c r="AF14" i="4"/>
  <c r="AG12" i="4"/>
  <c r="AG13" i="4"/>
  <c r="AG14" i="4"/>
  <c r="AH12" i="4"/>
  <c r="AH13" i="4"/>
  <c r="AH14" i="4"/>
  <c r="AI12" i="4"/>
  <c r="AI13" i="4"/>
  <c r="AI14" i="4"/>
  <c r="AJ12" i="4"/>
  <c r="AJ13" i="4"/>
  <c r="AJ14" i="4"/>
  <c r="AK12" i="4"/>
  <c r="AK13" i="4"/>
  <c r="AK14" i="4"/>
  <c r="AL12" i="4"/>
  <c r="AL13" i="4"/>
  <c r="AL14" i="4"/>
  <c r="AM12" i="4"/>
  <c r="AM13" i="4"/>
  <c r="AM14" i="4"/>
  <c r="AN12" i="4"/>
  <c r="AN13" i="4"/>
  <c r="AN14" i="4"/>
  <c r="AO12" i="4"/>
  <c r="AO13" i="4"/>
  <c r="AO14" i="4"/>
  <c r="AP12" i="4"/>
  <c r="AP13" i="4"/>
  <c r="AP14" i="4"/>
  <c r="AQ12" i="4"/>
  <c r="AQ13" i="4"/>
  <c r="AQ14" i="4"/>
  <c r="AR12" i="4"/>
  <c r="AR13" i="4"/>
  <c r="AR14" i="4"/>
  <c r="AS12" i="4"/>
  <c r="AS13" i="4"/>
  <c r="AS14" i="4"/>
  <c r="AT12" i="4"/>
  <c r="AT13" i="4"/>
  <c r="AT14" i="4"/>
  <c r="AU12" i="4"/>
  <c r="AU13" i="4"/>
  <c r="AU14" i="4"/>
  <c r="AV12" i="4"/>
  <c r="AV13" i="4"/>
  <c r="AV14" i="4"/>
  <c r="AW12" i="4"/>
  <c r="AW13" i="4"/>
  <c r="AW14" i="4"/>
  <c r="AX12" i="4"/>
  <c r="AX13" i="4"/>
  <c r="AX14" i="4"/>
  <c r="AY12" i="4"/>
  <c r="AY13" i="4"/>
  <c r="AY14" i="4"/>
  <c r="AZ12" i="4"/>
  <c r="AZ13" i="4"/>
  <c r="AZ14" i="4"/>
  <c r="BA12" i="4"/>
  <c r="BA13" i="4"/>
  <c r="BA14" i="4"/>
  <c r="BB12" i="4"/>
  <c r="BB13" i="4"/>
  <c r="BB14" i="4"/>
  <c r="BC12" i="4"/>
  <c r="BC13" i="4"/>
  <c r="BC14" i="4"/>
  <c r="BD12" i="4"/>
  <c r="BD13" i="4"/>
  <c r="BD14" i="4"/>
  <c r="D13" i="4"/>
  <c r="E6" i="4"/>
  <c r="F4" i="4"/>
  <c r="F6" i="4"/>
  <c r="G4" i="4"/>
  <c r="G6" i="4"/>
  <c r="H4" i="4"/>
  <c r="H6" i="4"/>
  <c r="I4" i="4"/>
  <c r="I6" i="4"/>
  <c r="J4" i="4"/>
  <c r="J6" i="4"/>
  <c r="K4" i="4"/>
  <c r="K6" i="4"/>
  <c r="L4" i="4"/>
  <c r="L6" i="4"/>
  <c r="M4" i="4"/>
  <c r="M6" i="4"/>
  <c r="N4" i="4"/>
  <c r="N6" i="4"/>
  <c r="O4" i="4"/>
  <c r="O6" i="4"/>
  <c r="P4" i="4"/>
  <c r="P5" i="4"/>
  <c r="P6" i="4"/>
  <c r="Q4" i="4"/>
  <c r="Q5" i="4"/>
  <c r="Q6" i="4"/>
  <c r="R4" i="4"/>
  <c r="R5" i="4"/>
  <c r="R6" i="4"/>
  <c r="S4" i="4"/>
  <c r="S5" i="4"/>
  <c r="S6" i="4"/>
  <c r="T4" i="4"/>
  <c r="T5" i="4"/>
  <c r="T6" i="4"/>
  <c r="U4" i="4"/>
  <c r="U5" i="4"/>
  <c r="U6" i="4"/>
  <c r="V4" i="4"/>
  <c r="V5" i="4"/>
  <c r="V6" i="4"/>
  <c r="W4" i="4"/>
  <c r="W5" i="4"/>
  <c r="W6" i="4"/>
  <c r="X4" i="4"/>
  <c r="X5" i="4"/>
  <c r="X6" i="4"/>
  <c r="Y4" i="4"/>
  <c r="Y5" i="4"/>
  <c r="Y6" i="4"/>
  <c r="Z4" i="4"/>
  <c r="Z5" i="4"/>
  <c r="Z6" i="4"/>
  <c r="AA4" i="4"/>
  <c r="AA5" i="4"/>
  <c r="AA6" i="4"/>
  <c r="AB4" i="4"/>
  <c r="AB5" i="4"/>
  <c r="AB6" i="4"/>
  <c r="AC4" i="4"/>
  <c r="AC5" i="4"/>
  <c r="AC6" i="4"/>
  <c r="AD4" i="4"/>
  <c r="AD5" i="4"/>
  <c r="AD6" i="4"/>
  <c r="AE4" i="4"/>
  <c r="AE5" i="4"/>
  <c r="AE6" i="4"/>
  <c r="AF4" i="4"/>
  <c r="AF5" i="4"/>
  <c r="AF6" i="4"/>
  <c r="AG4" i="4"/>
  <c r="AG5" i="4"/>
  <c r="AG6" i="4"/>
  <c r="AH4" i="4"/>
  <c r="AH5" i="4"/>
  <c r="AH6" i="4"/>
  <c r="AI4" i="4"/>
  <c r="AI5" i="4"/>
  <c r="AI6" i="4"/>
  <c r="AJ4" i="4"/>
  <c r="AJ5" i="4"/>
  <c r="AJ6" i="4"/>
  <c r="AK4" i="4"/>
  <c r="AK5" i="4"/>
  <c r="AK6" i="4"/>
  <c r="AL4" i="4"/>
  <c r="AL5" i="4"/>
  <c r="AL6" i="4"/>
  <c r="AM4" i="4"/>
  <c r="AM5" i="4"/>
  <c r="AM6" i="4"/>
  <c r="AN4" i="4"/>
  <c r="AN5" i="4"/>
  <c r="AN6" i="4"/>
  <c r="AO4" i="4"/>
  <c r="AO5" i="4"/>
  <c r="AO6" i="4"/>
  <c r="AP4" i="4"/>
  <c r="AP5" i="4"/>
  <c r="AP6" i="4"/>
  <c r="AQ4" i="4"/>
  <c r="AQ5" i="4"/>
  <c r="AQ6" i="4"/>
  <c r="AR4" i="4"/>
  <c r="AR5" i="4"/>
  <c r="AR6" i="4"/>
  <c r="AS4" i="4"/>
  <c r="AS5" i="4"/>
  <c r="AS6" i="4"/>
  <c r="AT4" i="4"/>
  <c r="AT5" i="4"/>
  <c r="AT6" i="4"/>
  <c r="AU4" i="4"/>
  <c r="AU5" i="4"/>
  <c r="AU6" i="4"/>
  <c r="AV4" i="4"/>
  <c r="AV5" i="4"/>
  <c r="AV6" i="4"/>
  <c r="AW4" i="4"/>
  <c r="AW5" i="4"/>
  <c r="AW6" i="4"/>
  <c r="AX4" i="4"/>
  <c r="AX5" i="4"/>
  <c r="AX6" i="4"/>
  <c r="AY4" i="4"/>
  <c r="AY5" i="4"/>
  <c r="AY6" i="4"/>
  <c r="AZ4" i="4"/>
  <c r="AZ5" i="4"/>
  <c r="AZ6" i="4"/>
  <c r="D5" i="4"/>
  <c r="D18" i="4"/>
  <c r="D19" i="4"/>
  <c r="BE12" i="4"/>
  <c r="BF12" i="4"/>
  <c r="BG12" i="4"/>
  <c r="BH12" i="4"/>
  <c r="BI12" i="4"/>
  <c r="BJ12" i="4"/>
  <c r="BK12" i="4"/>
  <c r="BL12" i="4"/>
  <c r="BM12" i="4"/>
  <c r="BE13" i="4"/>
  <c r="BF13" i="4"/>
  <c r="BG13" i="4"/>
  <c r="BH13" i="4"/>
  <c r="BI13" i="4"/>
  <c r="BJ13" i="4"/>
  <c r="BK13" i="4"/>
  <c r="BL13" i="4"/>
  <c r="BM13" i="4"/>
  <c r="BM14" i="4"/>
  <c r="BL14" i="4"/>
  <c r="BK14" i="4"/>
  <c r="BJ14" i="4"/>
  <c r="BI14" i="4"/>
  <c r="BH14" i="4"/>
  <c r="BG14" i="4"/>
  <c r="BF14" i="4"/>
  <c r="BE1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D63" i="2"/>
  <c r="C62" i="2"/>
  <c r="C63" i="2"/>
  <c r="E63" i="2"/>
  <c r="D64" i="2"/>
  <c r="C64" i="2"/>
  <c r="E64" i="2"/>
  <c r="D65" i="2"/>
  <c r="C65" i="2"/>
  <c r="E65" i="2"/>
  <c r="D66" i="2"/>
  <c r="C66" i="2"/>
  <c r="E66" i="2"/>
  <c r="D67" i="2"/>
  <c r="C67" i="2"/>
  <c r="E67" i="2"/>
  <c r="D68" i="2"/>
  <c r="C68" i="2"/>
  <c r="E68" i="2"/>
  <c r="D69" i="2"/>
  <c r="C69" i="2"/>
  <c r="E69" i="2"/>
  <c r="D70" i="2"/>
  <c r="C70" i="2"/>
  <c r="E70" i="2"/>
  <c r="D71" i="2"/>
  <c r="C71" i="2"/>
  <c r="E71" i="2"/>
  <c r="D72" i="2"/>
  <c r="C72" i="2"/>
  <c r="E72" i="2"/>
  <c r="C73" i="2"/>
  <c r="D73" i="2"/>
  <c r="E73" i="2"/>
  <c r="E74" i="2"/>
  <c r="R75" i="1"/>
  <c r="O82" i="2"/>
  <c r="E82" i="2"/>
  <c r="E83" i="2"/>
  <c r="F82" i="2"/>
  <c r="F83" i="2"/>
  <c r="G82" i="2"/>
  <c r="G83" i="2"/>
  <c r="H82" i="2"/>
  <c r="H83" i="2"/>
  <c r="I82" i="2"/>
  <c r="I83" i="2"/>
  <c r="J82" i="2"/>
  <c r="J83" i="2"/>
  <c r="K82" i="2"/>
  <c r="K83" i="2"/>
  <c r="L82" i="2"/>
  <c r="L83" i="2"/>
  <c r="M82" i="2"/>
  <c r="M83" i="2"/>
  <c r="N82" i="2"/>
  <c r="N83" i="2"/>
  <c r="O83" i="2"/>
  <c r="P83" i="2"/>
  <c r="F70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G70" i="2"/>
  <c r="F71" i="2"/>
  <c r="G71" i="2"/>
  <c r="F72" i="2"/>
  <c r="G72" i="2"/>
  <c r="F73" i="2"/>
  <c r="G73" i="2"/>
  <c r="G74" i="2"/>
  <c r="E75" i="2"/>
  <c r="E61" i="2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D2" i="1"/>
  <c r="C5" i="1"/>
  <c r="D5" i="1"/>
  <c r="E5" i="1"/>
</calcChain>
</file>

<file path=xl/sharedStrings.xml><?xml version="1.0" encoding="utf-8"?>
<sst xmlns="http://schemas.openxmlformats.org/spreadsheetml/2006/main" count="865" uniqueCount="356">
  <si>
    <t>增减</t>
    <rPh sb="0" eb="1">
      <t>zeng jian</t>
    </rPh>
    <phoneticPr fontId="2" type="noConversion"/>
  </si>
  <si>
    <t>十年中债国开债收益率</t>
    <rPh sb="0" eb="1">
      <t>shi nian</t>
    </rPh>
    <rPh sb="2" eb="3">
      <t>zhong zhai</t>
    </rPh>
    <rPh sb="7" eb="8">
      <t>shou yi l</t>
    </rPh>
    <phoneticPr fontId="2" type="noConversion"/>
  </si>
  <si>
    <t>三年中债国开债收益率</t>
    <rPh sb="0" eb="1">
      <t>san</t>
    </rPh>
    <rPh sb="2" eb="3">
      <t>zhong zhai</t>
    </rPh>
    <rPh sb="7" eb="8">
      <t>shou yi l</t>
    </rPh>
    <phoneticPr fontId="2" type="noConversion"/>
  </si>
  <si>
    <t>三年中债中短期票据（AA-）收益率</t>
    <rPh sb="0" eb="1">
      <t>san nian</t>
    </rPh>
    <rPh sb="2" eb="3">
      <t>zhong zhai</t>
    </rPh>
    <rPh sb="4" eb="5">
      <t>zhong duan qi</t>
    </rPh>
    <rPh sb="7" eb="8">
      <t>piao ju</t>
    </rPh>
    <rPh sb="14" eb="15">
      <t>shou yi l</t>
    </rPh>
    <phoneticPr fontId="2" type="noConversion"/>
  </si>
  <si>
    <t>3-Month shibor</t>
    <phoneticPr fontId="2" type="noConversion"/>
  </si>
  <si>
    <t>DR007</t>
    <phoneticPr fontId="2" type="noConversion"/>
  </si>
  <si>
    <t>融资余额</t>
    <rPh sb="0" eb="1">
      <t>rong zi yu e</t>
    </rPh>
    <phoneticPr fontId="2" type="noConversion"/>
  </si>
  <si>
    <t>北上资金</t>
    <rPh sb="0" eb="1">
      <t>bei shang zi jin</t>
    </rPh>
    <phoneticPr fontId="2" type="noConversion"/>
  </si>
  <si>
    <t>国外机构风险偏好</t>
    <rPh sb="0" eb="1">
      <t>guo wai ji gou</t>
    </rPh>
    <phoneticPr fontId="2" type="noConversion"/>
  </si>
  <si>
    <t>风险偏好</t>
    <rPh sb="0" eb="1">
      <t>feng xian pian hao</t>
    </rPh>
    <phoneticPr fontId="2" type="noConversion"/>
  </si>
  <si>
    <t>3-Month libor</t>
    <phoneticPr fontId="2" type="noConversion"/>
  </si>
  <si>
    <t>IOER</t>
    <phoneticPr fontId="2" type="noConversion"/>
  </si>
  <si>
    <t>美国高收益债BBB</t>
    <rPh sb="0" eb="1">
      <t>mei guo</t>
    </rPh>
    <rPh sb="2" eb="3">
      <t>gao shou yi zhai</t>
    </rPh>
    <phoneticPr fontId="2" type="noConversion"/>
  </si>
  <si>
    <t>IPO批文数</t>
    <rPh sb="5" eb="6">
      <t>shu</t>
    </rPh>
    <phoneticPr fontId="2" type="noConversion"/>
  </si>
  <si>
    <t>大类</t>
    <rPh sb="0" eb="1">
      <t>da lei</t>
    </rPh>
    <phoneticPr fontId="2" type="noConversion"/>
  </si>
  <si>
    <t>小类</t>
    <rPh sb="0" eb="1">
      <t>xiao lei</t>
    </rPh>
    <phoneticPr fontId="2" type="noConversion"/>
  </si>
  <si>
    <t>公司</t>
    <rPh sb="0" eb="1">
      <t>gong si</t>
    </rPh>
    <phoneticPr fontId="2" type="noConversion"/>
  </si>
  <si>
    <t>股票年化收益率</t>
    <rPh sb="0" eb="1">
      <t>gu p</t>
    </rPh>
    <rPh sb="2" eb="3">
      <t>nian hua shou yi l</t>
    </rPh>
    <phoneticPr fontId="2" type="noConversion"/>
  </si>
  <si>
    <t>股价</t>
    <rPh sb="0" eb="1">
      <t>gu jia</t>
    </rPh>
    <phoneticPr fontId="2" type="noConversion"/>
  </si>
  <si>
    <t>动态PE</t>
    <rPh sb="0" eb="1">
      <t>dong tai</t>
    </rPh>
    <phoneticPr fontId="2" type="noConversion"/>
  </si>
  <si>
    <t>动态PE百分位</t>
    <rPh sb="0" eb="1">
      <t>dong tai</t>
    </rPh>
    <phoneticPr fontId="2" type="noConversion"/>
  </si>
  <si>
    <t>PB百分位</t>
    <rPh sb="2" eb="3">
      <t>bai fen wei</t>
    </rPh>
    <phoneticPr fontId="2" type="noConversion"/>
  </si>
  <si>
    <t>ROE</t>
    <phoneticPr fontId="2" type="noConversion"/>
  </si>
  <si>
    <t>PB</t>
    <phoneticPr fontId="2" type="noConversion"/>
  </si>
  <si>
    <t>食品</t>
    <rPh sb="0" eb="1">
      <t>shi pin</t>
    </rPh>
    <phoneticPr fontId="2" type="noConversion"/>
  </si>
  <si>
    <t>榨菜</t>
    <rPh sb="0" eb="1">
      <t>zha cai</t>
    </rPh>
    <phoneticPr fontId="2" type="noConversion"/>
  </si>
  <si>
    <t>猪肉</t>
    <rPh sb="0" eb="1">
      <t>zhu rou</t>
    </rPh>
    <phoneticPr fontId="2" type="noConversion"/>
  </si>
  <si>
    <t>酵母</t>
    <rPh sb="0" eb="1">
      <t>jiao mu</t>
    </rPh>
    <phoneticPr fontId="2" type="noConversion"/>
  </si>
  <si>
    <t>鸭脖</t>
    <rPh sb="0" eb="1">
      <t>ya bo</t>
    </rPh>
    <phoneticPr fontId="2" type="noConversion"/>
  </si>
  <si>
    <t>火腿</t>
    <rPh sb="0" eb="1">
      <t>huo tui</t>
    </rPh>
    <phoneticPr fontId="2" type="noConversion"/>
  </si>
  <si>
    <t>保健</t>
    <rPh sb="0" eb="1">
      <t>bao jian</t>
    </rPh>
    <phoneticPr fontId="2" type="noConversion"/>
  </si>
  <si>
    <t>涪陵榨菜</t>
    <rPh sb="0" eb="1">
      <t>fu ling zha cai</t>
    </rPh>
    <phoneticPr fontId="2" type="noConversion"/>
  </si>
  <si>
    <t>牧原股份</t>
    <rPh sb="0" eb="1">
      <t>mu yuan gu fen</t>
    </rPh>
    <phoneticPr fontId="2" type="noConversion"/>
  </si>
  <si>
    <t>安琪酵母</t>
    <rPh sb="0" eb="1">
      <t>an qi jiao mu</t>
    </rPh>
    <phoneticPr fontId="2" type="noConversion"/>
  </si>
  <si>
    <t>绝味食品</t>
    <rPh sb="0" eb="1">
      <t>jue wei shi pin</t>
    </rPh>
    <phoneticPr fontId="2" type="noConversion"/>
  </si>
  <si>
    <t>双汇发展</t>
    <rPh sb="0" eb="1">
      <t>shuang hui fa zhan</t>
    </rPh>
    <phoneticPr fontId="2" type="noConversion"/>
  </si>
  <si>
    <t>汤臣倍健</t>
    <rPh sb="0" eb="1">
      <t>tang chen bei jian</t>
    </rPh>
    <phoneticPr fontId="2" type="noConversion"/>
  </si>
  <si>
    <t>饮料</t>
    <rPh sb="0" eb="1">
      <t>yin liao</t>
    </rPh>
    <phoneticPr fontId="2" type="noConversion"/>
  </si>
  <si>
    <t>牛奶</t>
    <rPh sb="0" eb="1">
      <t>niu nai</t>
    </rPh>
    <phoneticPr fontId="2" type="noConversion"/>
  </si>
  <si>
    <t>酱油</t>
    <rPh sb="0" eb="1">
      <t>jiang you</t>
    </rPh>
    <phoneticPr fontId="2" type="noConversion"/>
  </si>
  <si>
    <t>白酒</t>
    <rPh sb="0" eb="1">
      <t>bai jiu</t>
    </rPh>
    <phoneticPr fontId="2" type="noConversion"/>
  </si>
  <si>
    <t>伊利股份</t>
    <rPh sb="0" eb="1">
      <t>yi li gu fen</t>
    </rPh>
    <phoneticPr fontId="2" type="noConversion"/>
  </si>
  <si>
    <t>海天味业</t>
    <rPh sb="0" eb="1">
      <t>hai tian wei ye</t>
    </rPh>
    <phoneticPr fontId="2" type="noConversion"/>
  </si>
  <si>
    <t>贵州茅台</t>
    <rPh sb="0" eb="1">
      <t>gui zhou mao tai</t>
    </rPh>
    <phoneticPr fontId="2" type="noConversion"/>
  </si>
  <si>
    <t>泸州老窖</t>
    <rPh sb="0" eb="1">
      <t>lu zhou lao jiao</t>
    </rPh>
    <phoneticPr fontId="2" type="noConversion"/>
  </si>
  <si>
    <t>五粮液</t>
    <rPh sb="0" eb="1">
      <t>wu liang ye</t>
    </rPh>
    <phoneticPr fontId="2" type="noConversion"/>
  </si>
  <si>
    <t>洋河股份</t>
    <rPh sb="0" eb="1">
      <t>yang he gu fen</t>
    </rPh>
    <phoneticPr fontId="2" type="noConversion"/>
  </si>
  <si>
    <t>顺鑫农业</t>
    <rPh sb="0" eb="1">
      <t>shun xin nong ye</t>
    </rPh>
    <phoneticPr fontId="2" type="noConversion"/>
  </si>
  <si>
    <t>医药</t>
    <rPh sb="0" eb="1">
      <t>yi yao</t>
    </rPh>
    <phoneticPr fontId="2" type="noConversion"/>
  </si>
  <si>
    <t>化学药</t>
    <rPh sb="0" eb="1">
      <t>hua xue yao</t>
    </rPh>
    <phoneticPr fontId="2" type="noConversion"/>
  </si>
  <si>
    <t>恒瑞医药</t>
    <rPh sb="0" eb="1">
      <t>heng rui yi yao</t>
    </rPh>
    <phoneticPr fontId="2" type="noConversion"/>
  </si>
  <si>
    <t>复星医药</t>
    <rPh sb="0" eb="1">
      <t>fu xing yi yao</t>
    </rPh>
    <phoneticPr fontId="2" type="noConversion"/>
  </si>
  <si>
    <t>华东制药</t>
    <rPh sb="0" eb="1">
      <t>hua dong zhi yao</t>
    </rPh>
    <phoneticPr fontId="2" type="noConversion"/>
  </si>
  <si>
    <t>信立泰</t>
    <rPh sb="0" eb="1">
      <t>xin li tai</t>
    </rPh>
    <phoneticPr fontId="2" type="noConversion"/>
  </si>
  <si>
    <t>器械</t>
    <rPh sb="0" eb="1">
      <t>qi xie</t>
    </rPh>
    <phoneticPr fontId="2" type="noConversion"/>
  </si>
  <si>
    <t>安图生物</t>
    <rPh sb="0" eb="1">
      <t>an tu</t>
    </rPh>
    <rPh sb="2" eb="3">
      <t>sheng wu</t>
    </rPh>
    <phoneticPr fontId="2" type="noConversion"/>
  </si>
  <si>
    <t>生物药</t>
    <rPh sb="0" eb="1">
      <t>sehng wu yao</t>
    </rPh>
    <phoneticPr fontId="2" type="noConversion"/>
  </si>
  <si>
    <t>华兰生物</t>
    <rPh sb="0" eb="1">
      <t>hua lan sheng wu</t>
    </rPh>
    <phoneticPr fontId="2" type="noConversion"/>
  </si>
  <si>
    <t>长春高新</t>
    <rPh sb="0" eb="1">
      <t>chang chun gao xin</t>
    </rPh>
    <phoneticPr fontId="2" type="noConversion"/>
  </si>
  <si>
    <t>医院</t>
    <rPh sb="0" eb="1">
      <t>yi yuan</t>
    </rPh>
    <phoneticPr fontId="2" type="noConversion"/>
  </si>
  <si>
    <t>通策医疗</t>
    <rPh sb="0" eb="1">
      <t>tong ce yi</t>
    </rPh>
    <phoneticPr fontId="2" type="noConversion"/>
  </si>
  <si>
    <t>爱尔眼科</t>
    <rPh sb="0" eb="1">
      <t>ai er yan ke</t>
    </rPh>
    <phoneticPr fontId="2" type="noConversion"/>
  </si>
  <si>
    <t>中药</t>
    <rPh sb="0" eb="1">
      <t>zhong yao</t>
    </rPh>
    <phoneticPr fontId="2" type="noConversion"/>
  </si>
  <si>
    <t>片仔癀</t>
    <rPh sb="0" eb="1">
      <t>pian zai huang</t>
    </rPh>
    <phoneticPr fontId="2" type="noConversion"/>
  </si>
  <si>
    <t>家具</t>
    <rPh sb="0" eb="1">
      <t>jia ju</t>
    </rPh>
    <phoneticPr fontId="2" type="noConversion"/>
  </si>
  <si>
    <t>家电</t>
    <rPh sb="0" eb="1">
      <t>jia dian</t>
    </rPh>
    <phoneticPr fontId="2" type="noConversion"/>
  </si>
  <si>
    <t>衣柜</t>
    <rPh sb="0" eb="1">
      <t>yi gui</t>
    </rPh>
    <phoneticPr fontId="2" type="noConversion"/>
  </si>
  <si>
    <t>格力电器</t>
    <rPh sb="0" eb="1">
      <t>ge li dian qi</t>
    </rPh>
    <phoneticPr fontId="2" type="noConversion"/>
  </si>
  <si>
    <t>美的集团</t>
    <rPh sb="0" eb="1">
      <t>mei di ji tuan</t>
    </rPh>
    <phoneticPr fontId="2" type="noConversion"/>
  </si>
  <si>
    <t>苏泊尔</t>
    <rPh sb="0" eb="1">
      <t>su bo er</t>
    </rPh>
    <phoneticPr fontId="2" type="noConversion"/>
  </si>
  <si>
    <t>青岛海尔</t>
    <rPh sb="0" eb="1">
      <t>qing dao hai er</t>
    </rPh>
    <phoneticPr fontId="2" type="noConversion"/>
  </si>
  <si>
    <t>老板电器</t>
    <rPh sb="0" eb="1">
      <t>lao ban dian qi</t>
    </rPh>
    <phoneticPr fontId="2" type="noConversion"/>
  </si>
  <si>
    <t>浙江美大</t>
    <rPh sb="0" eb="1">
      <t>zhe jiang mei da</t>
    </rPh>
    <phoneticPr fontId="2" type="noConversion"/>
  </si>
  <si>
    <t>欧派家居</t>
    <rPh sb="0" eb="1">
      <t>ou pai jia ju</t>
    </rPh>
    <phoneticPr fontId="2" type="noConversion"/>
  </si>
  <si>
    <t>索非亚</t>
    <rPh sb="0" eb="1">
      <t>suo fei ya</t>
    </rPh>
    <phoneticPr fontId="2" type="noConversion"/>
  </si>
  <si>
    <t>零售</t>
    <rPh sb="0" eb="1">
      <t>ling shou</t>
    </rPh>
    <phoneticPr fontId="2" type="noConversion"/>
  </si>
  <si>
    <t>免税店</t>
    <rPh sb="0" eb="1">
      <t>mian shui dian</t>
    </rPh>
    <phoneticPr fontId="2" type="noConversion"/>
  </si>
  <si>
    <t>超市</t>
    <rPh sb="0" eb="1">
      <t>chao shi</t>
    </rPh>
    <phoneticPr fontId="2" type="noConversion"/>
  </si>
  <si>
    <t>牙膏</t>
    <rPh sb="0" eb="1">
      <t>ya gao</t>
    </rPh>
    <phoneticPr fontId="2" type="noConversion"/>
  </si>
  <si>
    <t>文具</t>
    <rPh sb="0" eb="1">
      <t>wen ju</t>
    </rPh>
    <phoneticPr fontId="2" type="noConversion"/>
  </si>
  <si>
    <t>中国国旅</t>
    <rPh sb="0" eb="1">
      <t>zhong guo guo l</t>
    </rPh>
    <phoneticPr fontId="2" type="noConversion"/>
  </si>
  <si>
    <t>永辉超市</t>
    <rPh sb="0" eb="1">
      <t>yong hui chao shi</t>
    </rPh>
    <phoneticPr fontId="2" type="noConversion"/>
  </si>
  <si>
    <t>云南白药</t>
    <rPh sb="0" eb="1">
      <t>yun nan bai yao</t>
    </rPh>
    <phoneticPr fontId="2" type="noConversion"/>
  </si>
  <si>
    <t>晨光文具</t>
    <rPh sb="0" eb="1">
      <t>chen guang wen ju</t>
    </rPh>
    <phoneticPr fontId="2" type="noConversion"/>
  </si>
  <si>
    <t>资金</t>
    <rPh sb="0" eb="1">
      <t>zi jin</t>
    </rPh>
    <phoneticPr fontId="2" type="noConversion"/>
  </si>
  <si>
    <t>保险</t>
    <rPh sb="0" eb="1">
      <t>bao xian</t>
    </rPh>
    <phoneticPr fontId="2" type="noConversion"/>
  </si>
  <si>
    <t>银行</t>
    <rPh sb="0" eb="1">
      <t>yin hang</t>
    </rPh>
    <phoneticPr fontId="2" type="noConversion"/>
  </si>
  <si>
    <t>证券</t>
    <rPh sb="0" eb="1">
      <t>zheng quan</t>
    </rPh>
    <phoneticPr fontId="2" type="noConversion"/>
  </si>
  <si>
    <t>中国平安</t>
    <rPh sb="0" eb="1">
      <t>zhong guo ping an</t>
    </rPh>
    <phoneticPr fontId="2" type="noConversion"/>
  </si>
  <si>
    <t>招商银行</t>
    <rPh sb="0" eb="1">
      <t>zhao shang yin hang</t>
    </rPh>
    <phoneticPr fontId="2" type="noConversion"/>
  </si>
  <si>
    <t>建设银行</t>
    <rPh sb="0" eb="1">
      <t>jian she yin hang</t>
    </rPh>
    <phoneticPr fontId="2" type="noConversion"/>
  </si>
  <si>
    <t>中信证券</t>
    <rPh sb="0" eb="1">
      <t>zhong xin zheng quan</t>
    </rPh>
    <phoneticPr fontId="2" type="noConversion"/>
  </si>
  <si>
    <t>海通证券</t>
    <rPh sb="0" eb="1">
      <t>hai tong zheng quan</t>
    </rPh>
    <phoneticPr fontId="2" type="noConversion"/>
  </si>
  <si>
    <t>华泰证券</t>
    <rPh sb="0" eb="1">
      <t>hua tai zheng quan</t>
    </rPh>
    <phoneticPr fontId="2" type="noConversion"/>
  </si>
  <si>
    <t>东方财富</t>
    <rPh sb="0" eb="1">
      <t>dong fang cai fu</t>
    </rPh>
    <phoneticPr fontId="2" type="noConversion"/>
  </si>
  <si>
    <t>同花顺</t>
    <rPh sb="0" eb="1">
      <t>tong hua shun</t>
    </rPh>
    <phoneticPr fontId="2" type="noConversion"/>
  </si>
  <si>
    <t>其他</t>
    <rPh sb="0" eb="1">
      <t>qi ta</t>
    </rPh>
    <phoneticPr fontId="2" type="noConversion"/>
  </si>
  <si>
    <t>安防</t>
    <rPh sb="0" eb="1">
      <t>an fang</t>
    </rPh>
    <phoneticPr fontId="2" type="noConversion"/>
  </si>
  <si>
    <t>地产</t>
    <rPh sb="0" eb="1">
      <t>di chan</t>
    </rPh>
    <phoneticPr fontId="2" type="noConversion"/>
  </si>
  <si>
    <t>建筑</t>
    <rPh sb="0" eb="1">
      <t>jian zhu</t>
    </rPh>
    <phoneticPr fontId="2" type="noConversion"/>
  </si>
  <si>
    <t>汽车</t>
    <rPh sb="0" eb="1">
      <t>qi che</t>
    </rPh>
    <phoneticPr fontId="2" type="noConversion"/>
  </si>
  <si>
    <t>化学</t>
    <rPh sb="0" eb="1">
      <t>hua xue</t>
    </rPh>
    <phoneticPr fontId="2" type="noConversion"/>
  </si>
  <si>
    <t>海康威视</t>
    <rPh sb="0" eb="1">
      <t>hai kang wei shi</t>
    </rPh>
    <phoneticPr fontId="2" type="noConversion"/>
  </si>
  <si>
    <t>大华股份</t>
    <rPh sb="0" eb="1">
      <t>da hua gu fen</t>
    </rPh>
    <phoneticPr fontId="2" type="noConversion"/>
  </si>
  <si>
    <t>万科A</t>
    <rPh sb="0" eb="1">
      <t>wan ke</t>
    </rPh>
    <phoneticPr fontId="2" type="noConversion"/>
  </si>
  <si>
    <t>华夏幸福</t>
    <rPh sb="0" eb="1">
      <t>hua xia xing fu</t>
    </rPh>
    <phoneticPr fontId="2" type="noConversion"/>
  </si>
  <si>
    <t>东方雨虹</t>
    <rPh sb="0" eb="1">
      <t>dong fang yu hong</t>
    </rPh>
    <phoneticPr fontId="2" type="noConversion"/>
  </si>
  <si>
    <t>海螺水泥</t>
    <rPh sb="0" eb="1">
      <t>hai luo shui ni</t>
    </rPh>
    <phoneticPr fontId="2" type="noConversion"/>
  </si>
  <si>
    <t>上汽集团</t>
    <rPh sb="0" eb="1">
      <t>shang qi ji tuan</t>
    </rPh>
    <phoneticPr fontId="2" type="noConversion"/>
  </si>
  <si>
    <t>福耀玻璃</t>
    <rPh sb="0" eb="1">
      <t>fu yao bo li</t>
    </rPh>
    <phoneticPr fontId="2" type="noConversion"/>
  </si>
  <si>
    <t>华域汽车</t>
    <rPh sb="0" eb="1">
      <t>hua yu qi che</t>
    </rPh>
    <phoneticPr fontId="2" type="noConversion"/>
  </si>
  <si>
    <t>万华化学</t>
    <rPh sb="0" eb="1">
      <t>wan hua hua xue</t>
    </rPh>
    <phoneticPr fontId="2" type="noConversion"/>
  </si>
  <si>
    <t>基础信息</t>
    <rPh sb="0" eb="1">
      <t>ji chu xin xi</t>
    </rPh>
    <phoneticPr fontId="2" type="noConversion"/>
  </si>
  <si>
    <t>公司名称</t>
    <rPh sb="0" eb="1">
      <t>gong si ming cheng</t>
    </rPh>
    <phoneticPr fontId="2" type="noConversion"/>
  </si>
  <si>
    <t>普通股总数（万）</t>
    <rPh sb="0" eb="1">
      <t>pu tong gu</t>
    </rPh>
    <rPh sb="3" eb="4">
      <t>zong shu</t>
    </rPh>
    <rPh sb="6" eb="7">
      <t>wan</t>
    </rPh>
    <phoneticPr fontId="2" type="noConversion"/>
  </si>
  <si>
    <t>年度经营净现金流（万）</t>
    <rPh sb="0" eb="1">
      <t>nian du jing ying</t>
    </rPh>
    <rPh sb="4" eb="5">
      <t>jing</t>
    </rPh>
    <rPh sb="5" eb="6">
      <t>xian jin liu</t>
    </rPh>
    <rPh sb="9" eb="10">
      <t>wan</t>
    </rPh>
    <phoneticPr fontId="2" type="noConversion"/>
  </si>
  <si>
    <t>减 资本支出（万）</t>
    <rPh sb="0" eb="1">
      <t>jian</t>
    </rPh>
    <rPh sb="2" eb="3">
      <t>zi ben zi chu</t>
    </rPh>
    <rPh sb="4" eb="5">
      <t>zhi chu</t>
    </rPh>
    <rPh sb="7" eb="8">
      <t>wan</t>
    </rPh>
    <phoneticPr fontId="2" type="noConversion"/>
  </si>
  <si>
    <t>年度自由现金流（万）</t>
    <rPh sb="0" eb="1">
      <t>nian du</t>
    </rPh>
    <rPh sb="2" eb="3">
      <t>zi you xian jin liu</t>
    </rPh>
    <rPh sb="8" eb="9">
      <t>wan</t>
    </rPh>
    <phoneticPr fontId="2" type="noConversion"/>
  </si>
  <si>
    <t>重要项目</t>
    <rPh sb="0" eb="1">
      <t>zhong yao xiang m</t>
    </rPh>
    <phoneticPr fontId="2" type="noConversion"/>
  </si>
  <si>
    <t>预测期内增长率</t>
    <rPh sb="0" eb="1">
      <t>yu ce qi nei zeng zhang l</t>
    </rPh>
    <rPh sb="2" eb="3">
      <t>qi</t>
    </rPh>
    <phoneticPr fontId="2" type="noConversion"/>
  </si>
  <si>
    <t>折现系数</t>
    <rPh sb="0" eb="1">
      <t>zhe xian xi shu</t>
    </rPh>
    <phoneticPr fontId="2" type="noConversion"/>
  </si>
  <si>
    <t>折现现金流</t>
    <rPh sb="0" eb="1">
      <t>zhe xian xian jin liu</t>
    </rPh>
    <phoneticPr fontId="2" type="noConversion"/>
  </si>
  <si>
    <t>详细预测期</t>
    <rPh sb="0" eb="1">
      <t>xiang xi yu ce qi</t>
    </rPh>
    <phoneticPr fontId="2" type="noConversion"/>
  </si>
  <si>
    <t>永续增长期</t>
    <rPh sb="0" eb="1">
      <t>yong xu zeng zhang qi</t>
    </rPh>
    <phoneticPr fontId="2" type="noConversion"/>
  </si>
  <si>
    <t>11～∞</t>
    <phoneticPr fontId="2" type="noConversion"/>
  </si>
  <si>
    <t>公司价值</t>
    <rPh sb="0" eb="1">
      <t>gon si jia zhi</t>
    </rPh>
    <phoneticPr fontId="2" type="noConversion"/>
  </si>
  <si>
    <t>折现率(8%-12%)</t>
    <rPh sb="0" eb="1">
      <t>zhe xian lü</t>
    </rPh>
    <phoneticPr fontId="2" type="noConversion"/>
  </si>
  <si>
    <t>永续增长率（中国长期GDP增长率）</t>
    <rPh sb="0" eb="1">
      <t>yong xu zeng zhang l</t>
    </rPh>
    <rPh sb="6" eb="7">
      <t>zhong guo</t>
    </rPh>
    <rPh sb="8" eb="9">
      <t>chang qi</t>
    </rPh>
    <rPh sb="13" eb="14">
      <t>zeng zhang l</t>
    </rPh>
    <phoneticPr fontId="2" type="noConversion"/>
  </si>
  <si>
    <t>每股价值</t>
    <rPh sb="0" eb="1">
      <t>mei</t>
    </rPh>
    <phoneticPr fontId="2" type="noConversion"/>
  </si>
  <si>
    <t>公募持仓</t>
    <rPh sb="0" eb="1">
      <t>gong mu chi cang</t>
    </rPh>
    <phoneticPr fontId="2" type="noConversion"/>
  </si>
  <si>
    <t>久期占比</t>
    <rPh sb="0" eb="1">
      <t>jiu qi</t>
    </rPh>
    <rPh sb="2" eb="3">
      <t>zhan bi</t>
    </rPh>
    <phoneticPr fontId="2" type="noConversion"/>
  </si>
  <si>
    <t>增长率</t>
    <phoneticPr fontId="2" type="noConversion"/>
  </si>
  <si>
    <t>利率</t>
    <phoneticPr fontId="2" type="noConversion"/>
  </si>
  <si>
    <t>分红比率</t>
    <phoneticPr fontId="2" type="noConversion"/>
  </si>
  <si>
    <t>现值</t>
    <phoneticPr fontId="2" type="noConversion"/>
  </si>
  <si>
    <t>eps</t>
    <phoneticPr fontId="2" type="noConversion"/>
  </si>
  <si>
    <t>宁德时代</t>
    <rPh sb="0" eb="1">
      <t>ning de shi dai</t>
    </rPh>
    <phoneticPr fontId="2" type="noConversion"/>
  </si>
  <si>
    <t>现值</t>
    <phoneticPr fontId="2" type="noConversion"/>
  </si>
  <si>
    <t>增长率</t>
    <phoneticPr fontId="2" type="noConversion"/>
  </si>
  <si>
    <t>利率</t>
    <phoneticPr fontId="2" type="noConversion"/>
  </si>
  <si>
    <t>价格增幅</t>
    <phoneticPr fontId="2" type="noConversion"/>
  </si>
  <si>
    <t>利率变动</t>
    <phoneticPr fontId="2" type="noConversion"/>
  </si>
  <si>
    <t>久期</t>
    <phoneticPr fontId="2" type="noConversion"/>
  </si>
  <si>
    <t>估值要素分拆表</t>
    <rPh sb="0" eb="1">
      <t>gu zhi yao su</t>
    </rPh>
    <rPh sb="4" eb="5">
      <t>fen chai biao</t>
    </rPh>
    <rPh sb="6" eb="7">
      <t>biao</t>
    </rPh>
    <phoneticPr fontId="2" type="noConversion"/>
  </si>
  <si>
    <t>不变部分估值</t>
    <rPh sb="4" eb="5">
      <t>gu zhi</t>
    </rPh>
    <phoneticPr fontId="2" type="noConversion"/>
  </si>
  <si>
    <t>可变部分估值</t>
    <rPh sb="0" eb="1">
      <t>ke bian bu fen gu zhi</t>
    </rPh>
    <phoneticPr fontId="2" type="noConversion"/>
  </si>
  <si>
    <t>估值基准倍数</t>
    <rPh sb="0" eb="1">
      <t>gu zhi ji zhun bei shu</t>
    </rPh>
    <phoneticPr fontId="2" type="noConversion"/>
  </si>
  <si>
    <t>1、未来发展空间</t>
    <rPh sb="2" eb="3">
      <t>wei lai fa zhan kong jian</t>
    </rPh>
    <phoneticPr fontId="2" type="noConversion"/>
  </si>
  <si>
    <t>2、有行业壁垒或是行业龙头</t>
    <rPh sb="2" eb="3">
      <t>you hang ye bi lei</t>
    </rPh>
    <rPh sb="7" eb="8">
      <t>huo</t>
    </rPh>
    <rPh sb="8" eb="9">
      <t>shi</t>
    </rPh>
    <rPh sb="9" eb="10">
      <t>hang ye long tou</t>
    </rPh>
    <phoneticPr fontId="2" type="noConversion"/>
  </si>
  <si>
    <t>3、商业模式的稳定性</t>
    <rPh sb="2" eb="3">
      <t>shang ye mo shi de wen ding xing</t>
    </rPh>
    <phoneticPr fontId="2" type="noConversion"/>
  </si>
  <si>
    <t>10-15倍</t>
    <rPh sb="5" eb="6">
      <t>bei</t>
    </rPh>
    <phoneticPr fontId="2" type="noConversion"/>
  </si>
  <si>
    <t>5倍</t>
    <rPh sb="1" eb="2">
      <t>bei</t>
    </rPh>
    <phoneticPr fontId="2" type="noConversion"/>
  </si>
  <si>
    <t>10倍</t>
    <rPh sb="2" eb="3">
      <t>bei</t>
    </rPh>
    <phoneticPr fontId="2" type="noConversion"/>
  </si>
  <si>
    <t>4、业绩增速</t>
    <rPh sb="2" eb="3">
      <t>ye ji zeng s</t>
    </rPh>
    <phoneticPr fontId="2" type="noConversion"/>
  </si>
  <si>
    <t>5、行业景气度</t>
    <rPh sb="2" eb="3">
      <t>hang ye jing qi du</t>
    </rPh>
    <phoneticPr fontId="2" type="noConversion"/>
  </si>
  <si>
    <t>6、风险偏好</t>
    <rPh sb="2" eb="3">
      <t>feng xian pian hao</t>
    </rPh>
    <phoneticPr fontId="2" type="noConversion"/>
  </si>
  <si>
    <t>未来三年业绩增速进行加减</t>
    <rPh sb="0" eb="1">
      <t>wei lai san nian ye ji zeng su</t>
    </rPh>
    <rPh sb="8" eb="9">
      <t>jin xing jia jian</t>
    </rPh>
    <phoneticPr fontId="2" type="noConversion"/>
  </si>
  <si>
    <t>5-10倍</t>
    <rPh sb="4" eb="5">
      <t>bei</t>
    </rPh>
    <phoneticPr fontId="2" type="noConversion"/>
  </si>
  <si>
    <t>5-10倍（可以为负）</t>
    <rPh sb="4" eb="5">
      <t>bei</t>
    </rPh>
    <rPh sb="6" eb="7">
      <t>ke yi wei fu</t>
    </rPh>
    <phoneticPr fontId="2" type="noConversion"/>
  </si>
  <si>
    <t>估值基准倍数</t>
    <phoneticPr fontId="2" type="noConversion"/>
  </si>
  <si>
    <t>久期</t>
    <rPh sb="0" eb="1">
      <t>jiu qi</t>
    </rPh>
    <phoneticPr fontId="2" type="noConversion"/>
  </si>
  <si>
    <t>投资的根基</t>
    <rPh sb="0" eb="1">
      <t>tou zi de gen ji</t>
    </rPh>
    <phoneticPr fontId="2" type="noConversion"/>
  </si>
  <si>
    <t>反向操作，大波段高抛低吸</t>
    <rPh sb="0" eb="1">
      <t>fan xiang cao zuo</t>
    </rPh>
    <rPh sb="5" eb="6">
      <t>da bo duan</t>
    </rPh>
    <rPh sb="8" eb="9">
      <t>gao pao di xi</t>
    </rPh>
    <phoneticPr fontId="2" type="noConversion"/>
  </si>
  <si>
    <t>1.营业收入</t>
    <rPh sb="2" eb="3">
      <t>ying ye shou ru</t>
    </rPh>
    <phoneticPr fontId="2" type="noConversion"/>
  </si>
  <si>
    <t>2.净利润</t>
    <rPh sb="2" eb="3">
      <t>jing li run</t>
    </rPh>
    <phoneticPr fontId="2" type="noConversion"/>
  </si>
  <si>
    <t>3.销售商品、提供劳务收到的现金</t>
    <rPh sb="2" eb="3">
      <t>xiao shou shang pin</t>
    </rPh>
    <rPh sb="7" eb="8">
      <t>ti gong lao wu</t>
    </rPh>
    <rPh sb="11" eb="12">
      <t>shou dao de xian jin</t>
    </rPh>
    <phoneticPr fontId="2" type="noConversion"/>
  </si>
  <si>
    <t>2.存货周转天数</t>
    <rPh sb="2" eb="3">
      <t>cun huo zhou zhuan</t>
    </rPh>
    <rPh sb="6" eb="7">
      <t>tian shu</t>
    </rPh>
    <phoneticPr fontId="2" type="noConversion"/>
  </si>
  <si>
    <t>1.应收帐款天数</t>
    <rPh sb="2" eb="3">
      <t>ying shou zhang k</t>
    </rPh>
    <rPh sb="6" eb="7">
      <t>tian shu</t>
    </rPh>
    <phoneticPr fontId="2" type="noConversion"/>
  </si>
  <si>
    <t>3.货币资金、短期借款、理财产品和股票质押</t>
    <rPh sb="2" eb="3">
      <t>huo bi zi jin</t>
    </rPh>
    <rPh sb="7" eb="8">
      <t>duan qi jie kuan</t>
    </rPh>
    <rPh sb="12" eb="13">
      <t>li cai chan pin</t>
    </rPh>
    <rPh sb="16" eb="17">
      <t>he</t>
    </rPh>
    <rPh sb="17" eb="18">
      <t>gu piao zhi ya</t>
    </rPh>
    <phoneticPr fontId="2" type="noConversion"/>
  </si>
  <si>
    <t>1.毛利率</t>
    <rPh sb="2" eb="3">
      <t>mao li l</t>
    </rPh>
    <phoneticPr fontId="2" type="noConversion"/>
  </si>
  <si>
    <t>2.净利率</t>
    <rPh sb="2" eb="3">
      <t>jing li l</t>
    </rPh>
    <phoneticPr fontId="2" type="noConversion"/>
  </si>
  <si>
    <t>3.总资产周转率</t>
    <rPh sb="2" eb="3">
      <t>zong zi chan zhou zhuan lü</t>
    </rPh>
    <phoneticPr fontId="2" type="noConversion"/>
  </si>
  <si>
    <t>4.杠杆率</t>
    <rPh sb="2" eb="3">
      <t>gang gan lü</t>
    </rPh>
    <phoneticPr fontId="2" type="noConversion"/>
  </si>
  <si>
    <t>1、商誉</t>
    <rPh sb="2" eb="3">
      <t>shang yu</t>
    </rPh>
    <phoneticPr fontId="2" type="noConversion"/>
  </si>
  <si>
    <t>1.经销商</t>
    <rPh sb="2" eb="3">
      <t>jing xiao shang</t>
    </rPh>
    <phoneticPr fontId="2" type="noConversion"/>
  </si>
  <si>
    <t>3.to C</t>
    <phoneticPr fontId="2" type="noConversion"/>
  </si>
  <si>
    <t>2、销售费用</t>
    <rPh sb="2" eb="3">
      <t>xiao shou fei yong</t>
    </rPh>
    <phoneticPr fontId="2" type="noConversion"/>
  </si>
  <si>
    <t>经营无关现金扣除</t>
    <rPh sb="0" eb="1">
      <t>jing ying wu guan xian jin</t>
    </rPh>
    <rPh sb="6" eb="7">
      <t>kou chu</t>
    </rPh>
    <phoneticPr fontId="2" type="noConversion"/>
  </si>
  <si>
    <t>现金资产</t>
    <rPh sb="0" eb="1">
      <t>xian jin zi chan</t>
    </rPh>
    <phoneticPr fontId="2" type="noConversion"/>
  </si>
  <si>
    <t>1、货币资金</t>
    <rPh sb="2" eb="3">
      <t>huo bi zi jin</t>
    </rPh>
    <phoneticPr fontId="2" type="noConversion"/>
  </si>
  <si>
    <t>2、长短期借款、债券、一年内到期负债</t>
    <rPh sb="2" eb="3">
      <t>chang duan qi jie kuan</t>
    </rPh>
    <rPh sb="8" eb="9">
      <t>zhai quan</t>
    </rPh>
    <rPh sb="11" eb="12">
      <t>yi nian nei</t>
    </rPh>
    <rPh sb="14" eb="15">
      <t>dao qi fu zhai</t>
    </rPh>
    <phoneticPr fontId="2" type="noConversion"/>
  </si>
  <si>
    <t>股本</t>
    <rPh sb="0" eb="1">
      <t>gu ben</t>
    </rPh>
    <phoneticPr fontId="2" type="noConversion"/>
  </si>
  <si>
    <t>纯现金（上述两项之差）</t>
    <rPh sb="0" eb="1">
      <t>chun xian jin</t>
    </rPh>
    <rPh sb="4" eb="5">
      <t>shang shu</t>
    </rPh>
    <rPh sb="6" eb="7">
      <t>liang xiang</t>
    </rPh>
    <rPh sb="8" eb="9">
      <t>zhi cha</t>
    </rPh>
    <phoneticPr fontId="2" type="noConversion"/>
  </si>
  <si>
    <t>经营无关现金（纯现金扣除经营现金）</t>
    <rPh sb="0" eb="1">
      <t>jing ying wu guan xian jin</t>
    </rPh>
    <rPh sb="7" eb="8">
      <t>chun xian jin</t>
    </rPh>
    <rPh sb="10" eb="11">
      <t>kou chu</t>
    </rPh>
    <rPh sb="12" eb="13">
      <t>jing ying xian jin</t>
    </rPh>
    <phoneticPr fontId="2" type="noConversion"/>
  </si>
  <si>
    <t>每股现金（经营无关现金／股本）</t>
    <rPh sb="0" eb="1">
      <t>mei gu xian jin</t>
    </rPh>
    <rPh sb="5" eb="6">
      <t>jing ying wu guan xian jin</t>
    </rPh>
    <rPh sb="12" eb="13">
      <t>gu ben</t>
    </rPh>
    <phoneticPr fontId="2" type="noConversion"/>
  </si>
  <si>
    <t>当前的股价需要扣除每股现金</t>
    <rPh sb="0" eb="1">
      <t>dang qian de gu jia</t>
    </rPh>
    <rPh sb="5" eb="6">
      <t>xu yao</t>
    </rPh>
    <rPh sb="7" eb="8">
      <t>kou chu</t>
    </rPh>
    <rPh sb="9" eb="10">
      <t>mei gu xian jin</t>
    </rPh>
    <phoneticPr fontId="2" type="noConversion"/>
  </si>
  <si>
    <t>第一阶段增长率（5年）</t>
    <rPh sb="0" eb="1">
      <t>di yi jie duan zeng zhang</t>
    </rPh>
    <rPh sb="6" eb="7">
      <t>lü</t>
    </rPh>
    <rPh sb="9" eb="10">
      <t>nian</t>
    </rPh>
    <phoneticPr fontId="2" type="noConversion"/>
  </si>
  <si>
    <t>第二阶段增长率（5年）</t>
    <rPh sb="0" eb="1">
      <t>di yi jie duan zeng zhang</t>
    </rPh>
    <rPh sb="1" eb="2">
      <t>er</t>
    </rPh>
    <rPh sb="6" eb="7">
      <t>lü</t>
    </rPh>
    <rPh sb="9" eb="10">
      <t>nian</t>
    </rPh>
    <phoneticPr fontId="2" type="noConversion"/>
  </si>
  <si>
    <t>现金流折现模型比较理论化，可用来计算当前股价的内在价值，适用面比较窄，仅适用于有着源源不断现金流的日常消费行业；</t>
    <phoneticPr fontId="2" type="noConversion"/>
  </si>
  <si>
    <t>现金流折现模型比较理论化，可用来计算当前股价的内在价值，适用面比较窄，仅适用于有着源源不断现金流的日常消费行业；</t>
    <phoneticPr fontId="2" type="noConversion"/>
  </si>
  <si>
    <t>每股收益率TTM</t>
    <rPh sb="0" eb="1">
      <t>mei gu shou yi lü</t>
    </rPh>
    <phoneticPr fontId="2" type="noConversion"/>
  </si>
  <si>
    <t>当前股价</t>
    <rPh sb="0" eb="1">
      <t>dagn qian gu jia</t>
    </rPh>
    <phoneticPr fontId="2" type="noConversion"/>
  </si>
  <si>
    <t>当前市盈率</t>
    <rPh sb="0" eb="1">
      <t>dang qian shi ying l</t>
    </rPh>
    <phoneticPr fontId="2" type="noConversion"/>
  </si>
  <si>
    <t>历史平均市盈率</t>
    <rPh sb="0" eb="1">
      <t>li shi ping jun shi ying l</t>
    </rPh>
    <phoneticPr fontId="2" type="noConversion"/>
  </si>
  <si>
    <t>第一阶段增长率（2年）</t>
    <rPh sb="0" eb="1">
      <t>di yi jie duan zeng zhang l</t>
    </rPh>
    <rPh sb="9" eb="10">
      <t>nian</t>
    </rPh>
    <phoneticPr fontId="2" type="noConversion"/>
  </si>
  <si>
    <t>第二阶段增长率（3年）</t>
    <rPh sb="0" eb="1">
      <t>di yi jie duan zeng zhang l</t>
    </rPh>
    <rPh sb="1" eb="2">
      <t>er</t>
    </rPh>
    <rPh sb="9" eb="10">
      <t>nian</t>
    </rPh>
    <phoneticPr fontId="2" type="noConversion"/>
  </si>
  <si>
    <t>市盈率容错</t>
    <rPh sb="0" eb="1">
      <t>shi ying l</t>
    </rPh>
    <rPh sb="3" eb="4">
      <t>rong cuo</t>
    </rPh>
    <phoneticPr fontId="2" type="noConversion"/>
  </si>
  <si>
    <t>增长率容错</t>
    <rPh sb="0" eb="1">
      <t>zeng zhang</t>
    </rPh>
    <rPh sb="3" eb="4">
      <t>rong cuo</t>
    </rPh>
    <phoneticPr fontId="2" type="noConversion"/>
  </si>
  <si>
    <t>年化收益率计算模型</t>
    <rPh sb="0" eb="1">
      <t>nian hua shou yi l</t>
    </rPh>
    <rPh sb="5" eb="6">
      <t>ji suan mo xing</t>
    </rPh>
    <phoneticPr fontId="2" type="noConversion"/>
  </si>
  <si>
    <t>悲观</t>
    <rPh sb="0" eb="1">
      <t>bei guan</t>
    </rPh>
    <phoneticPr fontId="2" type="noConversion"/>
  </si>
  <si>
    <t>偏悲观</t>
    <rPh sb="0" eb="1">
      <t>pian</t>
    </rPh>
    <phoneticPr fontId="2" type="noConversion"/>
  </si>
  <si>
    <t>适中</t>
    <rPh sb="0" eb="1">
      <t>shi zhong</t>
    </rPh>
    <phoneticPr fontId="2" type="noConversion"/>
  </si>
  <si>
    <t>偏乐观</t>
    <rPh sb="0" eb="1">
      <t>pian le guan</t>
    </rPh>
    <phoneticPr fontId="2" type="noConversion"/>
  </si>
  <si>
    <t>乐观</t>
    <rPh sb="0" eb="1">
      <t>le guan</t>
    </rPh>
    <phoneticPr fontId="2" type="noConversion"/>
  </si>
  <si>
    <t>市盈率</t>
    <rPh sb="0" eb="1">
      <t>shi ying l</t>
    </rPh>
    <phoneticPr fontId="2" type="noConversion"/>
  </si>
  <si>
    <t>增长率1</t>
    <rPh sb="0" eb="1">
      <t>zeng zhang l</t>
    </rPh>
    <phoneticPr fontId="2" type="noConversion"/>
  </si>
  <si>
    <t>增长率2</t>
    <rPh sb="0" eb="1">
      <t>zeng zhang l</t>
    </rPh>
    <phoneticPr fontId="2" type="noConversion"/>
  </si>
  <si>
    <t>收益率</t>
    <rPh sb="0" eb="1">
      <t>shou yi l</t>
    </rPh>
    <phoneticPr fontId="2" type="noConversion"/>
  </si>
  <si>
    <t>前一周</t>
    <rPh sb="0" eb="1">
      <t>qian yi ge jiao yi ri</t>
    </rPh>
    <rPh sb="2" eb="3">
      <t>zhou</t>
    </rPh>
    <phoneticPr fontId="2" type="noConversion"/>
  </si>
  <si>
    <t>当周</t>
    <rPh sb="0" eb="1">
      <t>dang ri</t>
    </rPh>
    <rPh sb="1" eb="2">
      <t>zhou</t>
    </rPh>
    <phoneticPr fontId="2" type="noConversion"/>
  </si>
  <si>
    <t>6、产品或服务结构</t>
    <rPh sb="2" eb="3">
      <t>chan pin huo fu wu</t>
    </rPh>
    <rPh sb="7" eb="8">
      <t>jie gou</t>
    </rPh>
    <phoneticPr fontId="2" type="noConversion"/>
  </si>
  <si>
    <t>2.to B</t>
    <phoneticPr fontId="2" type="noConversion"/>
  </si>
  <si>
    <t>1.产品种类</t>
    <rPh sb="2" eb="3">
      <t>chan pin zhong lei</t>
    </rPh>
    <phoneticPr fontId="2" type="noConversion"/>
  </si>
  <si>
    <t>2.每种产品贡献的利润</t>
    <rPh sb="2" eb="3">
      <t>mei zhong chan pin</t>
    </rPh>
    <rPh sb="6" eb="7">
      <t>gong xian de</t>
    </rPh>
    <rPh sb="9" eb="10">
      <t>li run</t>
    </rPh>
    <phoneticPr fontId="2" type="noConversion"/>
  </si>
  <si>
    <t>7、安全性</t>
    <rPh sb="2" eb="3">
      <t>an quan xing</t>
    </rPh>
    <phoneticPr fontId="2" type="noConversion"/>
  </si>
  <si>
    <t>1.货币资金／总资产</t>
    <rPh sb="2" eb="3">
      <t>huo bi zi jin</t>
    </rPh>
    <rPh sb="7" eb="8">
      <t>zong zi chan</t>
    </rPh>
    <phoneticPr fontId="2" type="noConversion"/>
  </si>
  <si>
    <t>2.短期借款、长期借款／总资产</t>
    <rPh sb="2" eb="3">
      <t>duan qi jie kuan</t>
    </rPh>
    <rPh sb="7" eb="8">
      <t>chang qi jie kuan</t>
    </rPh>
    <rPh sb="12" eb="13">
      <t>zong zi chan</t>
    </rPh>
    <phoneticPr fontId="2" type="noConversion"/>
  </si>
  <si>
    <t>3.非流动资产／总资产</t>
    <rPh sb="2" eb="3">
      <t>fei liu dong zi chan</t>
    </rPh>
    <rPh sb="8" eb="9">
      <t>zong zi chan</t>
    </rPh>
    <phoneticPr fontId="2" type="noConversion"/>
  </si>
  <si>
    <t>4.资产负债率</t>
    <rPh sb="2" eb="3">
      <t>zi chan fu zhai l</t>
    </rPh>
    <phoneticPr fontId="2" type="noConversion"/>
  </si>
  <si>
    <t>4.存货数量</t>
    <rPh sb="2" eb="3">
      <t>cun huo shu liang</t>
    </rPh>
    <phoneticPr fontId="2" type="noConversion"/>
  </si>
  <si>
    <t>1、供应链控制力</t>
    <rPh sb="2" eb="3">
      <t>gong ying lian</t>
    </rPh>
    <rPh sb="5" eb="6">
      <t>kong zhi li</t>
    </rPh>
    <phoneticPr fontId="2" type="noConversion"/>
  </si>
  <si>
    <t>经营周期=存货周转天数+应收账款周转天数=应付账款周转天数+现金短缺天数</t>
    <phoneticPr fontId="2" type="noConversion"/>
  </si>
  <si>
    <t>现金周转天数为负代表企业必须要额外注资进行经营活动</t>
    <rPh sb="0" eb="1">
      <t>xian jin zhou zhuan tian shu</t>
    </rPh>
    <rPh sb="6" eb="7">
      <t>wei fu</t>
    </rPh>
    <rPh sb="8" eb="9">
      <t>dai biao</t>
    </rPh>
    <rPh sb="10" eb="11">
      <t>qi ye</t>
    </rPh>
    <rPh sb="12" eb="13">
      <t>b xu y</t>
    </rPh>
    <rPh sb="15" eb="16">
      <t>e wai</t>
    </rPh>
    <rPh sb="17" eb="18">
      <t>zhu zi</t>
    </rPh>
    <rPh sb="19" eb="20">
      <t>jin xing jing ying huo dong</t>
    </rPh>
    <phoneticPr fontId="2" type="noConversion"/>
  </si>
  <si>
    <t>7.净利润／资本支出——自由现金流为正</t>
    <rPh sb="2" eb="3">
      <t>jing li run</t>
    </rPh>
    <rPh sb="6" eb="7">
      <t>zi ben zhi chu</t>
    </rPh>
    <rPh sb="12" eb="13">
      <t>zi you xian jin liu</t>
    </rPh>
    <rPh sb="17" eb="18">
      <t>wei zheng</t>
    </rPh>
    <rPh sb="18" eb="19">
      <t>zheng</t>
    </rPh>
    <phoneticPr fontId="2" type="noConversion"/>
  </si>
  <si>
    <t>6.经营活动产生的现金／净利润——收入是否健康</t>
    <rPh sb="2" eb="3">
      <t>jing ying huo dong</t>
    </rPh>
    <rPh sb="6" eb="7">
      <t>chan sheng</t>
    </rPh>
    <rPh sb="12" eb="13">
      <t>jing li run</t>
    </rPh>
    <rPh sb="17" eb="18">
      <t>shou ru shi fou jian kang</t>
    </rPh>
    <phoneticPr fontId="2" type="noConversion"/>
  </si>
  <si>
    <t>测试模版</t>
    <rPh sb="0" eb="1">
      <t>ce shi mo ban</t>
    </rPh>
    <phoneticPr fontId="2" type="noConversion"/>
  </si>
  <si>
    <t>投资最重要的事情是：在行业或者公司不景气的时候买入，在景气的时候卖出</t>
    <rPh sb="0" eb="1">
      <t>tou zi</t>
    </rPh>
    <rPh sb="2" eb="3">
      <t>zui zhong yao de shi qing</t>
    </rPh>
    <rPh sb="8" eb="9">
      <t>shi</t>
    </rPh>
    <rPh sb="10" eb="11">
      <t>zai</t>
    </rPh>
    <rPh sb="11" eb="12">
      <t>hang ye</t>
    </rPh>
    <rPh sb="13" eb="14">
      <t>huo zhe</t>
    </rPh>
    <rPh sb="15" eb="16">
      <t>gong si</t>
    </rPh>
    <rPh sb="17" eb="18">
      <t>bu jing qi</t>
    </rPh>
    <rPh sb="20" eb="21">
      <t>de</t>
    </rPh>
    <rPh sb="21" eb="22">
      <t>shi h</t>
    </rPh>
    <rPh sb="23" eb="24">
      <t>mai ru</t>
    </rPh>
    <rPh sb="26" eb="27">
      <t>zai</t>
    </rPh>
    <rPh sb="32" eb="33">
      <t>mai chu</t>
    </rPh>
    <phoneticPr fontId="2" type="noConversion"/>
  </si>
  <si>
    <t>4、EPS</t>
    <phoneticPr fontId="2" type="noConversion"/>
  </si>
  <si>
    <t>5.销售商品提供劳务收到的现金／营业收入——是否收到真金白银</t>
    <rPh sb="22" eb="23">
      <t>shi fou</t>
    </rPh>
    <rPh sb="24" eb="25">
      <t>shou dao</t>
    </rPh>
    <rPh sb="26" eb="27">
      <t>zhen jin bai yin</t>
    </rPh>
    <phoneticPr fontId="2" type="noConversion"/>
  </si>
  <si>
    <t>现金周转期（计算出实际经营需要的现金。现金循环周期＝存货转换期间＋应收帐款转换期间－应付帐款递延期间＝生产经营周期－应付帐款平均付款期）</t>
    <rPh sb="0" eb="1">
      <t>xian jin zhou zhuan</t>
    </rPh>
    <rPh sb="4" eb="5">
      <t>qi</t>
    </rPh>
    <rPh sb="6" eb="7">
      <t>ji suan chu</t>
    </rPh>
    <rPh sb="9" eb="10">
      <t>shi ji</t>
    </rPh>
    <rPh sb="11" eb="12">
      <t>jing ying</t>
    </rPh>
    <rPh sb="13" eb="14">
      <t>xu yao de xian jin</t>
    </rPh>
    <phoneticPr fontId="2" type="noConversion"/>
  </si>
  <si>
    <t>珀莱雅</t>
    <rPh sb="0" eb="1">
      <t>po lai ya</t>
    </rPh>
    <phoneticPr fontId="2" type="noConversion"/>
  </si>
  <si>
    <t>珀莱雅</t>
    <rPh sb="0" eb="1">
      <t>po lai</t>
    </rPh>
    <phoneticPr fontId="2" type="noConversion"/>
  </si>
  <si>
    <t>1年中债国开债收益率</t>
    <rPh sb="2" eb="3">
      <t>zhong zhai</t>
    </rPh>
    <rPh sb="7" eb="8">
      <t>shou yi l</t>
    </rPh>
    <phoneticPr fontId="2" type="noConversion"/>
  </si>
  <si>
    <t>3个月中债国开债收益率</t>
    <rPh sb="1" eb="2">
      <t>ge yue</t>
    </rPh>
    <rPh sb="3" eb="4">
      <t>zhong zhai</t>
    </rPh>
    <rPh sb="8" eb="9">
      <t>shou yi l</t>
    </rPh>
    <phoneticPr fontId="2" type="noConversion"/>
  </si>
  <si>
    <t>降准预期</t>
    <rPh sb="0" eb="1">
      <t>jiang zhun</t>
    </rPh>
    <rPh sb="2" eb="3">
      <t>yu qi</t>
    </rPh>
    <phoneticPr fontId="2" type="noConversion"/>
  </si>
  <si>
    <t>通胀预期</t>
    <rPh sb="0" eb="1">
      <t>tong zhang</t>
    </rPh>
    <rPh sb="2" eb="3">
      <t>yu qi</t>
    </rPh>
    <phoneticPr fontId="2" type="noConversion"/>
  </si>
  <si>
    <t>中债商业银行同业存单收益率（AAA）</t>
    <rPh sb="2" eb="3">
      <t>shang ye yin hang</t>
    </rPh>
    <rPh sb="6" eb="7">
      <t>tong ye cun dan</t>
    </rPh>
    <rPh sb="10" eb="11">
      <t>shou yi l</t>
    </rPh>
    <phoneticPr fontId="2" type="noConversion"/>
  </si>
  <si>
    <t>1.行业规模是否持续扩张</t>
    <rPh sb="2" eb="3">
      <t>hang ye shi fou</t>
    </rPh>
    <rPh sb="4" eb="5">
      <t>gui mo</t>
    </rPh>
    <rPh sb="6" eb="7">
      <t>shi fou chi xu</t>
    </rPh>
    <rPh sb="10" eb="11">
      <t>kuo zhang</t>
    </rPh>
    <phoneticPr fontId="2" type="noConversion"/>
  </si>
  <si>
    <t>2.行业内公司的集中度</t>
    <rPh sb="2" eb="3">
      <t>hang ye nei</t>
    </rPh>
    <rPh sb="5" eb="6">
      <t>gong si de</t>
    </rPh>
    <rPh sb="8" eb="9">
      <t>ji zhong du</t>
    </rPh>
    <phoneticPr fontId="2" type="noConversion"/>
  </si>
  <si>
    <t>3.是否具备产能扩张和提价</t>
    <rPh sb="2" eb="3">
      <t>shi fou ju bei</t>
    </rPh>
    <rPh sb="6" eb="7">
      <t>chan neng</t>
    </rPh>
    <rPh sb="8" eb="9">
      <t>kuo zhang</t>
    </rPh>
    <rPh sb="10" eb="11">
      <t>he</t>
    </rPh>
    <rPh sb="11" eb="12">
      <t>ti jia</t>
    </rPh>
    <phoneticPr fontId="2" type="noConversion"/>
  </si>
  <si>
    <t>2、盈利能力</t>
    <rPh sb="2" eb="3">
      <t>ying li neng li</t>
    </rPh>
    <phoneticPr fontId="2" type="noConversion"/>
  </si>
  <si>
    <t>1、成长空间和竞争格局</t>
    <rPh sb="2" eb="3">
      <t>cheng zhang kong jian</t>
    </rPh>
    <rPh sb="6" eb="7">
      <t>he</t>
    </rPh>
    <rPh sb="7" eb="8">
      <t>jing zheng ge ju</t>
    </rPh>
    <phoneticPr fontId="2" type="noConversion"/>
  </si>
  <si>
    <t>3、运营能力</t>
    <rPh sb="2" eb="3">
      <t>yun ying neng</t>
    </rPh>
    <rPh sb="5" eb="6">
      <t>li</t>
    </rPh>
    <phoneticPr fontId="2" type="noConversion"/>
  </si>
  <si>
    <t>4、ROE</t>
    <phoneticPr fontId="2" type="noConversion"/>
  </si>
  <si>
    <t>5、议价能力</t>
    <rPh sb="2" eb="3">
      <t>yi jia neng li</t>
    </rPh>
    <phoneticPr fontId="2" type="noConversion"/>
  </si>
  <si>
    <t>4.有无替代品</t>
    <rPh sb="2" eb="3">
      <t>you wu ti dai pin</t>
    </rPh>
    <phoneticPr fontId="2" type="noConversion"/>
  </si>
  <si>
    <t>5.上下游成本转移能力</t>
    <rPh sb="2" eb="3">
      <t>shang xia you</t>
    </rPh>
    <rPh sb="5" eb="6">
      <t>cheng ben zhuan yi</t>
    </rPh>
    <rPh sb="9" eb="10">
      <t>enng li</t>
    </rPh>
    <phoneticPr fontId="2" type="noConversion"/>
  </si>
  <si>
    <t>五年中债国开债收益率</t>
    <rPh sb="0" eb="1">
      <t>wu</t>
    </rPh>
    <rPh sb="2" eb="3">
      <t>zhong zhai</t>
    </rPh>
    <rPh sb="7" eb="8">
      <t>shou yi l</t>
    </rPh>
    <phoneticPr fontId="2" type="noConversion"/>
  </si>
  <si>
    <t>拨备覆盖率：大型商业银行</t>
    <rPh sb="0" eb="1">
      <t>bo bei fu gai l</t>
    </rPh>
    <rPh sb="6" eb="7">
      <t>da xing shang ye yin hang</t>
    </rPh>
    <phoneticPr fontId="2" type="noConversion"/>
  </si>
  <si>
    <t>拨备覆盖率：股份制商业银行</t>
    <rPh sb="0" eb="1">
      <t>bo bei fu gai l</t>
    </rPh>
    <rPh sb="6" eb="7">
      <t>gu fen zhi</t>
    </rPh>
    <phoneticPr fontId="2" type="noConversion"/>
  </si>
  <si>
    <t>everyweek</t>
    <phoneticPr fontId="2" type="noConversion"/>
  </si>
  <si>
    <t>拨备覆盖率：商业银行</t>
    <rPh sb="0" eb="1">
      <t>bo bei fu gai l</t>
    </rPh>
    <phoneticPr fontId="2" type="noConversion"/>
  </si>
  <si>
    <t>2020年1月</t>
    <rPh sb="4" eb="5">
      <t>nian</t>
    </rPh>
    <rPh sb="6" eb="7">
      <t>yue fen</t>
    </rPh>
    <phoneticPr fontId="2" type="noConversion"/>
  </si>
  <si>
    <t>everymonth</t>
    <phoneticPr fontId="2" type="noConversion"/>
  </si>
  <si>
    <t>2019年1月</t>
    <rPh sb="4" eb="5">
      <t>nian</t>
    </rPh>
    <rPh sb="6" eb="7">
      <t>yue fen</t>
    </rPh>
    <phoneticPr fontId="2" type="noConversion"/>
  </si>
  <si>
    <t>2019年2月</t>
    <rPh sb="4" eb="5">
      <t>nian</t>
    </rPh>
    <rPh sb="6" eb="7">
      <t>yue fen</t>
    </rPh>
    <phoneticPr fontId="2" type="noConversion"/>
  </si>
  <si>
    <t>2019年3月</t>
    <rPh sb="4" eb="5">
      <t>nian</t>
    </rPh>
    <rPh sb="6" eb="7">
      <t>yue fen</t>
    </rPh>
    <phoneticPr fontId="2" type="noConversion"/>
  </si>
  <si>
    <t>2019年4月</t>
    <rPh sb="4" eb="5">
      <t>nian</t>
    </rPh>
    <rPh sb="6" eb="7">
      <t>yue fen</t>
    </rPh>
    <phoneticPr fontId="2" type="noConversion"/>
  </si>
  <si>
    <t>2019年5月</t>
    <rPh sb="4" eb="5">
      <t>nian</t>
    </rPh>
    <rPh sb="6" eb="7">
      <t>yue fen</t>
    </rPh>
    <phoneticPr fontId="2" type="noConversion"/>
  </si>
  <si>
    <t>2019年6月</t>
    <rPh sb="4" eb="5">
      <t>nian</t>
    </rPh>
    <rPh sb="6" eb="7">
      <t>yue fen</t>
    </rPh>
    <phoneticPr fontId="2" type="noConversion"/>
  </si>
  <si>
    <t>2019年7月</t>
    <rPh sb="4" eb="5">
      <t>nian</t>
    </rPh>
    <rPh sb="6" eb="7">
      <t>yue fen</t>
    </rPh>
    <phoneticPr fontId="2" type="noConversion"/>
  </si>
  <si>
    <t>2019年8月</t>
    <rPh sb="4" eb="5">
      <t>nian</t>
    </rPh>
    <rPh sb="6" eb="7">
      <t>yue fen</t>
    </rPh>
    <phoneticPr fontId="2" type="noConversion"/>
  </si>
  <si>
    <t>2019年9月</t>
    <rPh sb="4" eb="5">
      <t>nian</t>
    </rPh>
    <rPh sb="6" eb="7">
      <t>yue fen</t>
    </rPh>
    <phoneticPr fontId="2" type="noConversion"/>
  </si>
  <si>
    <t>2019年10月</t>
    <rPh sb="4" eb="5">
      <t>nian</t>
    </rPh>
    <rPh sb="7" eb="8">
      <t>yue fen</t>
    </rPh>
    <phoneticPr fontId="2" type="noConversion"/>
  </si>
  <si>
    <t>2019年11月</t>
    <rPh sb="4" eb="5">
      <t>nian</t>
    </rPh>
    <rPh sb="7" eb="8">
      <t>yue fen</t>
    </rPh>
    <phoneticPr fontId="2" type="noConversion"/>
  </si>
  <si>
    <t>2019年12月</t>
    <rPh sb="4" eb="5">
      <t>nian</t>
    </rPh>
    <rPh sb="7" eb="8">
      <t>yue fen</t>
    </rPh>
    <phoneticPr fontId="2" type="noConversion"/>
  </si>
  <si>
    <t>2020年2月</t>
    <rPh sb="4" eb="5">
      <t>nian</t>
    </rPh>
    <rPh sb="6" eb="7">
      <t>yue fen</t>
    </rPh>
    <phoneticPr fontId="2" type="noConversion"/>
  </si>
  <si>
    <t>2020年3月</t>
    <rPh sb="4" eb="5">
      <t>nian</t>
    </rPh>
    <rPh sb="6" eb="7">
      <t>yue fen</t>
    </rPh>
    <phoneticPr fontId="2" type="noConversion"/>
  </si>
  <si>
    <t>2020年4月</t>
    <rPh sb="4" eb="5">
      <t>nian</t>
    </rPh>
    <rPh sb="6" eb="7">
      <t>yue fen</t>
    </rPh>
    <phoneticPr fontId="2" type="noConversion"/>
  </si>
  <si>
    <t>2020年5月</t>
    <rPh sb="4" eb="5">
      <t>nian</t>
    </rPh>
    <rPh sb="6" eb="7">
      <t>yue fen</t>
    </rPh>
    <phoneticPr fontId="2" type="noConversion"/>
  </si>
  <si>
    <t>2020年6月</t>
    <rPh sb="4" eb="5">
      <t>nian</t>
    </rPh>
    <rPh sb="6" eb="7">
      <t>yue fen</t>
    </rPh>
    <phoneticPr fontId="2" type="noConversion"/>
  </si>
  <si>
    <t>2020年7月</t>
    <rPh sb="4" eb="5">
      <t>nian</t>
    </rPh>
    <rPh sb="6" eb="7">
      <t>yue fen</t>
    </rPh>
    <phoneticPr fontId="2" type="noConversion"/>
  </si>
  <si>
    <t>2020年8月</t>
    <rPh sb="4" eb="5">
      <t>nian</t>
    </rPh>
    <rPh sb="6" eb="7">
      <t>yue fen</t>
    </rPh>
    <phoneticPr fontId="2" type="noConversion"/>
  </si>
  <si>
    <t>2020年9月</t>
    <rPh sb="4" eb="5">
      <t>nian</t>
    </rPh>
    <rPh sb="6" eb="7">
      <t>yue fen</t>
    </rPh>
    <phoneticPr fontId="2" type="noConversion"/>
  </si>
  <si>
    <t>2020年10月</t>
    <rPh sb="4" eb="5">
      <t>nian</t>
    </rPh>
    <rPh sb="7" eb="8">
      <t>yue fen</t>
    </rPh>
    <phoneticPr fontId="2" type="noConversion"/>
  </si>
  <si>
    <t>2020年11月</t>
    <rPh sb="4" eb="5">
      <t>nian</t>
    </rPh>
    <rPh sb="7" eb="8">
      <t>yue fen</t>
    </rPh>
    <phoneticPr fontId="2" type="noConversion"/>
  </si>
  <si>
    <t>2020年12月</t>
    <rPh sb="4" eb="5">
      <t>nian</t>
    </rPh>
    <rPh sb="7" eb="8">
      <t>yue fen</t>
    </rPh>
    <phoneticPr fontId="2" type="noConversion"/>
  </si>
  <si>
    <t>保费收入</t>
    <rPh sb="0" eb="1">
      <t>bao fei</t>
    </rPh>
    <rPh sb="2" eb="3">
      <t>shou ru</t>
    </rPh>
    <phoneticPr fontId="2" type="noConversion"/>
  </si>
  <si>
    <t>累计赔付</t>
    <rPh sb="0" eb="1">
      <t>lei ji pei fu</t>
    </rPh>
    <phoneticPr fontId="2" type="noConversion"/>
  </si>
  <si>
    <t>总资产：大型商业银行</t>
    <rPh sb="0" eb="1">
      <t>zong zi chan</t>
    </rPh>
    <phoneticPr fontId="2" type="noConversion"/>
  </si>
  <si>
    <t>总资产：股份制商业银行</t>
    <rPh sb="0" eb="1">
      <t>zong zi chan</t>
    </rPh>
    <phoneticPr fontId="2" type="noConversion"/>
  </si>
  <si>
    <t>净息差：商业银行</t>
    <rPh sb="0" eb="1">
      <t>jing xi cha</t>
    </rPh>
    <phoneticPr fontId="2" type="noConversion"/>
  </si>
  <si>
    <t>净息差：大型商业银行</t>
    <rPh sb="0" eb="1">
      <t>jing xi cha</t>
    </rPh>
    <phoneticPr fontId="2" type="noConversion"/>
  </si>
  <si>
    <t>总资产：银行业金融机构</t>
    <rPh sb="0" eb="1">
      <t>zong zi chan</t>
    </rPh>
    <phoneticPr fontId="2" type="noConversion"/>
  </si>
  <si>
    <t>净息差：股份制商业银行</t>
    <rPh sb="0" eb="1">
      <t>jing xi cha</t>
    </rPh>
    <phoneticPr fontId="2" type="noConversion"/>
  </si>
  <si>
    <t>不良贷款率：商业银行</t>
    <rPh sb="0" eb="1">
      <t>bu liang dai kuan l</t>
    </rPh>
    <rPh sb="4" eb="5">
      <t>lü</t>
    </rPh>
    <phoneticPr fontId="2" type="noConversion"/>
  </si>
  <si>
    <t>不良贷款率：大型商业银行</t>
    <rPh sb="0" eb="1">
      <t>bu liang dai kuan l</t>
    </rPh>
    <rPh sb="4" eb="5">
      <t>lü</t>
    </rPh>
    <phoneticPr fontId="2" type="noConversion"/>
  </si>
  <si>
    <t>不良贷款率：股份制商业银行</t>
    <rPh sb="0" eb="1">
      <t>bu liang dai kuan l</t>
    </rPh>
    <rPh sb="4" eb="5">
      <t>lü</t>
    </rPh>
    <phoneticPr fontId="2" type="noConversion"/>
  </si>
  <si>
    <t>南华商品指数</t>
    <rPh sb="0" eb="1">
      <t>nan hua shang pin zhi shu</t>
    </rPh>
    <phoneticPr fontId="2" type="noConversion"/>
  </si>
  <si>
    <t>量</t>
    <rPh sb="0" eb="1">
      <t>liang</t>
    </rPh>
    <phoneticPr fontId="2" type="noConversion"/>
  </si>
  <si>
    <t>总量</t>
    <rPh sb="0" eb="1">
      <t>zong</t>
    </rPh>
    <rPh sb="1" eb="2">
      <t>liang</t>
    </rPh>
    <phoneticPr fontId="2" type="noConversion"/>
  </si>
  <si>
    <t>ON shibor</t>
    <phoneticPr fontId="2" type="noConversion"/>
  </si>
  <si>
    <t>DR001</t>
    <phoneticPr fontId="2" type="noConversion"/>
  </si>
  <si>
    <t>GC001</t>
    <phoneticPr fontId="2" type="noConversion"/>
  </si>
  <si>
    <t>GC007</t>
    <phoneticPr fontId="2" type="noConversion"/>
  </si>
  <si>
    <t>北京（同比）</t>
    <rPh sb="0" eb="1">
      <t>bei jing</t>
    </rPh>
    <rPh sb="3" eb="4">
      <t>tong bi</t>
    </rPh>
    <phoneticPr fontId="2" type="noConversion"/>
  </si>
  <si>
    <t>上海（同比）</t>
    <rPh sb="0" eb="1">
      <t>shang hai</t>
    </rPh>
    <phoneticPr fontId="2" type="noConversion"/>
  </si>
  <si>
    <t>广州（同比）</t>
    <rPh sb="0" eb="1">
      <t>guang zhou</t>
    </rPh>
    <phoneticPr fontId="2" type="noConversion"/>
  </si>
  <si>
    <t>深圳（同比）</t>
    <rPh sb="0" eb="1">
      <t>shen zhen</t>
    </rPh>
    <phoneticPr fontId="2" type="noConversion"/>
  </si>
  <si>
    <t>北京（环比）</t>
    <rPh sb="0" eb="1">
      <t>bei jing</t>
    </rPh>
    <rPh sb="3" eb="4">
      <t>huan</t>
    </rPh>
    <phoneticPr fontId="2" type="noConversion"/>
  </si>
  <si>
    <t>上海（环比）</t>
    <rPh sb="0" eb="1">
      <t>shang hai</t>
    </rPh>
    <phoneticPr fontId="2" type="noConversion"/>
  </si>
  <si>
    <t>广州（环比）</t>
    <rPh sb="0" eb="1">
      <t>guang zhou</t>
    </rPh>
    <phoneticPr fontId="2" type="noConversion"/>
  </si>
  <si>
    <t>深圳（环比）</t>
    <rPh sb="0" eb="1">
      <t>shen zhen</t>
    </rPh>
    <phoneticPr fontId="2" type="noConversion"/>
  </si>
  <si>
    <t>一线城市</t>
    <rPh sb="0" eb="1">
      <t>yi xian cheng shi</t>
    </rPh>
    <phoneticPr fontId="2" type="noConversion"/>
  </si>
  <si>
    <t>二、三线城市</t>
    <rPh sb="0" eb="1">
      <t>er</t>
    </rPh>
    <rPh sb="2" eb="3">
      <t>san</t>
    </rPh>
    <phoneticPr fontId="2" type="noConversion"/>
  </si>
  <si>
    <t>南京（同比）</t>
    <rPh sb="0" eb="1">
      <t>nan jing</t>
    </rPh>
    <rPh sb="3" eb="4">
      <t>tong bi</t>
    </rPh>
    <phoneticPr fontId="2" type="noConversion"/>
  </si>
  <si>
    <t>南京（环比）</t>
    <rPh sb="3" eb="4">
      <t>huan</t>
    </rPh>
    <phoneticPr fontId="2" type="noConversion"/>
  </si>
  <si>
    <t>合肥（同比）</t>
    <rPh sb="0" eb="1">
      <t>he fei</t>
    </rPh>
    <phoneticPr fontId="2" type="noConversion"/>
  </si>
  <si>
    <t>合肥（环比）</t>
    <phoneticPr fontId="2" type="noConversion"/>
  </si>
  <si>
    <t>天津（同比）</t>
    <rPh sb="0" eb="1">
      <t>tian jin</t>
    </rPh>
    <phoneticPr fontId="2" type="noConversion"/>
  </si>
  <si>
    <t>天津（环比）</t>
    <phoneticPr fontId="2" type="noConversion"/>
  </si>
  <si>
    <t>厦门（同比）</t>
    <rPh sb="0" eb="1">
      <t>xia men</t>
    </rPh>
    <phoneticPr fontId="2" type="noConversion"/>
  </si>
  <si>
    <t>厦门（环比）</t>
    <phoneticPr fontId="2" type="noConversion"/>
  </si>
  <si>
    <t>郑州（同比）</t>
    <rPh sb="0" eb="1">
      <t>zheng</t>
    </rPh>
    <phoneticPr fontId="2" type="noConversion"/>
  </si>
  <si>
    <t>郑州（环比）</t>
    <phoneticPr fontId="2" type="noConversion"/>
  </si>
  <si>
    <t>杭州（同比）</t>
    <rPh sb="0" eb="1">
      <t>hang zhou</t>
    </rPh>
    <phoneticPr fontId="2" type="noConversion"/>
  </si>
  <si>
    <t>杭州（环比）</t>
    <phoneticPr fontId="2" type="noConversion"/>
  </si>
  <si>
    <t>全国房地产开发投资增速</t>
    <rPh sb="9" eb="10">
      <t>zeng su</t>
    </rPh>
    <phoneticPr fontId="2" type="noConversion"/>
  </si>
  <si>
    <t>商品房销售面积增速</t>
    <rPh sb="7" eb="8">
      <t>zeng su</t>
    </rPh>
    <phoneticPr fontId="2" type="noConversion"/>
  </si>
  <si>
    <t>商品房销售额增速</t>
    <rPh sb="5" eb="6">
      <t>e</t>
    </rPh>
    <rPh sb="6" eb="7">
      <t>zeng su</t>
    </rPh>
    <phoneticPr fontId="2" type="noConversion"/>
  </si>
  <si>
    <t>创业板指数</t>
    <rPh sb="0" eb="1">
      <t>chuang ye ban</t>
    </rPh>
    <rPh sb="3" eb="4">
      <t>zhi shu</t>
    </rPh>
    <phoneticPr fontId="2" type="noConversion"/>
  </si>
  <si>
    <t>沪深300指数</t>
    <rPh sb="0" eb="1">
      <t>hu shen</t>
    </rPh>
    <rPh sb="5" eb="6">
      <t>zhi shu</t>
    </rPh>
    <phoneticPr fontId="2" type="noConversion"/>
  </si>
  <si>
    <t>上证50指数</t>
    <rPh sb="0" eb="1">
      <t>shang zheng</t>
    </rPh>
    <rPh sb="4" eb="5">
      <t>zhi shu</t>
    </rPh>
    <phoneticPr fontId="2" type="noConversion"/>
  </si>
  <si>
    <t>南华农产品指数</t>
    <rPh sb="0" eb="1">
      <t>nan hua shang pin zhi shu</t>
    </rPh>
    <rPh sb="2" eb="3">
      <t>nong chan</t>
    </rPh>
    <phoneticPr fontId="2" type="noConversion"/>
  </si>
  <si>
    <t>百城（%）</t>
    <rPh sb="0" eb="1">
      <t>bai cheng</t>
    </rPh>
    <phoneticPr fontId="2" type="noConversion"/>
  </si>
  <si>
    <t>标普500指数</t>
    <rPh sb="0" eb="1">
      <t>biao pu</t>
    </rPh>
    <rPh sb="5" eb="6">
      <t>zhi shu</t>
    </rPh>
    <phoneticPr fontId="2" type="noConversion"/>
  </si>
  <si>
    <t>纳斯达克指数</t>
    <rPh sb="0" eb="1">
      <t>na si da k</t>
    </rPh>
    <rPh sb="4" eb="5">
      <t>zhi shu</t>
    </rPh>
    <phoneticPr fontId="2" type="noConversion"/>
  </si>
  <si>
    <t>MSCI全球指数</t>
    <rPh sb="4" eb="5">
      <t>quan qiu</t>
    </rPh>
    <rPh sb="6" eb="7">
      <t>zhi shu</t>
    </rPh>
    <phoneticPr fontId="2" type="noConversion"/>
  </si>
  <si>
    <t>国债总净价指数</t>
    <rPh sb="2" eb="3">
      <t>zong</t>
    </rPh>
    <rPh sb="3" eb="4">
      <t>jing</t>
    </rPh>
    <rPh sb="4" eb="5">
      <t>jia</t>
    </rPh>
    <rPh sb="5" eb="6">
      <t>zhi shu</t>
    </rPh>
    <phoneticPr fontId="2" type="noConversion"/>
  </si>
  <si>
    <t>信用债总净价指数</t>
    <rPh sb="0" eb="1">
      <t>xin yong</t>
    </rPh>
    <rPh sb="3" eb="4">
      <t>zong</t>
    </rPh>
    <rPh sb="4" eb="5">
      <t>jing</t>
    </rPh>
    <rPh sb="5" eb="6">
      <t>jia</t>
    </rPh>
    <rPh sb="6" eb="7">
      <t>zhi shu</t>
    </rPh>
    <phoneticPr fontId="2" type="noConversion"/>
  </si>
  <si>
    <t>NYMEX原油</t>
    <rPh sb="5" eb="6">
      <t>yuan you</t>
    </rPh>
    <phoneticPr fontId="2" type="noConversion"/>
  </si>
  <si>
    <t>COMEX黄金</t>
    <rPh sb="5" eb="6">
      <t>huang jin</t>
    </rPh>
    <phoneticPr fontId="2" type="noConversion"/>
  </si>
  <si>
    <t>南华工业品指数</t>
    <rPh sb="0" eb="1">
      <t>nan hua shang pin zhi shu</t>
    </rPh>
    <rPh sb="2" eb="3">
      <t>gong ye</t>
    </rPh>
    <phoneticPr fontId="2" type="noConversion"/>
  </si>
  <si>
    <t>756,76</t>
    <phoneticPr fontId="2" type="noConversion"/>
  </si>
  <si>
    <t>CRB综合现货</t>
    <rPh sb="3" eb="4">
      <t>zong he</t>
    </rPh>
    <rPh sb="5" eb="6">
      <t>xian huo</t>
    </rPh>
    <phoneticPr fontId="2" type="noConversion"/>
  </si>
  <si>
    <t>年度涨幅%</t>
    <rPh sb="0" eb="1">
      <t>nian du zhang fu</t>
    </rPh>
    <phoneticPr fontId="2" type="noConversion"/>
  </si>
  <si>
    <t>银行存款</t>
    <rPh sb="0" eb="1">
      <t>yin hang cun kuan</t>
    </rPh>
    <phoneticPr fontId="2" type="noConversion"/>
  </si>
  <si>
    <t>债券</t>
    <rPh sb="0" eb="1">
      <t>zhai quan</t>
    </rPh>
    <phoneticPr fontId="2" type="noConversion"/>
  </si>
  <si>
    <t>股票</t>
    <rPh sb="0" eb="1">
      <t>gu p</t>
    </rPh>
    <phoneticPr fontId="2" type="noConversion"/>
  </si>
  <si>
    <t>产量</t>
    <rPh sb="0" eb="1">
      <t>chan liang</t>
    </rPh>
    <phoneticPr fontId="2" type="noConversion"/>
  </si>
  <si>
    <t>销量</t>
    <rPh sb="0" eb="1">
      <t>xiao liang</t>
    </rPh>
    <phoneticPr fontId="2" type="noConversion"/>
  </si>
  <si>
    <t>乘用车</t>
    <phoneticPr fontId="2" type="noConversion"/>
  </si>
  <si>
    <t>商用车</t>
    <rPh sb="0" eb="1">
      <t>shang</t>
    </rPh>
    <phoneticPr fontId="2" type="noConversion"/>
  </si>
  <si>
    <t>新能源车</t>
    <rPh sb="0" eb="1">
      <t>xin neng yuan</t>
    </rPh>
    <phoneticPr fontId="2" type="noConversion"/>
  </si>
  <si>
    <t>汽车工业经济运行情况</t>
  </si>
  <si>
    <t>三十年中债国开债收益率</t>
    <rPh sb="0" eb="1">
      <t>san</t>
    </rPh>
    <rPh sb="1" eb="2">
      <t>shi nian</t>
    </rPh>
    <rPh sb="3" eb="4">
      <t>zhong zhai</t>
    </rPh>
    <rPh sb="8" eb="9">
      <t>shou yi l</t>
    </rPh>
    <phoneticPr fontId="2" type="noConversion"/>
  </si>
  <si>
    <t>加息预期</t>
    <rPh sb="0" eb="1">
      <t>jia xi yu qi</t>
    </rPh>
    <phoneticPr fontId="2" type="noConversion"/>
  </si>
  <si>
    <t>PP（聚丙烯）</t>
    <rPh sb="3" eb="4">
      <t>ju bing xi</t>
    </rPh>
    <phoneticPr fontId="2" type="noConversion"/>
  </si>
  <si>
    <t>LED芯片-三安光电</t>
    <rPh sb="6" eb="7">
      <t>san an guang dian</t>
    </rPh>
    <phoneticPr fontId="2" type="noConversion"/>
  </si>
  <si>
    <t>控制器-科博达</t>
    <rPh sb="0" eb="1">
      <t>kong zhi qi</t>
    </rPh>
    <phoneticPr fontId="2" type="noConversion"/>
  </si>
  <si>
    <t>PC（聚碳酸酯）-金发科技</t>
    <rPh sb="3" eb="4">
      <t>ju tan suan zhi</t>
    </rPh>
    <rPh sb="9" eb="10">
      <t>jin fa ke ji</t>
    </rPh>
    <phoneticPr fontId="2" type="noConversion"/>
  </si>
  <si>
    <t>LED车灯-星宇股份</t>
    <rPh sb="3" eb="4">
      <t>che deng</t>
    </rPh>
    <rPh sb="6" eb="7">
      <t>xing yu gu fen</t>
    </rPh>
    <phoneticPr fontId="2" type="noConversion"/>
  </si>
  <si>
    <t>自动驾驶系统-德赛西威</t>
    <rPh sb="0" eb="1">
      <t>zi dong jia shi</t>
    </rPh>
    <rPh sb="7" eb="8">
      <t>de sai xi wei</t>
    </rPh>
    <phoneticPr fontId="2" type="noConversion"/>
  </si>
  <si>
    <t>车联网系统-德赛西威</t>
    <rPh sb="0" eb="1">
      <t>che lian wang</t>
    </rPh>
    <rPh sb="6" eb="7">
      <t>de sai xi wei</t>
    </rPh>
    <phoneticPr fontId="2" type="noConversion"/>
  </si>
  <si>
    <t>智能车厢-德赛西威</t>
    <rPh sb="5" eb="6">
      <t>de sai xi wei</t>
    </rPh>
    <phoneticPr fontId="2" type="noConversion"/>
  </si>
  <si>
    <t>智能操作系统-中科创达</t>
    <rPh sb="2" eb="3">
      <t>cao zuo xi tong</t>
    </rPh>
    <rPh sb="7" eb="8">
      <t>zhong ke chuang da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</si>
</sst>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76" formatCode="0.0000_ "/>
    <numFmt numFmtId="177" formatCode="&quot;¥&quot;#,##0.00;[Red]&quot;¥&quot;\-#,##0.00"/>
    <numFmt numFmtId="178" formatCode="0.0%"/>
    <numFmt numFmtId="179" formatCode="_ * #,##0.00_ ;_ * \-#,##0.00_ ;_ * &quot;-&quot;??_ ;_ @_ "/>
    <numFmt numFmtId="180" formatCode="###,###,##0.0000"/>
    <numFmt numFmtId="181" formatCode="0_ "/>
    <numFmt numFmtId="182" formatCode="0.00_ "/>
  </numFmts>
  <fonts count="15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PingFang SC"/>
      <charset val="136"/>
    </font>
    <font>
      <sz val="12"/>
      <color rgb="FF000000"/>
      <name val="SimSun"/>
      <family val="3"/>
      <charset val="134"/>
    </font>
    <font>
      <sz val="12"/>
      <color rgb="FFFF0000"/>
      <name val="宋体"/>
      <family val="2"/>
      <charset val="134"/>
      <scheme val="minor"/>
    </font>
    <font>
      <sz val="12"/>
      <color rgb="FF7030A0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  <font>
      <sz val="20"/>
      <color rgb="FFFF0000"/>
      <name val="宋体"/>
      <family val="2"/>
      <charset val="134"/>
      <scheme val="minor"/>
    </font>
    <font>
      <sz val="20"/>
      <color rgb="FF7030A0"/>
      <name val="宋体"/>
      <family val="2"/>
      <charset val="134"/>
      <scheme val="minor"/>
    </font>
    <font>
      <sz val="17"/>
      <color rgb="FF333333"/>
      <name val="Helvetica Neue"/>
    </font>
    <font>
      <sz val="11"/>
      <color theme="1"/>
      <name val="SimSun"/>
      <family val="3"/>
      <charset val="134"/>
    </font>
    <font>
      <sz val="14"/>
      <color rgb="FF333333"/>
      <name val="Arial"/>
    </font>
    <font>
      <sz val="15"/>
      <color rgb="FF2F3034"/>
      <name val="PingFang SC"/>
      <charset val="136"/>
    </font>
    <font>
      <sz val="14"/>
      <color rgb="FF333333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0" xfId="0" applyFont="1"/>
    <xf numFmtId="176" fontId="0" fillId="2" borderId="0" xfId="0" applyNumberForma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5" fillId="8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10" fontId="0" fillId="10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4" fontId="0" fillId="9" borderId="0" xfId="0" applyNumberFormat="1" applyFill="1" applyAlignment="1">
      <alignment horizontal="center" vertical="center" wrapText="1"/>
    </xf>
    <xf numFmtId="4" fontId="0" fillId="0" borderId="0" xfId="0" applyNumberFormat="1"/>
    <xf numFmtId="9" fontId="0" fillId="0" borderId="0" xfId="0" applyNumberFormat="1" applyAlignment="1">
      <alignment vertical="center"/>
    </xf>
    <xf numFmtId="0" fontId="0" fillId="3" borderId="0" xfId="0" applyFill="1"/>
    <xf numFmtId="9" fontId="0" fillId="0" borderId="0" xfId="0" applyNumberFormat="1" applyAlignment="1">
      <alignment horizontal="center" vertical="center" wrapText="1"/>
    </xf>
    <xf numFmtId="0" fontId="0" fillId="0" borderId="0" xfId="0" applyFont="1"/>
    <xf numFmtId="10" fontId="0" fillId="9" borderId="0" xfId="0" applyNumberFormat="1" applyFill="1" applyAlignment="1">
      <alignment horizontal="center" vertical="center" wrapText="1"/>
    </xf>
    <xf numFmtId="4" fontId="0" fillId="3" borderId="0" xfId="0" applyNumberFormat="1" applyFill="1"/>
    <xf numFmtId="177" fontId="0" fillId="0" borderId="0" xfId="0" applyNumberFormat="1" applyAlignment="1">
      <alignment vertical="center"/>
    </xf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78" fontId="0" fillId="0" borderId="0" xfId="0" applyNumberFormat="1" applyAlignment="1">
      <alignment vertical="center"/>
    </xf>
    <xf numFmtId="43" fontId="0" fillId="0" borderId="0" xfId="1" applyFont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NumberFormat="1"/>
    <xf numFmtId="177" fontId="0" fillId="0" borderId="0" xfId="1" applyNumberFormat="1" applyFont="1" applyAlignment="1">
      <alignment vertical="center"/>
    </xf>
    <xf numFmtId="0" fontId="0" fillId="2" borderId="0" xfId="0" applyFill="1" applyAlignment="1">
      <alignment vertical="center"/>
    </xf>
    <xf numFmtId="10" fontId="0" fillId="0" borderId="0" xfId="2" applyNumberFormat="1" applyFont="1" applyAlignment="1">
      <alignment vertical="center"/>
    </xf>
    <xf numFmtId="180" fontId="0" fillId="0" borderId="0" xfId="1" applyNumberFormat="1" applyFont="1" applyAlignment="1">
      <alignment vertical="center"/>
    </xf>
    <xf numFmtId="10" fontId="0" fillId="0" borderId="0" xfId="0" applyNumberFormat="1" applyAlignment="1">
      <alignment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 wrapText="1"/>
    </xf>
    <xf numFmtId="0" fontId="0" fillId="12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10" fillId="0" borderId="0" xfId="0" applyFont="1"/>
    <xf numFmtId="0" fontId="0" fillId="9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9" fontId="0" fillId="10" borderId="0" xfId="0" applyNumberFormat="1" applyFill="1" applyAlignment="1">
      <alignment horizontal="center" vertical="center" wrapText="1"/>
    </xf>
    <xf numFmtId="181" fontId="0" fillId="10" borderId="0" xfId="0" applyNumberFormat="1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5" borderId="0" xfId="0" applyFont="1" applyFill="1" applyAlignment="1">
      <alignment wrapText="1"/>
    </xf>
    <xf numFmtId="3" fontId="11" fillId="0" borderId="0" xfId="0" applyNumberFormat="1" applyFont="1"/>
    <xf numFmtId="0" fontId="0" fillId="0" borderId="0" xfId="0" applyAlignment="1">
      <alignment horizontal="center" vertical="center" wrapText="1"/>
    </xf>
    <xf numFmtId="181" fontId="0" fillId="0" borderId="0" xfId="0" applyNumberFormat="1" applyAlignment="1">
      <alignment horizontal="center" vertical="center" wrapText="1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  <xf numFmtId="10" fontId="0" fillId="2" borderId="0" xfId="0" applyNumberFormat="1" applyFill="1" applyAlignment="1">
      <alignment horizontal="center" vertical="center" wrapText="1"/>
    </xf>
    <xf numFmtId="18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3" fillId="0" borderId="0" xfId="0" applyFont="1"/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/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5" borderId="0" xfId="0" applyFill="1" applyAlignment="1">
      <alignment horizontal="right" wrapText="1"/>
    </xf>
    <xf numFmtId="0" fontId="0" fillId="0" borderId="0" xfId="0" applyAlignment="1">
      <alignment horizontal="right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7"/>
  <sheetViews>
    <sheetView tabSelected="1" workbookViewId="0">
      <selection activeCell="B3" sqref="B3"/>
    </sheetView>
  </sheetViews>
  <sheetFormatPr baseColWidth="10" defaultRowHeight="15" x14ac:dyDescent="0.15"/>
  <cols>
    <col min="1" max="1" width="10.83203125" style="1"/>
    <col min="2" max="2" width="12.5" style="1" bestFit="1" customWidth="1"/>
    <col min="3" max="4" width="13.5" style="1" bestFit="1" customWidth="1"/>
    <col min="5" max="5" width="12.5" style="1" bestFit="1" customWidth="1"/>
    <col min="6" max="6" width="12.5" style="3" bestFit="1" customWidth="1"/>
    <col min="7" max="8" width="12.5" style="1" bestFit="1" customWidth="1"/>
    <col min="9" max="15" width="10.83203125" style="1"/>
    <col min="16" max="18" width="12.5" style="1" bestFit="1" customWidth="1"/>
    <col min="19" max="22" width="10.83203125" style="1"/>
    <col min="23" max="25" width="12.5" style="1" bestFit="1" customWidth="1"/>
    <col min="26" max="26" width="13.5" style="1" bestFit="1" customWidth="1"/>
    <col min="27" max="27" width="12.5" style="1" bestFit="1" customWidth="1"/>
    <col min="28" max="28" width="13.5" style="1" bestFit="1" customWidth="1"/>
    <col min="29" max="30" width="12.5" style="1" bestFit="1" customWidth="1"/>
    <col min="31" max="31" width="13.5" style="1" bestFit="1" customWidth="1"/>
    <col min="32" max="33" width="12.5" style="1" bestFit="1" customWidth="1"/>
    <col min="34" max="37" width="10.83203125" style="1"/>
    <col min="38" max="38" width="13.5" style="1" bestFit="1" customWidth="1"/>
    <col min="39" max="16384" width="10.83203125" style="1"/>
  </cols>
  <sheetData>
    <row r="1" spans="1:38" ht="33" customHeight="1" x14ac:dyDescent="0.15">
      <c r="B1" s="1" t="s">
        <v>209</v>
      </c>
      <c r="C1" s="1" t="s">
        <v>208</v>
      </c>
      <c r="D1" s="8" t="s">
        <v>0</v>
      </c>
    </row>
    <row r="2" spans="1:38" ht="30" x14ac:dyDescent="0.15">
      <c r="A2" s="7" t="s">
        <v>7</v>
      </c>
      <c r="B2" s="10">
        <f>31.86+-7-9+-54.1+79.1+1.75</f>
        <v>42.609999999999992</v>
      </c>
      <c r="C2" s="10">
        <f>88.39+22.77+63.2+5.65+0.11</f>
        <v>180.12000000000003</v>
      </c>
      <c r="D2" s="8">
        <f>B2-C2</f>
        <v>-137.51000000000005</v>
      </c>
      <c r="E2" s="1" t="s">
        <v>8</v>
      </c>
    </row>
    <row r="3" spans="1:38" s="69" customFormat="1" x14ac:dyDescent="0.15">
      <c r="A3" s="10"/>
      <c r="B3" s="10"/>
      <c r="C3" s="10"/>
      <c r="D3" s="10"/>
      <c r="E3" s="10"/>
      <c r="F3" s="10"/>
    </row>
    <row r="4" spans="1:38" x14ac:dyDescent="0.15">
      <c r="A4" s="92" t="s">
        <v>250</v>
      </c>
      <c r="B4" s="92"/>
      <c r="C4" s="92"/>
      <c r="D4" s="92"/>
      <c r="E4" s="92"/>
      <c r="F4" s="4"/>
    </row>
    <row r="5" spans="1:38" ht="19" x14ac:dyDescent="0.3">
      <c r="B5" s="5">
        <v>43833</v>
      </c>
      <c r="C5" s="5">
        <f>B5+7</f>
        <v>43840</v>
      </c>
      <c r="D5" s="5">
        <f>C5+7</f>
        <v>43847</v>
      </c>
      <c r="E5" s="5">
        <f>D5+6</f>
        <v>43853</v>
      </c>
      <c r="F5" s="5">
        <v>43868</v>
      </c>
      <c r="G5" s="5">
        <f t="shared" ref="G5:Q5" si="0">F5+7</f>
        <v>43875</v>
      </c>
      <c r="H5" s="5">
        <f t="shared" si="0"/>
        <v>43882</v>
      </c>
      <c r="I5" s="5">
        <f t="shared" si="0"/>
        <v>43889</v>
      </c>
      <c r="J5" s="5">
        <f t="shared" si="0"/>
        <v>43896</v>
      </c>
      <c r="K5" s="5">
        <f t="shared" si="0"/>
        <v>43903</v>
      </c>
      <c r="L5" s="5">
        <f t="shared" si="0"/>
        <v>43910</v>
      </c>
      <c r="M5" s="5">
        <f t="shared" si="0"/>
        <v>43917</v>
      </c>
      <c r="N5" s="5">
        <f t="shared" si="0"/>
        <v>43924</v>
      </c>
      <c r="O5" s="5">
        <f t="shared" si="0"/>
        <v>43931</v>
      </c>
      <c r="P5" s="5">
        <f t="shared" si="0"/>
        <v>43938</v>
      </c>
      <c r="Q5" s="5">
        <f t="shared" si="0"/>
        <v>43945</v>
      </c>
      <c r="R5" s="5">
        <f t="shared" ref="R5:W5" si="1">Q5+7</f>
        <v>43952</v>
      </c>
      <c r="S5" s="5">
        <f t="shared" si="1"/>
        <v>43959</v>
      </c>
      <c r="T5" s="5">
        <f t="shared" si="1"/>
        <v>43966</v>
      </c>
      <c r="U5" s="5">
        <f t="shared" si="1"/>
        <v>43973</v>
      </c>
      <c r="V5" s="5">
        <f t="shared" si="1"/>
        <v>43980</v>
      </c>
      <c r="W5" s="5">
        <f t="shared" si="1"/>
        <v>43987</v>
      </c>
      <c r="X5" s="5">
        <f t="shared" ref="X5:Y5" si="2">W5+7</f>
        <v>43994</v>
      </c>
      <c r="Y5" s="5">
        <f t="shared" si="2"/>
        <v>44001</v>
      </c>
      <c r="Z5" s="5">
        <f t="shared" ref="Z5:AG5" si="3">Y5+7</f>
        <v>44008</v>
      </c>
      <c r="AA5" s="5">
        <f t="shared" si="3"/>
        <v>44015</v>
      </c>
      <c r="AB5" s="5">
        <f t="shared" si="3"/>
        <v>44022</v>
      </c>
      <c r="AC5" s="5">
        <f t="shared" si="3"/>
        <v>44029</v>
      </c>
      <c r="AD5" s="5">
        <f t="shared" si="3"/>
        <v>44036</v>
      </c>
      <c r="AE5" s="5">
        <f t="shared" si="3"/>
        <v>44043</v>
      </c>
      <c r="AF5" s="5">
        <f t="shared" si="3"/>
        <v>44050</v>
      </c>
      <c r="AG5" s="5">
        <f t="shared" si="3"/>
        <v>44057</v>
      </c>
      <c r="AH5" s="1" t="s">
        <v>335</v>
      </c>
      <c r="AK5" s="6"/>
      <c r="AL5" s="6"/>
    </row>
    <row r="6" spans="1:38" s="81" customFormat="1" ht="45" x14ac:dyDescent="0.3">
      <c r="A6" s="2" t="s">
        <v>345</v>
      </c>
      <c r="B6" s="81">
        <v>4.1680000000000001</v>
      </c>
      <c r="C6" s="81">
        <v>4.1207000000000003</v>
      </c>
      <c r="D6" s="81">
        <v>4.1172000000000004</v>
      </c>
      <c r="E6" s="81">
        <v>3.9946000000000002</v>
      </c>
      <c r="F6" s="81">
        <v>3.8224999999999998</v>
      </c>
      <c r="G6" s="81">
        <v>3.8824000000000001</v>
      </c>
      <c r="H6" s="81">
        <v>3.8763999999999998</v>
      </c>
      <c r="I6" s="81">
        <v>3.7890000000000001</v>
      </c>
      <c r="J6" s="81">
        <v>3.7225000000000001</v>
      </c>
      <c r="K6" s="81">
        <v>3.7166000000000001</v>
      </c>
      <c r="L6" s="81">
        <v>3.7464</v>
      </c>
      <c r="M6" s="81">
        <v>3.6566000000000001</v>
      </c>
      <c r="N6" s="81">
        <v>3.6667999999999998</v>
      </c>
      <c r="O6" s="81">
        <v>3.6871</v>
      </c>
      <c r="P6" s="81">
        <v>3.7221000000000002</v>
      </c>
      <c r="Q6" s="81">
        <v>3.6979000000000002</v>
      </c>
      <c r="R6" s="81">
        <v>3.7404000000000002</v>
      </c>
      <c r="S6" s="81">
        <v>3.8224999999999998</v>
      </c>
      <c r="T6" s="81">
        <v>3.9125000000000001</v>
      </c>
      <c r="U6" s="81">
        <v>3.8595999999999999</v>
      </c>
      <c r="V6" s="81">
        <v>3.9096000000000002</v>
      </c>
      <c r="W6" s="81">
        <v>4.0195999999999996</v>
      </c>
      <c r="X6" s="81">
        <v>3.9173</v>
      </c>
      <c r="Y6" s="81">
        <v>4.0273000000000003</v>
      </c>
      <c r="Z6" s="81">
        <v>4.0076999999999998</v>
      </c>
      <c r="AA6" s="81">
        <v>4.0301</v>
      </c>
      <c r="AB6" s="81">
        <v>4.1599000000000004</v>
      </c>
      <c r="AC6" s="81">
        <v>4.1158999999999999</v>
      </c>
      <c r="AD6" s="81">
        <v>4.0162000000000004</v>
      </c>
      <c r="AE6" s="84">
        <v>4.1193999999999997</v>
      </c>
      <c r="AF6" s="86">
        <v>4.1847000000000003</v>
      </c>
      <c r="AG6" s="88">
        <v>4.1184000000000003</v>
      </c>
      <c r="AH6" s="80"/>
      <c r="AI6" s="6"/>
      <c r="AJ6" s="6"/>
      <c r="AK6" s="6"/>
    </row>
    <row r="7" spans="1:38" s="81" customFormat="1" x14ac:dyDescent="0.15">
      <c r="AE7" s="84"/>
      <c r="AF7" s="86"/>
      <c r="AG7" s="88"/>
      <c r="AJ7" s="86"/>
      <c r="AK7" s="88"/>
    </row>
    <row r="8" spans="1:38" ht="30" x14ac:dyDescent="0.3">
      <c r="A8" s="2" t="s">
        <v>1</v>
      </c>
      <c r="B8" s="1">
        <v>3.5865999999999998</v>
      </c>
      <c r="C8" s="1">
        <v>3.5295000000000001</v>
      </c>
      <c r="D8" s="1">
        <v>3.5299</v>
      </c>
      <c r="E8" s="1">
        <v>3.4127000000000001</v>
      </c>
      <c r="F8" s="1">
        <v>3.2218</v>
      </c>
      <c r="G8" s="1">
        <v>3.282</v>
      </c>
      <c r="H8" s="1">
        <v>3.2726999999999999</v>
      </c>
      <c r="I8" s="1">
        <v>3.1989000000000001</v>
      </c>
      <c r="J8" s="1">
        <v>3.1349999999999998</v>
      </c>
      <c r="K8" s="1">
        <v>3.06</v>
      </c>
      <c r="L8" s="1">
        <v>3.05</v>
      </c>
      <c r="M8" s="1">
        <v>2.9901</v>
      </c>
      <c r="N8" s="1">
        <v>2.9502999999999999</v>
      </c>
      <c r="O8" s="1">
        <v>2.8504999999999998</v>
      </c>
      <c r="P8" s="1">
        <v>2.8355999999999999</v>
      </c>
      <c r="Q8" s="1">
        <v>2.798</v>
      </c>
      <c r="R8" s="1">
        <v>2.8182</v>
      </c>
      <c r="S8" s="57">
        <v>2.9458000000000002</v>
      </c>
      <c r="T8" s="57">
        <v>2.9611000000000001</v>
      </c>
      <c r="U8" s="66">
        <v>2.9264999999999999</v>
      </c>
      <c r="V8" s="69">
        <v>2.9916999999999998</v>
      </c>
      <c r="W8" s="76">
        <v>3.1667999999999998</v>
      </c>
      <c r="X8" s="76">
        <v>3.0924999999999998</v>
      </c>
      <c r="Y8" s="76">
        <v>3.1577999999999999</v>
      </c>
      <c r="Z8" s="76">
        <v>3.14</v>
      </c>
      <c r="AA8" s="77">
        <v>3.1701000000000001</v>
      </c>
      <c r="AB8" s="77">
        <v>3.4251</v>
      </c>
      <c r="AC8" s="77">
        <v>3.4352</v>
      </c>
      <c r="AD8" s="81">
        <v>3.3252999999999999</v>
      </c>
      <c r="AE8" s="84">
        <v>3.4777</v>
      </c>
      <c r="AF8" s="86">
        <v>3.5127000000000002</v>
      </c>
      <c r="AG8" s="88">
        <v>3.4481999999999999</v>
      </c>
      <c r="AH8" s="75"/>
      <c r="AI8" s="6"/>
      <c r="AJ8" s="86"/>
      <c r="AK8" s="88"/>
      <c r="AL8" s="77"/>
    </row>
    <row r="9" spans="1:38" s="66" customFormat="1" ht="19" x14ac:dyDescent="0.3">
      <c r="V9" s="69"/>
      <c r="W9" s="74"/>
      <c r="X9" s="76"/>
      <c r="Y9" s="76"/>
      <c r="Z9" s="76"/>
      <c r="AA9" s="77"/>
      <c r="AB9" s="77"/>
      <c r="AC9" s="77"/>
      <c r="AD9" s="81"/>
      <c r="AE9" s="84"/>
      <c r="AF9" s="86"/>
      <c r="AG9" s="88"/>
      <c r="AJ9" s="6"/>
      <c r="AK9" s="6"/>
      <c r="AL9" s="77"/>
    </row>
    <row r="10" spans="1:38" s="66" customFormat="1" ht="30" x14ac:dyDescent="0.3">
      <c r="A10" s="2" t="s">
        <v>247</v>
      </c>
      <c r="B10" s="66">
        <v>3.3717000000000001</v>
      </c>
      <c r="C10" s="66">
        <v>3.2542</v>
      </c>
      <c r="D10" s="66">
        <v>3.2658999999999998</v>
      </c>
      <c r="E10" s="66">
        <v>3.1648000000000001</v>
      </c>
      <c r="F10" s="66">
        <v>2.9531999999999998</v>
      </c>
      <c r="G10" s="66">
        <v>2.9563000000000001</v>
      </c>
      <c r="H10" s="66">
        <v>2.9981</v>
      </c>
      <c r="I10" s="66">
        <v>2.8473999999999999</v>
      </c>
      <c r="J10" s="66">
        <v>2.7713000000000001</v>
      </c>
      <c r="K10" s="66">
        <v>2.8553999999999999</v>
      </c>
      <c r="L10" s="66">
        <v>2.8331</v>
      </c>
      <c r="M10" s="66">
        <v>2.6922000000000001</v>
      </c>
      <c r="N10" s="66">
        <v>2.5668000000000002</v>
      </c>
      <c r="O10" s="66">
        <v>2.2902999999999998</v>
      </c>
      <c r="P10" s="66">
        <v>2.2618999999999998</v>
      </c>
      <c r="Q10" s="66">
        <v>2.1722000000000001</v>
      </c>
      <c r="R10" s="66">
        <v>2.1516999999999999</v>
      </c>
      <c r="S10" s="66">
        <v>2.3506999999999998</v>
      </c>
      <c r="T10" s="66">
        <v>2.327</v>
      </c>
      <c r="U10" s="66">
        <v>2.3875000000000002</v>
      </c>
      <c r="V10" s="69">
        <v>2.6150000000000002</v>
      </c>
      <c r="W10" s="76">
        <v>2.9443000000000001</v>
      </c>
      <c r="X10" s="76">
        <v>2.8485999999999998</v>
      </c>
      <c r="Y10" s="76">
        <v>2.9961000000000002</v>
      </c>
      <c r="Z10" s="76">
        <v>3.0049999999999999</v>
      </c>
      <c r="AA10" s="77">
        <v>2.9908000000000001</v>
      </c>
      <c r="AB10" s="77">
        <v>3.3561999999999999</v>
      </c>
      <c r="AC10" s="77">
        <v>3.34</v>
      </c>
      <c r="AD10" s="81">
        <v>3.1305000000000001</v>
      </c>
      <c r="AE10" s="84">
        <v>3.2911000000000001</v>
      </c>
      <c r="AF10" s="86">
        <v>3.2917999999999998</v>
      </c>
      <c r="AG10" s="88">
        <v>3.2713000000000001</v>
      </c>
      <c r="AH10" s="75"/>
      <c r="AJ10" s="86"/>
      <c r="AK10" s="88"/>
      <c r="AL10" s="6"/>
    </row>
    <row r="11" spans="1:38" x14ac:dyDescent="0.15">
      <c r="F11" s="1"/>
      <c r="S11" s="57"/>
      <c r="T11" s="57"/>
      <c r="U11" s="66"/>
      <c r="V11" s="69"/>
      <c r="W11" s="74"/>
      <c r="X11" s="76"/>
      <c r="Y11" s="76"/>
      <c r="Z11" s="76"/>
      <c r="AA11" s="77"/>
      <c r="AB11" s="77"/>
      <c r="AC11" s="77"/>
      <c r="AD11" s="81"/>
      <c r="AE11" s="84"/>
      <c r="AF11" s="86"/>
      <c r="AG11" s="88"/>
      <c r="AI11" s="66"/>
      <c r="AJ11" s="86"/>
      <c r="AK11" s="88"/>
      <c r="AL11" s="77"/>
    </row>
    <row r="12" spans="1:38" ht="30" x14ac:dyDescent="0.3">
      <c r="A12" s="2" t="s">
        <v>2</v>
      </c>
      <c r="B12" s="1">
        <v>2.9662000000000002</v>
      </c>
      <c r="C12" s="1">
        <v>2.9502999999999999</v>
      </c>
      <c r="D12" s="1">
        <v>2.9798</v>
      </c>
      <c r="E12" s="1">
        <v>2.9759000000000002</v>
      </c>
      <c r="F12" s="1">
        <v>2.7452999999999999</v>
      </c>
      <c r="G12" s="1">
        <v>2.7046000000000001</v>
      </c>
      <c r="H12" s="1">
        <v>2.7544</v>
      </c>
      <c r="I12" s="1">
        <v>2.6768999999999998</v>
      </c>
      <c r="J12" s="1">
        <v>2.57</v>
      </c>
      <c r="K12" s="1">
        <v>2.6299000000000001</v>
      </c>
      <c r="L12" s="1">
        <v>2.5975000000000001</v>
      </c>
      <c r="M12" s="1">
        <v>2.4228999999999998</v>
      </c>
      <c r="N12" s="1">
        <v>2.2686000000000002</v>
      </c>
      <c r="O12" s="1">
        <v>1.8759999999999999</v>
      </c>
      <c r="P12" s="1">
        <v>1.8110999999999999</v>
      </c>
      <c r="Q12" s="1">
        <v>1.7186999999999999</v>
      </c>
      <c r="R12" s="1">
        <v>1.7616000000000001</v>
      </c>
      <c r="S12" s="57">
        <v>1.8894</v>
      </c>
      <c r="T12" s="57">
        <v>1.8796999999999999</v>
      </c>
      <c r="U12" s="66">
        <v>1.9664999999999999</v>
      </c>
      <c r="V12" s="69">
        <v>2.226</v>
      </c>
      <c r="W12" s="76">
        <v>2.9443000000000001</v>
      </c>
      <c r="X12" s="76">
        <v>2.5552000000000001</v>
      </c>
      <c r="Y12" s="76">
        <v>2.7109000000000001</v>
      </c>
      <c r="Z12" s="76">
        <v>2.7616000000000001</v>
      </c>
      <c r="AA12" s="77">
        <v>2.7511000000000001</v>
      </c>
      <c r="AB12" s="77">
        <v>3.1459000000000001</v>
      </c>
      <c r="AC12" s="77">
        <v>3.1261000000000001</v>
      </c>
      <c r="AD12" s="81">
        <v>2.9199000000000002</v>
      </c>
      <c r="AE12" s="84">
        <v>3.1000999999999999</v>
      </c>
      <c r="AF12" s="86">
        <v>3.1038000000000001</v>
      </c>
      <c r="AG12" s="88">
        <v>3.0703</v>
      </c>
      <c r="AH12" s="75"/>
      <c r="AI12" s="66"/>
      <c r="AJ12" s="6"/>
      <c r="AK12" s="6"/>
      <c r="AL12" s="77"/>
    </row>
    <row r="13" spans="1:38" s="57" customFormat="1" ht="19" x14ac:dyDescent="0.3">
      <c r="U13" s="66"/>
      <c r="V13" s="69"/>
      <c r="W13" s="74"/>
      <c r="X13" s="76"/>
      <c r="Y13" s="76"/>
      <c r="Z13" s="76"/>
      <c r="AA13" s="77"/>
      <c r="AB13" s="77"/>
      <c r="AC13" s="77"/>
      <c r="AD13" s="81"/>
      <c r="AE13" s="84"/>
      <c r="AF13" s="86"/>
      <c r="AG13" s="88"/>
      <c r="AI13" s="6"/>
      <c r="AJ13" s="86"/>
      <c r="AK13" s="88"/>
      <c r="AL13" s="6"/>
    </row>
    <row r="14" spans="1:38" s="57" customFormat="1" ht="30" x14ac:dyDescent="0.15">
      <c r="A14" s="2" t="s">
        <v>232</v>
      </c>
      <c r="B14" s="57">
        <v>2.5739000000000001</v>
      </c>
      <c r="C14" s="57">
        <v>2.4344000000000001</v>
      </c>
      <c r="D14" s="57">
        <v>2.4007000000000001</v>
      </c>
      <c r="E14" s="57">
        <v>2.3942999999999999</v>
      </c>
      <c r="F14" s="57">
        <v>2.0710000000000002</v>
      </c>
      <c r="G14" s="57">
        <v>2.0070000000000001</v>
      </c>
      <c r="H14" s="57">
        <v>2.1343999999999999</v>
      </c>
      <c r="I14" s="57">
        <v>2.1463000000000001</v>
      </c>
      <c r="J14" s="57">
        <v>2.0478999999999998</v>
      </c>
      <c r="K14" s="57">
        <v>2.09</v>
      </c>
      <c r="L14" s="57">
        <v>2.0301</v>
      </c>
      <c r="M14" s="57">
        <v>1.8911</v>
      </c>
      <c r="N14" s="57">
        <v>1.7285999999999999</v>
      </c>
      <c r="O14" s="57">
        <v>1.3128</v>
      </c>
      <c r="P14" s="57">
        <v>1.2436</v>
      </c>
      <c r="Q14" s="57">
        <v>1.2042999999999999</v>
      </c>
      <c r="R14" s="57">
        <v>1.19</v>
      </c>
      <c r="S14" s="57">
        <v>1.3274999999999999</v>
      </c>
      <c r="T14" s="57">
        <v>1.3867</v>
      </c>
      <c r="U14" s="66">
        <v>1.4505999999999999</v>
      </c>
      <c r="V14" s="69">
        <v>1.7849999999999999</v>
      </c>
      <c r="W14" s="76">
        <v>2.2214</v>
      </c>
      <c r="X14" s="76">
        <v>2.2101000000000002</v>
      </c>
      <c r="Y14" s="76">
        <v>2.3022999999999998</v>
      </c>
      <c r="Z14" s="76">
        <v>2.2938000000000001</v>
      </c>
      <c r="AA14" s="77">
        <v>2.1924000000000001</v>
      </c>
      <c r="AB14" s="77">
        <v>2.5554000000000001</v>
      </c>
      <c r="AC14" s="77">
        <v>2.5937000000000001</v>
      </c>
      <c r="AD14" s="81">
        <v>2.5739000000000001</v>
      </c>
      <c r="AE14" s="84">
        <v>2.6728000000000001</v>
      </c>
      <c r="AF14" s="86">
        <v>2.6614</v>
      </c>
      <c r="AG14" s="88">
        <v>2.6558000000000002</v>
      </c>
      <c r="AH14" s="75"/>
      <c r="AI14" s="66"/>
      <c r="AJ14" s="86"/>
      <c r="AK14" s="88"/>
      <c r="AL14" s="77"/>
    </row>
    <row r="15" spans="1:38" s="57" customFormat="1" ht="19" x14ac:dyDescent="0.3">
      <c r="U15" s="66"/>
      <c r="V15" s="69"/>
      <c r="W15" s="74"/>
      <c r="X15" s="76"/>
      <c r="Y15" s="76"/>
      <c r="Z15" s="76"/>
      <c r="AA15" s="77"/>
      <c r="AB15" s="77"/>
      <c r="AC15" s="77"/>
      <c r="AD15" s="81"/>
      <c r="AE15" s="84"/>
      <c r="AF15" s="86"/>
      <c r="AG15" s="88"/>
      <c r="AI15" s="66"/>
      <c r="AJ15" s="6"/>
      <c r="AK15" s="6"/>
      <c r="AL15" s="77"/>
    </row>
    <row r="16" spans="1:38" s="57" customFormat="1" ht="45" x14ac:dyDescent="0.3">
      <c r="A16" s="2" t="s">
        <v>233</v>
      </c>
      <c r="B16" s="57">
        <v>2.073</v>
      </c>
      <c r="C16" s="57">
        <v>2.0739999999999998</v>
      </c>
      <c r="D16" s="57">
        <v>2.1208</v>
      </c>
      <c r="E16" s="57">
        <v>2.0373999999999999</v>
      </c>
      <c r="F16" s="57">
        <v>1.6883999999999999</v>
      </c>
      <c r="G16" s="57">
        <v>1.7104999999999999</v>
      </c>
      <c r="H16" s="57">
        <v>1.8956</v>
      </c>
      <c r="I16" s="57">
        <v>1.9345000000000001</v>
      </c>
      <c r="J16" s="57">
        <v>1.8454999999999999</v>
      </c>
      <c r="K16" s="57">
        <v>1.7441</v>
      </c>
      <c r="L16" s="57">
        <v>1.5952</v>
      </c>
      <c r="M16" s="57">
        <v>1.5346</v>
      </c>
      <c r="N16" s="57">
        <v>1.4056</v>
      </c>
      <c r="O16" s="57">
        <v>1.1782999999999999</v>
      </c>
      <c r="P16" s="57">
        <v>1.0179</v>
      </c>
      <c r="Q16" s="57">
        <v>0.94420000000000004</v>
      </c>
      <c r="R16" s="57">
        <v>0.97840000000000005</v>
      </c>
      <c r="S16" s="57">
        <v>0.99460000000000004</v>
      </c>
      <c r="T16" s="57">
        <v>1.1133</v>
      </c>
      <c r="U16" s="66">
        <v>1.2644</v>
      </c>
      <c r="V16" s="69">
        <v>1.5189999999999999</v>
      </c>
      <c r="W16" s="76">
        <v>1.8753</v>
      </c>
      <c r="X16" s="76">
        <v>1.8951</v>
      </c>
      <c r="Y16" s="76">
        <v>2.008</v>
      </c>
      <c r="Z16" s="76">
        <v>1.8911</v>
      </c>
      <c r="AA16" s="77">
        <v>1.7061999999999999</v>
      </c>
      <c r="AB16" s="77">
        <v>2.1255999999999999</v>
      </c>
      <c r="AC16" s="77">
        <v>2.2732000000000001</v>
      </c>
      <c r="AD16" s="81">
        <v>2.2976999999999999</v>
      </c>
      <c r="AE16" s="84">
        <v>2.3609</v>
      </c>
      <c r="AF16" s="86">
        <v>2.4388000000000001</v>
      </c>
      <c r="AG16" s="88">
        <v>2.3498999999999999</v>
      </c>
      <c r="AH16" s="75"/>
      <c r="AI16" s="6"/>
      <c r="AJ16" s="86"/>
      <c r="AK16" s="88"/>
      <c r="AL16" s="6"/>
    </row>
    <row r="17" spans="1:38" s="57" customFormat="1" x14ac:dyDescent="0.15">
      <c r="U17" s="66"/>
      <c r="V17" s="69"/>
      <c r="W17" s="74"/>
      <c r="X17" s="76"/>
      <c r="Y17" s="76"/>
      <c r="Z17" s="76"/>
      <c r="AA17" s="77"/>
      <c r="AB17" s="77"/>
      <c r="AC17" s="77"/>
      <c r="AD17" s="81"/>
      <c r="AE17" s="84"/>
      <c r="AF17" s="86"/>
      <c r="AG17" s="88"/>
      <c r="AI17" s="66"/>
      <c r="AJ17" s="86"/>
      <c r="AK17" s="88"/>
      <c r="AL17" s="77"/>
    </row>
    <row r="18" spans="1:38" s="57" customFormat="1" ht="19" x14ac:dyDescent="0.3">
      <c r="A18" s="2" t="s">
        <v>234</v>
      </c>
      <c r="B18" s="57">
        <f>B14-B16</f>
        <v>0.50090000000000012</v>
      </c>
      <c r="C18" s="57">
        <f t="shared" ref="C18:S18" si="4">C14-C16</f>
        <v>0.36040000000000028</v>
      </c>
      <c r="D18" s="57">
        <f t="shared" si="4"/>
        <v>0.27990000000000004</v>
      </c>
      <c r="E18" s="57">
        <f t="shared" si="4"/>
        <v>0.3569</v>
      </c>
      <c r="F18" s="57">
        <f t="shared" si="4"/>
        <v>0.38260000000000027</v>
      </c>
      <c r="G18" s="57">
        <f t="shared" si="4"/>
        <v>0.29650000000000021</v>
      </c>
      <c r="H18" s="57">
        <f t="shared" si="4"/>
        <v>0.2387999999999999</v>
      </c>
      <c r="I18" s="57">
        <f t="shared" si="4"/>
        <v>0.21179999999999999</v>
      </c>
      <c r="J18" s="57">
        <f t="shared" si="4"/>
        <v>0.20239999999999991</v>
      </c>
      <c r="K18" s="57">
        <f t="shared" si="4"/>
        <v>0.34589999999999987</v>
      </c>
      <c r="L18" s="57">
        <f t="shared" si="4"/>
        <v>0.43490000000000006</v>
      </c>
      <c r="M18" s="57">
        <f t="shared" si="4"/>
        <v>0.35650000000000004</v>
      </c>
      <c r="N18" s="57">
        <f t="shared" si="4"/>
        <v>0.32299999999999995</v>
      </c>
      <c r="O18" s="57">
        <f t="shared" si="4"/>
        <v>0.13450000000000006</v>
      </c>
      <c r="P18" s="57">
        <f t="shared" si="4"/>
        <v>0.22570000000000001</v>
      </c>
      <c r="Q18" s="57">
        <f t="shared" si="4"/>
        <v>0.26009999999999989</v>
      </c>
      <c r="R18" s="57">
        <f t="shared" si="4"/>
        <v>0.2115999999999999</v>
      </c>
      <c r="S18" s="57">
        <f t="shared" si="4"/>
        <v>0.33289999999999986</v>
      </c>
      <c r="T18" s="57">
        <f t="shared" ref="T18:U18" si="5">T14-T16</f>
        <v>0.27340000000000009</v>
      </c>
      <c r="U18" s="66">
        <f t="shared" si="5"/>
        <v>0.18619999999999992</v>
      </c>
      <c r="V18" s="69">
        <f t="shared" ref="V18:X18" si="6">V14-V16</f>
        <v>0.26600000000000001</v>
      </c>
      <c r="W18" s="74">
        <f t="shared" si="6"/>
        <v>0.34610000000000007</v>
      </c>
      <c r="X18" s="76">
        <f t="shared" si="6"/>
        <v>0.31500000000000017</v>
      </c>
      <c r="Y18" s="76">
        <f t="shared" ref="Y18:Z18" si="7">Y14-Y16</f>
        <v>0.29429999999999978</v>
      </c>
      <c r="Z18" s="76">
        <f t="shared" si="7"/>
        <v>0.40270000000000006</v>
      </c>
      <c r="AA18" s="77">
        <f t="shared" ref="AA18:AB18" si="8">AA14-AA16</f>
        <v>0.48620000000000019</v>
      </c>
      <c r="AB18" s="77">
        <f t="shared" si="8"/>
        <v>0.42980000000000018</v>
      </c>
      <c r="AC18" s="77">
        <f t="shared" ref="AC18:AD18" si="9">AC14-AC16</f>
        <v>0.32050000000000001</v>
      </c>
      <c r="AD18" s="81">
        <f t="shared" si="9"/>
        <v>0.27620000000000022</v>
      </c>
      <c r="AE18" s="84">
        <f t="shared" ref="AE18:AF18" si="10">AE14-AE16</f>
        <v>0.31190000000000007</v>
      </c>
      <c r="AF18" s="86">
        <f t="shared" si="10"/>
        <v>0.22259999999999991</v>
      </c>
      <c r="AG18" s="88">
        <f t="shared" ref="AG18" si="11">AG14-AG16</f>
        <v>0.30590000000000028</v>
      </c>
      <c r="AI18" s="66"/>
      <c r="AJ18" s="6"/>
      <c r="AK18" s="6"/>
      <c r="AL18" s="77"/>
    </row>
    <row r="19" spans="1:38" s="57" customFormat="1" ht="19" x14ac:dyDescent="0.3">
      <c r="U19" s="66"/>
      <c r="V19" s="69"/>
      <c r="W19" s="74"/>
      <c r="X19" s="76"/>
      <c r="Y19" s="76"/>
      <c r="Z19" s="76"/>
      <c r="AA19" s="77"/>
      <c r="AB19" s="77"/>
      <c r="AC19" s="77"/>
      <c r="AD19" s="81"/>
      <c r="AE19" s="84"/>
      <c r="AF19" s="86"/>
      <c r="AG19" s="88"/>
      <c r="AI19" s="6"/>
      <c r="AJ19" s="86"/>
      <c r="AK19" s="88"/>
      <c r="AL19" s="6"/>
    </row>
    <row r="20" spans="1:38" s="57" customFormat="1" x14ac:dyDescent="0.15">
      <c r="A20" s="2" t="s">
        <v>235</v>
      </c>
      <c r="B20" s="57">
        <f>B8-B16</f>
        <v>1.5135999999999998</v>
      </c>
      <c r="C20" s="57">
        <f>C8-C16</f>
        <v>1.4555000000000002</v>
      </c>
      <c r="D20" s="57">
        <f t="shared" ref="D20:S20" si="12">D8-D16</f>
        <v>1.4091</v>
      </c>
      <c r="E20" s="57">
        <f t="shared" si="12"/>
        <v>1.3753000000000002</v>
      </c>
      <c r="F20" s="57">
        <f t="shared" si="12"/>
        <v>1.5334000000000001</v>
      </c>
      <c r="G20" s="57">
        <f t="shared" si="12"/>
        <v>1.5715000000000001</v>
      </c>
      <c r="H20" s="57">
        <f t="shared" si="12"/>
        <v>1.3771</v>
      </c>
      <c r="I20" s="57">
        <f t="shared" si="12"/>
        <v>1.2644</v>
      </c>
      <c r="J20" s="57">
        <f t="shared" si="12"/>
        <v>1.2894999999999999</v>
      </c>
      <c r="K20" s="57">
        <f t="shared" si="12"/>
        <v>1.3159000000000001</v>
      </c>
      <c r="L20" s="57">
        <f t="shared" si="12"/>
        <v>1.4547999999999999</v>
      </c>
      <c r="M20" s="57">
        <f t="shared" si="12"/>
        <v>1.4555</v>
      </c>
      <c r="N20" s="57">
        <f t="shared" si="12"/>
        <v>1.5447</v>
      </c>
      <c r="O20" s="57">
        <f t="shared" si="12"/>
        <v>1.6721999999999999</v>
      </c>
      <c r="P20" s="57">
        <f t="shared" si="12"/>
        <v>1.8176999999999999</v>
      </c>
      <c r="Q20" s="57">
        <f t="shared" si="12"/>
        <v>1.8538000000000001</v>
      </c>
      <c r="R20" s="57">
        <f t="shared" si="12"/>
        <v>1.8397999999999999</v>
      </c>
      <c r="S20" s="57">
        <f t="shared" si="12"/>
        <v>1.9512</v>
      </c>
      <c r="T20" s="57">
        <f t="shared" ref="T20:U20" si="13">T8-T16</f>
        <v>1.8478000000000001</v>
      </c>
      <c r="U20" s="66">
        <f t="shared" si="13"/>
        <v>1.6620999999999999</v>
      </c>
      <c r="V20" s="69">
        <f t="shared" ref="V20:X20" si="14">V8-V16</f>
        <v>1.4726999999999999</v>
      </c>
      <c r="W20" s="74">
        <f t="shared" si="14"/>
        <v>1.2914999999999999</v>
      </c>
      <c r="X20" s="76">
        <f t="shared" si="14"/>
        <v>1.1973999999999998</v>
      </c>
      <c r="Y20" s="76">
        <f t="shared" ref="Y20:Z20" si="15">Y8-Y16</f>
        <v>1.1497999999999999</v>
      </c>
      <c r="Z20" s="76">
        <f t="shared" si="15"/>
        <v>1.2489000000000001</v>
      </c>
      <c r="AA20" s="77">
        <f t="shared" ref="AA20:AB20" si="16">AA8-AA16</f>
        <v>1.4639000000000002</v>
      </c>
      <c r="AB20" s="77">
        <f t="shared" si="16"/>
        <v>1.2995000000000001</v>
      </c>
      <c r="AC20" s="77">
        <f t="shared" ref="AC20:AD20" si="17">AC8-AC16</f>
        <v>1.1619999999999999</v>
      </c>
      <c r="AD20" s="81">
        <f t="shared" si="17"/>
        <v>1.0276000000000001</v>
      </c>
      <c r="AE20" s="84">
        <f t="shared" ref="AE20:AF20" si="18">AE8-AE16</f>
        <v>1.1168</v>
      </c>
      <c r="AF20" s="86">
        <f t="shared" si="18"/>
        <v>1.0739000000000001</v>
      </c>
      <c r="AG20" s="88">
        <f t="shared" ref="AG20" si="19">AG8-AG16</f>
        <v>1.0983000000000001</v>
      </c>
      <c r="AI20" s="66"/>
      <c r="AJ20" s="86"/>
      <c r="AK20" s="88"/>
    </row>
    <row r="21" spans="1:38" s="57" customFormat="1" ht="19" x14ac:dyDescent="0.3">
      <c r="F21" s="4"/>
      <c r="U21" s="66"/>
      <c r="V21" s="69"/>
      <c r="W21" s="74"/>
      <c r="X21" s="76"/>
      <c r="Y21" s="76"/>
      <c r="Z21" s="76"/>
      <c r="AA21" s="77"/>
      <c r="AB21" s="77"/>
      <c r="AC21" s="77"/>
      <c r="AD21" s="81"/>
      <c r="AE21" s="84"/>
      <c r="AF21" s="86"/>
      <c r="AG21" s="88"/>
      <c r="AI21" s="66"/>
      <c r="AJ21" s="6"/>
      <c r="AK21" s="6"/>
    </row>
    <row r="22" spans="1:38" s="57" customFormat="1" ht="60" x14ac:dyDescent="0.2">
      <c r="A22" s="2" t="s">
        <v>236</v>
      </c>
      <c r="B22" s="57">
        <v>2.8738000000000001</v>
      </c>
      <c r="C22" s="57">
        <v>2.8508</v>
      </c>
      <c r="D22" s="57">
        <v>2.855</v>
      </c>
      <c r="E22" s="57">
        <v>2.875</v>
      </c>
      <c r="F22" s="4">
        <v>2.762</v>
      </c>
      <c r="G22" s="57">
        <v>2.7033</v>
      </c>
      <c r="H22" s="57">
        <v>2.6604999999999999</v>
      </c>
      <c r="I22" s="57">
        <v>2.5821000000000001</v>
      </c>
      <c r="J22" s="57">
        <v>2.4308999999999998</v>
      </c>
      <c r="K22" s="57">
        <v>2.3711000000000002</v>
      </c>
      <c r="L22" s="57">
        <v>2.3216000000000001</v>
      </c>
      <c r="M22" s="57">
        <v>2.2000000000000002</v>
      </c>
      <c r="N22" s="57">
        <v>2.0024000000000002</v>
      </c>
      <c r="O22" s="57">
        <v>1.59</v>
      </c>
      <c r="P22" s="57">
        <v>1.6</v>
      </c>
      <c r="Q22" s="57">
        <v>1.62</v>
      </c>
      <c r="R22" s="57">
        <v>1.6116999999999999</v>
      </c>
      <c r="S22" s="57">
        <v>1.6503000000000001</v>
      </c>
      <c r="T22" s="57">
        <v>1.6600999999999999</v>
      </c>
      <c r="U22" s="66">
        <v>1.6904999999999999</v>
      </c>
      <c r="V22" s="69">
        <v>1.8503000000000001</v>
      </c>
      <c r="W22" s="74">
        <v>2.2818000000000001</v>
      </c>
      <c r="X22" s="76">
        <v>2.3500999999999999</v>
      </c>
      <c r="Y22" s="76">
        <v>2.3580999999999999</v>
      </c>
      <c r="Z22" s="76">
        <v>2.4</v>
      </c>
      <c r="AA22" s="77">
        <v>2.3849</v>
      </c>
      <c r="AB22" s="77">
        <v>2.5987</v>
      </c>
      <c r="AC22" s="77">
        <v>2.6404999999999998</v>
      </c>
      <c r="AD22" s="81">
        <v>2.82</v>
      </c>
      <c r="AE22" s="84">
        <v>2.8</v>
      </c>
      <c r="AF22" s="86">
        <v>2.8201000000000001</v>
      </c>
      <c r="AG22" s="88">
        <v>2.8450000000000002</v>
      </c>
      <c r="AI22" s="9"/>
      <c r="AJ22" s="68"/>
    </row>
    <row r="23" spans="1:38" s="81" customFormat="1" ht="19" x14ac:dyDescent="0.3">
      <c r="AE23" s="84"/>
      <c r="AF23" s="86"/>
      <c r="AG23" s="88"/>
      <c r="AI23" s="6"/>
      <c r="AJ23" s="6"/>
    </row>
    <row r="24" spans="1:38" s="81" customFormat="1" ht="19" x14ac:dyDescent="0.3">
      <c r="A24" s="2" t="s">
        <v>346</v>
      </c>
      <c r="B24" s="81">
        <f>B6-B22</f>
        <v>1.2942</v>
      </c>
      <c r="C24" s="81">
        <f t="shared" ref="C24:AD24" si="20">C6-C22</f>
        <v>1.2699000000000003</v>
      </c>
      <c r="D24" s="81">
        <f t="shared" si="20"/>
        <v>1.2622000000000004</v>
      </c>
      <c r="E24" s="81">
        <f t="shared" si="20"/>
        <v>1.1196000000000002</v>
      </c>
      <c r="F24" s="81">
        <f t="shared" si="20"/>
        <v>1.0604999999999998</v>
      </c>
      <c r="G24" s="81">
        <f t="shared" si="20"/>
        <v>1.1791</v>
      </c>
      <c r="H24" s="81">
        <f t="shared" si="20"/>
        <v>1.2159</v>
      </c>
      <c r="I24" s="81">
        <f t="shared" si="20"/>
        <v>1.2069000000000001</v>
      </c>
      <c r="J24" s="81">
        <f t="shared" si="20"/>
        <v>1.2916000000000003</v>
      </c>
      <c r="K24" s="81">
        <f t="shared" si="20"/>
        <v>1.3454999999999999</v>
      </c>
      <c r="L24" s="81">
        <f t="shared" si="20"/>
        <v>1.4247999999999998</v>
      </c>
      <c r="M24" s="81">
        <f t="shared" si="20"/>
        <v>1.4565999999999999</v>
      </c>
      <c r="N24" s="81">
        <f t="shared" si="20"/>
        <v>1.6643999999999997</v>
      </c>
      <c r="O24" s="81">
        <f t="shared" si="20"/>
        <v>2.0971000000000002</v>
      </c>
      <c r="P24" s="81">
        <f t="shared" si="20"/>
        <v>2.1221000000000001</v>
      </c>
      <c r="Q24" s="81">
        <f t="shared" si="20"/>
        <v>2.0779000000000001</v>
      </c>
      <c r="R24" s="81">
        <f t="shared" si="20"/>
        <v>2.1287000000000003</v>
      </c>
      <c r="S24" s="81">
        <f t="shared" si="20"/>
        <v>2.1721999999999997</v>
      </c>
      <c r="T24" s="81">
        <f t="shared" si="20"/>
        <v>2.2524000000000002</v>
      </c>
      <c r="U24" s="81">
        <f t="shared" si="20"/>
        <v>2.1691000000000003</v>
      </c>
      <c r="V24" s="81">
        <f t="shared" si="20"/>
        <v>2.0593000000000004</v>
      </c>
      <c r="W24" s="81">
        <f t="shared" si="20"/>
        <v>1.7377999999999996</v>
      </c>
      <c r="X24" s="81">
        <f t="shared" si="20"/>
        <v>1.5672000000000001</v>
      </c>
      <c r="Y24" s="81">
        <f t="shared" si="20"/>
        <v>1.6692000000000005</v>
      </c>
      <c r="Z24" s="81">
        <f t="shared" si="20"/>
        <v>1.6076999999999999</v>
      </c>
      <c r="AA24" s="81">
        <f t="shared" si="20"/>
        <v>1.6452</v>
      </c>
      <c r="AB24" s="81">
        <f t="shared" si="20"/>
        <v>1.5612000000000004</v>
      </c>
      <c r="AC24" s="81">
        <f t="shared" si="20"/>
        <v>1.4754</v>
      </c>
      <c r="AD24" s="81">
        <f t="shared" si="20"/>
        <v>1.1962000000000006</v>
      </c>
      <c r="AE24" s="84">
        <f t="shared" ref="AE24:AF24" si="21">AE6-AE22</f>
        <v>1.3193999999999999</v>
      </c>
      <c r="AF24" s="86">
        <f t="shared" si="21"/>
        <v>1.3646000000000003</v>
      </c>
      <c r="AG24" s="88">
        <f t="shared" ref="AG24" si="22">AG6-AG22</f>
        <v>1.2734000000000001</v>
      </c>
      <c r="AH24" s="80"/>
      <c r="AJ24" s="6"/>
      <c r="AK24" s="6"/>
    </row>
    <row r="25" spans="1:38" s="76" customFormat="1" ht="19" x14ac:dyDescent="0.3">
      <c r="AA25" s="77"/>
      <c r="AB25" s="77"/>
      <c r="AC25" s="77"/>
      <c r="AD25" s="81"/>
      <c r="AE25" s="84"/>
      <c r="AF25" s="86"/>
      <c r="AG25" s="88"/>
      <c r="AI25" s="6"/>
      <c r="AJ25" s="6"/>
    </row>
    <row r="26" spans="1:38" s="76" customFormat="1" ht="30" x14ac:dyDescent="0.3">
      <c r="A26" s="2" t="s">
        <v>328</v>
      </c>
      <c r="B26" s="76">
        <v>118.71</v>
      </c>
      <c r="C26" s="76">
        <v>119.0877</v>
      </c>
      <c r="D26" s="76">
        <v>119.07210000000001</v>
      </c>
      <c r="E26" s="76">
        <v>119.82380000000001</v>
      </c>
      <c r="F26" s="76">
        <v>121.127</v>
      </c>
      <c r="G26" s="76">
        <v>120.8951</v>
      </c>
      <c r="H26" s="76">
        <v>120.8425</v>
      </c>
      <c r="I26" s="76">
        <v>121.42570000000001</v>
      </c>
      <c r="J26" s="76">
        <v>121.986</v>
      </c>
      <c r="K26" s="76">
        <v>121.9472</v>
      </c>
      <c r="L26" s="76">
        <v>121.71720000000001</v>
      </c>
      <c r="M26" s="76">
        <v>122.3027</v>
      </c>
      <c r="N26" s="76">
        <v>122.49639999999999</v>
      </c>
      <c r="O26" s="76">
        <v>123.23009999999999</v>
      </c>
      <c r="P26" s="76">
        <v>123.3241</v>
      </c>
      <c r="Q26" s="76">
        <v>123.8048</v>
      </c>
      <c r="R26" s="76">
        <v>123.7321</v>
      </c>
      <c r="S26" s="76">
        <v>123.0224</v>
      </c>
      <c r="T26" s="76">
        <v>122.4662</v>
      </c>
      <c r="U26" s="76">
        <v>122.4735</v>
      </c>
      <c r="V26" s="76">
        <v>121.57859999999999</v>
      </c>
      <c r="W26" s="76">
        <v>120.0936</v>
      </c>
      <c r="X26" s="76">
        <v>120.6782</v>
      </c>
      <c r="Y26" s="76">
        <v>119.886</v>
      </c>
      <c r="Z26" s="76">
        <v>119.9196</v>
      </c>
      <c r="AA26" s="77">
        <v>119.86539999999999</v>
      </c>
      <c r="AB26" s="77">
        <v>118.3725</v>
      </c>
      <c r="AC26" s="77">
        <v>119.0291</v>
      </c>
      <c r="AD26" s="81">
        <v>119.77330000000001</v>
      </c>
      <c r="AE26" s="84">
        <v>119.062</v>
      </c>
      <c r="AF26" s="86">
        <v>118.74379999999999</v>
      </c>
      <c r="AG26" s="88">
        <v>118.8999</v>
      </c>
      <c r="AH26" s="75">
        <f>(AF26-B26)/B26</f>
        <v>2.8472748715356236E-4</v>
      </c>
      <c r="AJ26" s="6"/>
    </row>
    <row r="27" spans="1:38" s="76" customFormat="1" ht="19" x14ac:dyDescent="0.3">
      <c r="AA27" s="77"/>
      <c r="AB27" s="77"/>
      <c r="AC27" s="77"/>
      <c r="AD27" s="81"/>
      <c r="AE27" s="84"/>
      <c r="AF27" s="86"/>
      <c r="AG27" s="88"/>
      <c r="AI27" s="6"/>
      <c r="AJ27" s="77"/>
    </row>
    <row r="28" spans="1:38" s="76" customFormat="1" ht="30" x14ac:dyDescent="0.15">
      <c r="A28" s="2" t="s">
        <v>329</v>
      </c>
      <c r="B28" s="76">
        <v>95.003600000000006</v>
      </c>
      <c r="C28" s="76">
        <v>95.084000000000003</v>
      </c>
      <c r="D28" s="76">
        <v>95.070599999999999</v>
      </c>
      <c r="E28" s="76">
        <v>96.091999999999999</v>
      </c>
      <c r="F28" s="76">
        <v>95.323499999999996</v>
      </c>
      <c r="G28" s="76">
        <v>94.461799999999997</v>
      </c>
      <c r="H28" s="76">
        <v>95.528499999999994</v>
      </c>
      <c r="I28" s="76">
        <v>95.613900000000001</v>
      </c>
      <c r="J28" s="76">
        <v>95.693100000000001</v>
      </c>
      <c r="K28" s="76">
        <v>95.599100000000007</v>
      </c>
      <c r="L28" s="76">
        <v>95.493899999999996</v>
      </c>
      <c r="M28" s="76">
        <v>95.605900000000005</v>
      </c>
      <c r="N28" s="76">
        <v>95.672799999999995</v>
      </c>
      <c r="O28" s="76">
        <v>96.0471</v>
      </c>
      <c r="P28" s="76">
        <v>96.099599999999995</v>
      </c>
      <c r="Q28" s="76">
        <v>96.2</v>
      </c>
      <c r="R28" s="76">
        <v>96.206199999999995</v>
      </c>
      <c r="S28" s="76">
        <v>96.058199999999999</v>
      </c>
      <c r="T28" s="76">
        <v>95.905299999999997</v>
      </c>
      <c r="U28" s="76">
        <v>95.867500000000007</v>
      </c>
      <c r="V28" s="76">
        <v>95.659199999999998</v>
      </c>
      <c r="W28" s="76">
        <v>95.013900000000007</v>
      </c>
      <c r="X28" s="76">
        <v>95.072800000000001</v>
      </c>
      <c r="Y28" s="76">
        <v>95.016999999999996</v>
      </c>
      <c r="Z28" s="76">
        <v>94.856200000000001</v>
      </c>
      <c r="AA28" s="77">
        <v>94.920299999999997</v>
      </c>
      <c r="AB28" s="77">
        <v>94.468599999999995</v>
      </c>
      <c r="AC28" s="77">
        <v>94.299800000000005</v>
      </c>
      <c r="AD28" s="81">
        <v>94.589500000000001</v>
      </c>
      <c r="AE28" s="84">
        <v>94.533000000000001</v>
      </c>
      <c r="AF28" s="86">
        <v>94.515600000000006</v>
      </c>
      <c r="AG28" s="88">
        <v>94.559700000000007</v>
      </c>
      <c r="AH28" s="87">
        <f>(AF28-B28)/B28</f>
        <v>-5.1366474533596574E-3</v>
      </c>
      <c r="AJ28" s="77"/>
    </row>
    <row r="29" spans="1:38" ht="19" x14ac:dyDescent="0.3">
      <c r="F29" s="4"/>
      <c r="S29" s="57"/>
      <c r="T29" s="57"/>
      <c r="U29" s="66"/>
      <c r="V29" s="69"/>
      <c r="W29" s="74"/>
      <c r="X29" s="76"/>
      <c r="Y29" s="76"/>
      <c r="Z29" s="76"/>
      <c r="AA29" s="77"/>
      <c r="AB29" s="77"/>
      <c r="AC29" s="77"/>
      <c r="AD29" s="81"/>
      <c r="AE29" s="84"/>
      <c r="AF29" s="86"/>
      <c r="AG29" s="88"/>
      <c r="AI29" s="66"/>
      <c r="AJ29" s="6"/>
    </row>
    <row r="30" spans="1:38" ht="60" x14ac:dyDescent="0.15">
      <c r="A30" s="2" t="s">
        <v>3</v>
      </c>
      <c r="B30" s="1">
        <v>5.8371000000000004</v>
      </c>
      <c r="C30" s="1">
        <v>5.7670000000000003</v>
      </c>
      <c r="D30" s="1">
        <v>5.7443</v>
      </c>
      <c r="E30" s="1">
        <v>5.7492000000000001</v>
      </c>
      <c r="F30" s="4">
        <v>5.6075999999999997</v>
      </c>
      <c r="G30" s="1">
        <v>5.5148000000000001</v>
      </c>
      <c r="H30" s="1">
        <v>5.4539</v>
      </c>
      <c r="I30" s="1">
        <v>5.4154</v>
      </c>
      <c r="J30" s="1">
        <v>5.3710000000000004</v>
      </c>
      <c r="K30" s="1">
        <v>5.4279999999999999</v>
      </c>
      <c r="L30" s="1">
        <v>5.5410000000000004</v>
      </c>
      <c r="M30" s="1">
        <v>5.4696999999999996</v>
      </c>
      <c r="N30" s="1">
        <v>5.4581999999999997</v>
      </c>
      <c r="O30" s="1">
        <v>5.2934999999999999</v>
      </c>
      <c r="P30" s="1">
        <v>5.2575000000000003</v>
      </c>
      <c r="Q30" s="1">
        <v>5.2062999999999997</v>
      </c>
      <c r="R30" s="1">
        <v>5.1996000000000002</v>
      </c>
      <c r="S30" s="57">
        <v>5.3221999999999996</v>
      </c>
      <c r="T30" s="57">
        <v>5.3821000000000003</v>
      </c>
      <c r="U30" s="66">
        <v>5.3940000000000001</v>
      </c>
      <c r="V30" s="69">
        <v>5.5148999999999999</v>
      </c>
      <c r="W30" s="76">
        <v>5.7906000000000004</v>
      </c>
      <c r="X30" s="76">
        <v>5.7906000000000004</v>
      </c>
      <c r="Y30" s="76">
        <v>5.8303000000000003</v>
      </c>
      <c r="Z30" s="76">
        <v>5.9128999999999996</v>
      </c>
      <c r="AA30" s="77">
        <v>5.8811999999999998</v>
      </c>
      <c r="AB30" s="77">
        <v>6.2164999999999999</v>
      </c>
      <c r="AC30" s="77">
        <v>6.3384999999999998</v>
      </c>
      <c r="AD30" s="81">
        <v>6.1417000000000002</v>
      </c>
      <c r="AE30" s="84">
        <v>6.1052999999999997</v>
      </c>
      <c r="AF30" s="86">
        <v>6.05</v>
      </c>
      <c r="AG30" s="88">
        <v>5.9916999999999998</v>
      </c>
      <c r="AH30" s="87">
        <f>(AF30-B30)/B30</f>
        <v>3.6473591338164399E-2</v>
      </c>
      <c r="AI30" s="66"/>
      <c r="AJ30" s="81"/>
    </row>
    <row r="31" spans="1:38" s="70" customFormat="1" x14ac:dyDescent="0.15">
      <c r="F31" s="4"/>
      <c r="W31" s="74"/>
      <c r="X31" s="76"/>
      <c r="Y31" s="76"/>
      <c r="Z31" s="76"/>
      <c r="AA31" s="77"/>
      <c r="AB31" s="77"/>
      <c r="AC31" s="77"/>
      <c r="AD31" s="81"/>
      <c r="AE31" s="84"/>
      <c r="AF31" s="86"/>
      <c r="AG31" s="88"/>
      <c r="AJ31" s="81"/>
    </row>
    <row r="32" spans="1:38" s="70" customFormat="1" ht="30" x14ac:dyDescent="0.15">
      <c r="A32" s="2" t="s">
        <v>327</v>
      </c>
      <c r="B32" s="70">
        <v>566.79</v>
      </c>
      <c r="C32" s="70">
        <v>570.45000000000005</v>
      </c>
      <c r="D32" s="70">
        <v>579.24</v>
      </c>
      <c r="E32" s="70">
        <v>575.74</v>
      </c>
      <c r="F32" s="4">
        <v>573.54999999999995</v>
      </c>
      <c r="G32" s="70">
        <v>580.05999999999995</v>
      </c>
      <c r="H32" s="70">
        <v>572.67999999999995</v>
      </c>
      <c r="I32" s="70">
        <v>512.76</v>
      </c>
      <c r="J32" s="70">
        <v>514.88</v>
      </c>
      <c r="K32" s="70">
        <v>451.09</v>
      </c>
      <c r="L32" s="70">
        <v>397.12</v>
      </c>
      <c r="M32" s="70">
        <v>426.6</v>
      </c>
      <c r="N32" s="70">
        <v>425.35</v>
      </c>
      <c r="O32" s="70">
        <v>469.87</v>
      </c>
      <c r="P32" s="70">
        <v>480.27</v>
      </c>
      <c r="Q32" s="70">
        <v>472.62</v>
      </c>
      <c r="R32" s="70">
        <v>489.17</v>
      </c>
      <c r="S32" s="70">
        <v>490.24</v>
      </c>
      <c r="T32" s="70">
        <v>478.35</v>
      </c>
      <c r="U32" s="70">
        <v>491.94</v>
      </c>
      <c r="V32" s="70">
        <v>509.47</v>
      </c>
      <c r="W32" s="74">
        <v>539</v>
      </c>
      <c r="X32" s="76">
        <v>516.57000000000005</v>
      </c>
      <c r="Y32" s="76">
        <v>527.80999999999995</v>
      </c>
      <c r="Z32" s="76">
        <v>521.38</v>
      </c>
      <c r="AA32" s="77">
        <v>532.14</v>
      </c>
      <c r="AB32" s="77">
        <v>541.77</v>
      </c>
      <c r="AC32" s="77">
        <v>548.04999999999995</v>
      </c>
      <c r="AD32" s="81">
        <v>547.9</v>
      </c>
      <c r="AE32" s="84">
        <v>551</v>
      </c>
      <c r="AF32" s="86">
        <v>563</v>
      </c>
      <c r="AG32" s="88">
        <v>569</v>
      </c>
      <c r="AH32" s="87">
        <f>(AF32-B32)/B32</f>
        <v>-6.6867799361314843E-3</v>
      </c>
      <c r="AJ32" s="81"/>
    </row>
    <row r="33" spans="1:36" s="76" customFormat="1" ht="18" x14ac:dyDescent="0.2">
      <c r="F33" s="4"/>
      <c r="AA33" s="77"/>
      <c r="AB33" s="77"/>
      <c r="AC33" s="77"/>
      <c r="AD33" s="81"/>
      <c r="AE33" s="84"/>
      <c r="AF33" s="86"/>
      <c r="AG33" s="88"/>
      <c r="AJ33" s="68"/>
    </row>
    <row r="34" spans="1:36" s="76" customFormat="1" ht="18" x14ac:dyDescent="0.2">
      <c r="A34" s="2" t="s">
        <v>322</v>
      </c>
      <c r="B34" s="76">
        <v>3078.28</v>
      </c>
      <c r="C34" s="76">
        <v>3067.88</v>
      </c>
      <c r="D34" s="76">
        <v>3053.17</v>
      </c>
      <c r="E34" s="76">
        <v>2932.49</v>
      </c>
      <c r="F34" s="4">
        <v>2851.71</v>
      </c>
      <c r="G34" s="76">
        <v>2895.06</v>
      </c>
      <c r="H34" s="76">
        <v>2968.14</v>
      </c>
      <c r="I34" s="76">
        <v>2821.04</v>
      </c>
      <c r="J34" s="76">
        <v>2964.83</v>
      </c>
      <c r="K34" s="76">
        <v>2798.77</v>
      </c>
      <c r="L34" s="76">
        <v>2628.42</v>
      </c>
      <c r="M34" s="76">
        <v>2701.44</v>
      </c>
      <c r="N34" s="76">
        <v>2708.82</v>
      </c>
      <c r="O34" s="76">
        <v>2749.85</v>
      </c>
      <c r="P34" s="76">
        <v>2809.08</v>
      </c>
      <c r="Q34" s="76">
        <v>2776.02</v>
      </c>
      <c r="R34" s="76">
        <v>2861.91</v>
      </c>
      <c r="S34" s="76">
        <v>2873.01</v>
      </c>
      <c r="T34" s="76">
        <v>2819.69</v>
      </c>
      <c r="U34" s="76">
        <v>2775.81</v>
      </c>
      <c r="V34" s="76">
        <v>2806.66</v>
      </c>
      <c r="W34" s="76">
        <v>2896.35</v>
      </c>
      <c r="X34" s="76">
        <v>2876.51</v>
      </c>
      <c r="Y34" s="76">
        <v>2925.94</v>
      </c>
      <c r="Z34" s="76">
        <v>2943.47</v>
      </c>
      <c r="AA34" s="77">
        <v>3159.16</v>
      </c>
      <c r="AB34" s="77">
        <v>3351</v>
      </c>
      <c r="AC34" s="77">
        <v>3185</v>
      </c>
      <c r="AD34" s="81">
        <v>3158</v>
      </c>
      <c r="AE34" s="84">
        <v>3249</v>
      </c>
      <c r="AF34" s="86">
        <v>3285</v>
      </c>
      <c r="AG34" s="88">
        <v>3288</v>
      </c>
      <c r="AH34" s="87">
        <f>(AF34-B34)/B34</f>
        <v>6.7154384916251864E-2</v>
      </c>
      <c r="AJ34" s="68"/>
    </row>
    <row r="35" spans="1:36" s="76" customFormat="1" x14ac:dyDescent="0.15">
      <c r="F35" s="4"/>
      <c r="AA35" s="77"/>
      <c r="AB35" s="77"/>
      <c r="AC35" s="77"/>
      <c r="AD35" s="81"/>
      <c r="AE35" s="84"/>
      <c r="AF35" s="86"/>
      <c r="AG35" s="88"/>
      <c r="AJ35" s="81"/>
    </row>
    <row r="36" spans="1:36" s="76" customFormat="1" ht="30" x14ac:dyDescent="0.15">
      <c r="A36" s="2" t="s">
        <v>321</v>
      </c>
      <c r="B36" s="76">
        <v>4144.97</v>
      </c>
      <c r="C36" s="76">
        <v>4163.1899999999996</v>
      </c>
      <c r="D36" s="76">
        <v>4154.8500000000004</v>
      </c>
      <c r="E36" s="76">
        <v>4003.9</v>
      </c>
      <c r="F36" s="4">
        <v>3899.87</v>
      </c>
      <c r="G36" s="76">
        <v>3987.73</v>
      </c>
      <c r="H36" s="76">
        <v>4149.49</v>
      </c>
      <c r="I36" s="76">
        <v>3940.05</v>
      </c>
      <c r="J36" s="76">
        <v>4138.51</v>
      </c>
      <c r="K36" s="76">
        <v>3895.31</v>
      </c>
      <c r="L36" s="76">
        <v>3653.22</v>
      </c>
      <c r="M36" s="76">
        <v>3710.06</v>
      </c>
      <c r="N36" s="76">
        <v>3713.22</v>
      </c>
      <c r="O36" s="76">
        <v>3769.18</v>
      </c>
      <c r="P36" s="76">
        <v>3839.49</v>
      </c>
      <c r="Q36" s="76">
        <v>3796.97</v>
      </c>
      <c r="R36" s="76">
        <v>3912.58</v>
      </c>
      <c r="S36" s="76">
        <v>3963.62</v>
      </c>
      <c r="T36" s="76">
        <v>3912.82</v>
      </c>
      <c r="U36" s="76">
        <v>3824.06</v>
      </c>
      <c r="V36" s="76">
        <v>3876.02</v>
      </c>
      <c r="W36" s="76">
        <v>4001.25</v>
      </c>
      <c r="X36" s="76">
        <v>4003.08</v>
      </c>
      <c r="Y36" s="76">
        <v>4098.71</v>
      </c>
      <c r="Z36" s="76">
        <v>4138.99</v>
      </c>
      <c r="AA36" s="77">
        <v>4419.6000000000004</v>
      </c>
      <c r="AB36" s="77">
        <v>4753</v>
      </c>
      <c r="AC36" s="77">
        <v>4544</v>
      </c>
      <c r="AD36" s="81">
        <v>4505</v>
      </c>
      <c r="AE36" s="84">
        <v>4695</v>
      </c>
      <c r="AF36" s="86">
        <v>4724</v>
      </c>
      <c r="AG36" s="88">
        <v>4704</v>
      </c>
      <c r="AH36" s="87">
        <f>(AF36-B36)/B36</f>
        <v>0.13969461781388037</v>
      </c>
      <c r="AJ36" s="81"/>
    </row>
    <row r="37" spans="1:36" s="76" customFormat="1" x14ac:dyDescent="0.15">
      <c r="F37" s="4"/>
      <c r="AA37" s="77"/>
      <c r="AB37" s="77"/>
      <c r="AC37" s="77"/>
      <c r="AD37" s="81"/>
      <c r="AE37" s="84"/>
      <c r="AF37" s="86"/>
      <c r="AG37" s="88"/>
      <c r="AJ37" s="9"/>
    </row>
    <row r="38" spans="1:36" s="76" customFormat="1" ht="18" x14ac:dyDescent="0.2">
      <c r="A38" s="2" t="s">
        <v>320</v>
      </c>
      <c r="B38" s="76">
        <v>1836.01</v>
      </c>
      <c r="C38" s="76">
        <v>1904.19</v>
      </c>
      <c r="D38" s="76">
        <v>1932.51</v>
      </c>
      <c r="E38" s="76">
        <v>1927.74</v>
      </c>
      <c r="F38" s="4">
        <v>2015.8</v>
      </c>
      <c r="G38" s="76">
        <v>2069.2199999999998</v>
      </c>
      <c r="H38" s="76">
        <v>2226.64</v>
      </c>
      <c r="I38" s="76">
        <v>2071.5700000000002</v>
      </c>
      <c r="J38" s="76">
        <v>2192.94</v>
      </c>
      <c r="K38" s="76">
        <v>2030.58</v>
      </c>
      <c r="L38" s="76">
        <v>1915.05</v>
      </c>
      <c r="M38" s="76">
        <v>1903.88</v>
      </c>
      <c r="N38" s="76">
        <v>1906.67</v>
      </c>
      <c r="O38" s="76">
        <v>1949.88</v>
      </c>
      <c r="P38" s="76">
        <v>2020.77</v>
      </c>
      <c r="Q38" s="76">
        <v>2003.75</v>
      </c>
      <c r="R38" s="76">
        <v>2069.4299999999998</v>
      </c>
      <c r="S38" s="76">
        <v>2154.2399999999998</v>
      </c>
      <c r="T38" s="76">
        <v>2124.31</v>
      </c>
      <c r="U38" s="76">
        <v>2046.6</v>
      </c>
      <c r="V38" s="76">
        <v>2086.67</v>
      </c>
      <c r="W38" s="76">
        <v>2166.38</v>
      </c>
      <c r="X38" s="76">
        <v>2206.7600000000002</v>
      </c>
      <c r="Y38" s="76">
        <v>2319.4499999999998</v>
      </c>
      <c r="Z38" s="76">
        <v>2382.4699999999998</v>
      </c>
      <c r="AA38" s="77">
        <v>2462.56</v>
      </c>
      <c r="AB38" s="77">
        <v>2778</v>
      </c>
      <c r="AC38" s="77">
        <v>2662</v>
      </c>
      <c r="AD38" s="81">
        <v>2627</v>
      </c>
      <c r="AE38" s="84">
        <v>2795</v>
      </c>
      <c r="AF38" s="86">
        <v>2735</v>
      </c>
      <c r="AG38" s="88">
        <v>2668</v>
      </c>
      <c r="AH38" s="87">
        <f>(AF38-B38)/B38</f>
        <v>0.48964330259639111</v>
      </c>
      <c r="AJ38" s="68"/>
    </row>
    <row r="39" spans="1:36" s="76" customFormat="1" x14ac:dyDescent="0.15">
      <c r="F39" s="4"/>
      <c r="AA39" s="77"/>
      <c r="AB39" s="77"/>
      <c r="AC39" s="77"/>
      <c r="AD39" s="81"/>
      <c r="AE39" s="84"/>
      <c r="AF39" s="86"/>
      <c r="AG39" s="88"/>
      <c r="AJ39" s="9"/>
    </row>
    <row r="40" spans="1:36" s="76" customFormat="1" ht="30" x14ac:dyDescent="0.2">
      <c r="A40" s="2" t="s">
        <v>325</v>
      </c>
      <c r="B40" s="76">
        <v>3234.85</v>
      </c>
      <c r="C40" s="76">
        <v>3265.35</v>
      </c>
      <c r="D40" s="76">
        <v>3329.62</v>
      </c>
      <c r="E40" s="76">
        <v>3295.47</v>
      </c>
      <c r="F40" s="4">
        <v>3327.71</v>
      </c>
      <c r="G40" s="76">
        <v>3380.16</v>
      </c>
      <c r="H40" s="76">
        <v>3337.75</v>
      </c>
      <c r="I40" s="76">
        <v>2954.22</v>
      </c>
      <c r="J40" s="76">
        <v>2972.37</v>
      </c>
      <c r="K40" s="76">
        <v>2711.02</v>
      </c>
      <c r="L40" s="76">
        <v>2304.92</v>
      </c>
      <c r="M40" s="76">
        <v>2541.4699999999998</v>
      </c>
      <c r="N40" s="76">
        <v>2488.65</v>
      </c>
      <c r="O40" s="76">
        <v>2789.82</v>
      </c>
      <c r="P40" s="76">
        <v>2874.56</v>
      </c>
      <c r="Q40" s="76">
        <v>2836.74</v>
      </c>
      <c r="R40" s="76">
        <v>2830.71</v>
      </c>
      <c r="S40" s="76">
        <v>2929.8</v>
      </c>
      <c r="T40" s="76">
        <v>2863.7</v>
      </c>
      <c r="U40" s="76">
        <v>2955.45</v>
      </c>
      <c r="V40" s="76">
        <v>3044.31</v>
      </c>
      <c r="W40" s="76">
        <v>3193.93</v>
      </c>
      <c r="X40" s="76">
        <v>3041.31</v>
      </c>
      <c r="Y40" s="76">
        <v>3130</v>
      </c>
      <c r="Z40" s="76">
        <v>3050.33</v>
      </c>
      <c r="AA40" s="77">
        <v>3130.01</v>
      </c>
      <c r="AB40" s="77">
        <v>3185</v>
      </c>
      <c r="AC40" s="77">
        <v>3224</v>
      </c>
      <c r="AD40" s="81">
        <v>3215</v>
      </c>
      <c r="AE40" s="84">
        <v>3271</v>
      </c>
      <c r="AF40" s="86">
        <v>3351</v>
      </c>
      <c r="AG40" s="88">
        <v>3372</v>
      </c>
      <c r="AH40" s="87">
        <f>(AF40-B40)/B40</f>
        <v>3.5905837983214089E-2</v>
      </c>
      <c r="AJ40" s="68"/>
    </row>
    <row r="41" spans="1:36" s="76" customFormat="1" ht="18" x14ac:dyDescent="0.2">
      <c r="F41" s="4"/>
      <c r="AA41" s="77"/>
      <c r="AB41" s="77"/>
      <c r="AC41" s="77"/>
      <c r="AD41" s="81"/>
      <c r="AE41" s="84"/>
      <c r="AF41" s="86"/>
      <c r="AG41" s="88"/>
      <c r="AJ41" s="68"/>
    </row>
    <row r="42" spans="1:36" s="76" customFormat="1" ht="30" x14ac:dyDescent="0.15">
      <c r="A42" s="2" t="s">
        <v>326</v>
      </c>
      <c r="B42" s="76">
        <v>9020.77</v>
      </c>
      <c r="C42" s="76">
        <v>9178.86</v>
      </c>
      <c r="D42" s="76">
        <v>9388.94</v>
      </c>
      <c r="E42" s="76">
        <v>9314.91</v>
      </c>
      <c r="F42" s="4">
        <v>9520.51</v>
      </c>
      <c r="G42" s="76">
        <v>9731.18</v>
      </c>
      <c r="H42" s="76">
        <v>9576.59</v>
      </c>
      <c r="I42" s="76">
        <v>8567.3700000000008</v>
      </c>
      <c r="J42" s="76">
        <v>8575.6200000000008</v>
      </c>
      <c r="K42" s="76">
        <v>7874.88</v>
      </c>
      <c r="L42" s="76">
        <v>6879.52</v>
      </c>
      <c r="M42" s="76">
        <v>7502.38</v>
      </c>
      <c r="N42" s="76">
        <v>7373.08</v>
      </c>
      <c r="O42" s="76">
        <v>8153.58</v>
      </c>
      <c r="P42" s="76">
        <v>8650.14</v>
      </c>
      <c r="Q42" s="76">
        <v>8634.52</v>
      </c>
      <c r="R42" s="76">
        <v>8604.9500000000007</v>
      </c>
      <c r="S42" s="76">
        <v>9121.32</v>
      </c>
      <c r="T42" s="76">
        <v>9014.56</v>
      </c>
      <c r="U42" s="76">
        <v>9324.59</v>
      </c>
      <c r="V42" s="76">
        <v>9489.8700000000008</v>
      </c>
      <c r="W42" s="76">
        <v>9814.08</v>
      </c>
      <c r="X42" s="76">
        <v>9588.81</v>
      </c>
      <c r="Y42" s="76">
        <v>10020</v>
      </c>
      <c r="Z42" s="76">
        <v>9909.17</v>
      </c>
      <c r="AA42" s="77">
        <v>10207.629999999999</v>
      </c>
      <c r="AB42" s="77">
        <v>10617</v>
      </c>
      <c r="AC42" s="77">
        <v>10503</v>
      </c>
      <c r="AD42" s="81">
        <v>10363</v>
      </c>
      <c r="AE42" s="84">
        <v>10745</v>
      </c>
      <c r="AF42" s="86">
        <v>11010</v>
      </c>
      <c r="AG42" s="88">
        <v>11019</v>
      </c>
      <c r="AH42" s="87">
        <f>(AF42-B42)/B42</f>
        <v>0.22051665212614882</v>
      </c>
      <c r="AJ42" s="81"/>
    </row>
    <row r="43" spans="1:36" s="70" customFormat="1" x14ac:dyDescent="0.15">
      <c r="F43" s="4"/>
      <c r="W43" s="74"/>
      <c r="X43" s="76"/>
      <c r="Y43" s="76"/>
      <c r="Z43" s="76"/>
      <c r="AA43" s="77"/>
      <c r="AB43" s="77"/>
      <c r="AC43" s="77"/>
      <c r="AD43" s="81"/>
      <c r="AE43" s="84"/>
      <c r="AF43" s="86"/>
      <c r="AG43" s="88"/>
      <c r="AJ43" s="81"/>
    </row>
    <row r="44" spans="1:36" s="70" customFormat="1" ht="30" x14ac:dyDescent="0.15">
      <c r="A44" s="2" t="s">
        <v>288</v>
      </c>
      <c r="B44" s="70">
        <v>1532</v>
      </c>
      <c r="C44" s="70">
        <v>1530</v>
      </c>
      <c r="D44" s="70">
        <v>1523</v>
      </c>
      <c r="E44" s="70">
        <v>1487</v>
      </c>
      <c r="F44" s="4">
        <v>1418</v>
      </c>
      <c r="G44" s="70">
        <v>1433</v>
      </c>
      <c r="H44" s="70">
        <v>1463</v>
      </c>
      <c r="I44" s="70">
        <v>1373</v>
      </c>
      <c r="J44" s="70">
        <v>1402</v>
      </c>
      <c r="K44" s="70">
        <v>1346</v>
      </c>
      <c r="L44" s="70">
        <v>1286</v>
      </c>
      <c r="M44" s="70">
        <v>1286</v>
      </c>
      <c r="N44" s="70">
        <v>1287</v>
      </c>
      <c r="O44" s="70">
        <v>1343</v>
      </c>
      <c r="P44" s="70">
        <v>1321</v>
      </c>
      <c r="Q44" s="70">
        <v>1309</v>
      </c>
      <c r="R44" s="70">
        <v>1319</v>
      </c>
      <c r="S44" s="70">
        <v>1350</v>
      </c>
      <c r="T44" s="70">
        <v>1355</v>
      </c>
      <c r="U44" s="70">
        <v>1373</v>
      </c>
      <c r="V44" s="70">
        <v>1400</v>
      </c>
      <c r="W44" s="76">
        <v>1416</v>
      </c>
      <c r="X44" s="76">
        <v>1429</v>
      </c>
      <c r="Y44" s="76">
        <v>1442</v>
      </c>
      <c r="Z44" s="76">
        <v>1436.06</v>
      </c>
      <c r="AA44" s="77">
        <v>1436.09</v>
      </c>
      <c r="AB44" s="77">
        <v>1444</v>
      </c>
      <c r="AC44" s="77">
        <v>1460</v>
      </c>
      <c r="AD44" s="81">
        <v>1472</v>
      </c>
      <c r="AE44" s="84">
        <v>1478</v>
      </c>
      <c r="AF44" s="86">
        <v>1500</v>
      </c>
      <c r="AG44" s="88">
        <v>1493</v>
      </c>
      <c r="AH44" s="87">
        <f>(AF44-B44)/B44</f>
        <v>-2.0887728459530026E-2</v>
      </c>
      <c r="AJ44" s="9"/>
    </row>
    <row r="45" spans="1:36" s="76" customFormat="1" ht="18" x14ac:dyDescent="0.2">
      <c r="F45" s="4"/>
      <c r="AA45" s="77"/>
      <c r="AB45" s="77"/>
      <c r="AC45" s="77"/>
      <c r="AD45" s="81"/>
      <c r="AE45" s="84"/>
      <c r="AF45" s="86"/>
      <c r="AG45" s="88"/>
      <c r="AJ45" s="68"/>
    </row>
    <row r="46" spans="1:36" s="76" customFormat="1" ht="30" x14ac:dyDescent="0.15">
      <c r="A46" s="2" t="s">
        <v>332</v>
      </c>
      <c r="B46" s="76">
        <v>2351.6</v>
      </c>
      <c r="C46" s="76">
        <v>2362.9699999999998</v>
      </c>
      <c r="D46" s="76">
        <v>2355.96</v>
      </c>
      <c r="E46" s="76">
        <v>2291.4</v>
      </c>
      <c r="F46" s="4">
        <v>2166.89</v>
      </c>
      <c r="G46" s="76">
        <v>2209.41</v>
      </c>
      <c r="H46" s="76">
        <v>2244.0300000000002</v>
      </c>
      <c r="I46" s="76">
        <v>2098.98</v>
      </c>
      <c r="J46" s="76">
        <v>2143.6799999999998</v>
      </c>
      <c r="K46" s="76">
        <v>2061.33</v>
      </c>
      <c r="L46" s="76">
        <v>1948.82</v>
      </c>
      <c r="M46" s="76">
        <v>1918.97</v>
      </c>
      <c r="N46" s="76">
        <v>1928.11</v>
      </c>
      <c r="O46" s="76">
        <v>2020.68</v>
      </c>
      <c r="P46" s="76">
        <v>1997.48</v>
      </c>
      <c r="Q46" s="76">
        <v>1955.36</v>
      </c>
      <c r="R46" s="76">
        <v>1971.12</v>
      </c>
      <c r="S46" s="76">
        <v>2027.63</v>
      </c>
      <c r="T46" s="76">
        <v>2038.63</v>
      </c>
      <c r="U46" s="76">
        <v>2071.16</v>
      </c>
      <c r="V46" s="76">
        <v>2116.6799999999998</v>
      </c>
      <c r="W46" s="76">
        <v>2166.84</v>
      </c>
      <c r="X46" s="76">
        <v>2151.11</v>
      </c>
      <c r="Y46" s="76">
        <v>2199.9</v>
      </c>
      <c r="Z46" s="76">
        <v>2190.31</v>
      </c>
      <c r="AA46" s="77">
        <v>2191.85</v>
      </c>
      <c r="AB46" s="77">
        <v>2211</v>
      </c>
      <c r="AC46" s="77">
        <v>2235</v>
      </c>
      <c r="AD46" s="81">
        <v>2233</v>
      </c>
      <c r="AE46" s="84">
        <v>2250</v>
      </c>
      <c r="AF46" s="86">
        <v>2272</v>
      </c>
      <c r="AG46" s="88">
        <v>2267</v>
      </c>
      <c r="AH46" s="87">
        <f>(AF46-B46)/B46</f>
        <v>-3.3849294097635617E-2</v>
      </c>
      <c r="AJ46" s="9"/>
    </row>
    <row r="47" spans="1:36" s="76" customFormat="1" ht="18" x14ac:dyDescent="0.2">
      <c r="F47" s="4"/>
      <c r="AA47" s="77"/>
      <c r="AB47" s="77"/>
      <c r="AC47" s="77"/>
      <c r="AD47" s="81"/>
      <c r="AE47" s="84"/>
      <c r="AF47" s="86"/>
      <c r="AG47" s="88"/>
      <c r="AJ47" s="68"/>
    </row>
    <row r="48" spans="1:36" s="76" customFormat="1" ht="30" x14ac:dyDescent="0.2">
      <c r="A48" s="2" t="s">
        <v>323</v>
      </c>
      <c r="B48" s="76">
        <v>783.85</v>
      </c>
      <c r="C48" s="76">
        <v>784.68</v>
      </c>
      <c r="D48" s="76">
        <v>781.66</v>
      </c>
      <c r="E48" s="76">
        <v>767.97</v>
      </c>
      <c r="F48" s="4" t="s">
        <v>333</v>
      </c>
      <c r="G48" s="76">
        <v>747.01</v>
      </c>
      <c r="H48" s="76">
        <v>760.05</v>
      </c>
      <c r="I48" s="76">
        <v>727.09</v>
      </c>
      <c r="J48" s="76">
        <v>742.3</v>
      </c>
      <c r="K48" s="76">
        <v>717.14</v>
      </c>
      <c r="L48" s="76">
        <v>719.13</v>
      </c>
      <c r="M48" s="76">
        <v>735.8</v>
      </c>
      <c r="N48" s="76">
        <v>725.28</v>
      </c>
      <c r="O48" s="76">
        <v>743.29</v>
      </c>
      <c r="P48" s="76">
        <v>733.65</v>
      </c>
      <c r="Q48" s="76">
        <v>728.11</v>
      </c>
      <c r="R48" s="76">
        <v>740.5</v>
      </c>
      <c r="S48" s="76">
        <v>741.92</v>
      </c>
      <c r="T48" s="76">
        <v>734.27</v>
      </c>
      <c r="U48" s="76">
        <v>736.29</v>
      </c>
      <c r="V48" s="76">
        <v>746.18</v>
      </c>
      <c r="W48" s="76">
        <v>750.01</v>
      </c>
      <c r="X48" s="76">
        <v>748.71</v>
      </c>
      <c r="Y48" s="76">
        <v>753.31</v>
      </c>
      <c r="Z48" s="76">
        <v>746.31</v>
      </c>
      <c r="AA48" s="77">
        <v>756.54</v>
      </c>
      <c r="AB48" s="77">
        <v>756</v>
      </c>
      <c r="AC48" s="77">
        <v>764</v>
      </c>
      <c r="AD48" s="81">
        <v>777</v>
      </c>
      <c r="AE48" s="84">
        <v>772</v>
      </c>
      <c r="AF48" s="86">
        <v>770</v>
      </c>
      <c r="AG48" s="88">
        <v>775</v>
      </c>
      <c r="AH48" s="87">
        <f>(AF48-B48)/B48</f>
        <v>-1.7669196912674646E-2</v>
      </c>
      <c r="AJ48" s="68"/>
    </row>
    <row r="49" spans="1:38" s="76" customFormat="1" x14ac:dyDescent="0.15">
      <c r="F49" s="4"/>
      <c r="AA49" s="77"/>
      <c r="AB49" s="77"/>
      <c r="AC49" s="77"/>
      <c r="AD49" s="81"/>
      <c r="AE49" s="84"/>
      <c r="AF49" s="86"/>
      <c r="AG49" s="88"/>
      <c r="AJ49"/>
    </row>
    <row r="50" spans="1:38" s="76" customFormat="1" ht="30" x14ac:dyDescent="0.15">
      <c r="A50" s="2" t="s">
        <v>334</v>
      </c>
      <c r="B50" s="76">
        <v>401.05</v>
      </c>
      <c r="C50" s="76">
        <v>407.36</v>
      </c>
      <c r="D50" s="76">
        <v>410.62</v>
      </c>
      <c r="E50" s="76">
        <v>408.48</v>
      </c>
      <c r="F50" s="4">
        <v>401.77</v>
      </c>
      <c r="G50" s="76">
        <v>401.12</v>
      </c>
      <c r="H50" s="76">
        <v>402.46</v>
      </c>
      <c r="I50" s="76">
        <v>395.11</v>
      </c>
      <c r="J50" s="76">
        <v>398.67</v>
      </c>
      <c r="K50" s="76">
        <v>387.35</v>
      </c>
      <c r="L50" s="76">
        <v>374.04</v>
      </c>
      <c r="M50" s="76">
        <v>373.54</v>
      </c>
      <c r="N50" s="76">
        <v>362.95</v>
      </c>
      <c r="O50" s="76">
        <v>362.05</v>
      </c>
      <c r="P50" s="76">
        <v>350.75</v>
      </c>
      <c r="Q50" s="76">
        <v>348.25</v>
      </c>
      <c r="R50" s="76">
        <v>353.23</v>
      </c>
      <c r="S50" s="76">
        <v>360.87</v>
      </c>
      <c r="T50" s="76">
        <v>362.99</v>
      </c>
      <c r="U50" s="76">
        <v>365.54</v>
      </c>
      <c r="V50" s="76">
        <v>367.12</v>
      </c>
      <c r="W50" s="76">
        <v>369.36</v>
      </c>
      <c r="X50" s="76">
        <v>365.99</v>
      </c>
      <c r="Y50" s="76">
        <v>363.52</v>
      </c>
      <c r="Z50" s="76">
        <v>362.56</v>
      </c>
      <c r="AA50" s="77">
        <v>360.55</v>
      </c>
      <c r="AB50" s="77">
        <v>363</v>
      </c>
      <c r="AC50" s="77">
        <v>365</v>
      </c>
      <c r="AD50" s="81">
        <v>372</v>
      </c>
      <c r="AE50" s="84">
        <v>365</v>
      </c>
      <c r="AF50" s="86">
        <v>378</v>
      </c>
      <c r="AG50" s="88">
        <v>380</v>
      </c>
      <c r="AH50" s="87">
        <f>(AF50-B50)/B50</f>
        <v>-5.7474130407679867E-2</v>
      </c>
      <c r="AJ50" s="81"/>
    </row>
    <row r="51" spans="1:38" s="76" customFormat="1" ht="23" x14ac:dyDescent="0.35">
      <c r="F51" s="4"/>
      <c r="AA51" s="77"/>
      <c r="AB51" s="77"/>
      <c r="AC51" s="77"/>
      <c r="AD51" s="81"/>
      <c r="AE51" s="84"/>
      <c r="AF51" s="86"/>
      <c r="AG51" s="88"/>
      <c r="AJ51" s="79"/>
    </row>
    <row r="52" spans="1:38" s="76" customFormat="1" x14ac:dyDescent="0.15">
      <c r="A52" s="2" t="s">
        <v>330</v>
      </c>
      <c r="B52" s="76">
        <v>63.04</v>
      </c>
      <c r="C52" s="76">
        <v>59.12</v>
      </c>
      <c r="D52" s="76">
        <v>58.84</v>
      </c>
      <c r="E52" s="76">
        <v>54.2</v>
      </c>
      <c r="F52" s="4">
        <v>50.34</v>
      </c>
      <c r="G52" s="76">
        <v>52.51</v>
      </c>
      <c r="H52" s="76">
        <v>53.46</v>
      </c>
      <c r="I52" s="76">
        <v>45.26</v>
      </c>
      <c r="J52" s="76">
        <v>41.57</v>
      </c>
      <c r="K52" s="76">
        <v>33.229999999999997</v>
      </c>
      <c r="L52" s="76">
        <v>23.64</v>
      </c>
      <c r="M52" s="76">
        <v>21.84</v>
      </c>
      <c r="N52" s="76">
        <v>29</v>
      </c>
      <c r="O52" s="76">
        <v>23.19</v>
      </c>
      <c r="P52" s="76">
        <v>25.14</v>
      </c>
      <c r="Q52" s="76">
        <v>17.18</v>
      </c>
      <c r="R52" s="76">
        <v>23.33</v>
      </c>
      <c r="S52" s="76">
        <v>26.04</v>
      </c>
      <c r="T52" s="76">
        <v>29.78</v>
      </c>
      <c r="U52" s="76">
        <v>33.56</v>
      </c>
      <c r="V52" s="76">
        <v>35.32</v>
      </c>
      <c r="W52" s="76">
        <v>38.97</v>
      </c>
      <c r="X52" s="76">
        <v>36.56</v>
      </c>
      <c r="Y52" s="76">
        <v>40.1</v>
      </c>
      <c r="Z52" s="76">
        <v>37.89</v>
      </c>
      <c r="AA52" s="77">
        <v>39.9</v>
      </c>
      <c r="AB52" s="77">
        <v>40</v>
      </c>
      <c r="AC52" s="77">
        <v>43</v>
      </c>
      <c r="AD52" s="81">
        <v>41</v>
      </c>
      <c r="AE52" s="84">
        <v>40.43</v>
      </c>
      <c r="AF52" s="86">
        <v>41.41</v>
      </c>
      <c r="AG52" s="88">
        <v>44.95</v>
      </c>
      <c r="AH52" s="87">
        <f>(AF52-B52)/B52</f>
        <v>-0.34311548223350258</v>
      </c>
      <c r="AJ52"/>
    </row>
    <row r="53" spans="1:38" s="76" customFormat="1" x14ac:dyDescent="0.15">
      <c r="F53" s="4"/>
      <c r="AA53" s="77"/>
      <c r="AB53" s="77"/>
      <c r="AC53" s="77"/>
      <c r="AD53" s="81"/>
      <c r="AE53" s="84"/>
      <c r="AF53" s="86"/>
      <c r="AG53" s="88"/>
      <c r="AJ53" s="81"/>
    </row>
    <row r="54" spans="1:38" s="76" customFormat="1" x14ac:dyDescent="0.15">
      <c r="A54" s="2" t="s">
        <v>331</v>
      </c>
      <c r="B54" s="76">
        <v>1555.2</v>
      </c>
      <c r="C54" s="76">
        <v>1563.2</v>
      </c>
      <c r="D54" s="76">
        <v>1557.3</v>
      </c>
      <c r="E54" s="76">
        <v>1577.6</v>
      </c>
      <c r="F54" s="4">
        <v>1573.9</v>
      </c>
      <c r="G54" s="76">
        <v>1586.9</v>
      </c>
      <c r="H54" s="76">
        <v>1645.9</v>
      </c>
      <c r="I54" s="76">
        <v>1587.3</v>
      </c>
      <c r="J54" s="76">
        <v>1674.2</v>
      </c>
      <c r="K54" s="76">
        <v>1528.9</v>
      </c>
      <c r="L54" s="76">
        <v>1501.1</v>
      </c>
      <c r="M54" s="76">
        <v>1654</v>
      </c>
      <c r="N54" s="76">
        <v>1648.8</v>
      </c>
      <c r="O54" s="76">
        <v>1740.6</v>
      </c>
      <c r="P54" s="76">
        <v>1694.5</v>
      </c>
      <c r="Q54" s="76">
        <v>1745.7</v>
      </c>
      <c r="R54" s="76">
        <v>1710.2</v>
      </c>
      <c r="S54" s="76">
        <v>1704.8</v>
      </c>
      <c r="T54" s="76">
        <v>1754.1</v>
      </c>
      <c r="U54" s="76">
        <v>1734.7</v>
      </c>
      <c r="V54" s="76">
        <v>1743</v>
      </c>
      <c r="W54" s="76">
        <v>1688.5</v>
      </c>
      <c r="X54" s="76">
        <v>1737.3</v>
      </c>
      <c r="Y54" s="76">
        <v>1753</v>
      </c>
      <c r="Z54" s="76">
        <v>1771.8</v>
      </c>
      <c r="AA54" s="77">
        <v>1785.5</v>
      </c>
      <c r="AB54" s="77">
        <v>1801</v>
      </c>
      <c r="AC54" s="77">
        <v>1812</v>
      </c>
      <c r="AD54" s="81">
        <v>1900</v>
      </c>
      <c r="AE54" s="84">
        <v>1994</v>
      </c>
      <c r="AF54" s="86">
        <v>2044</v>
      </c>
      <c r="AG54" s="88">
        <v>1953</v>
      </c>
      <c r="AH54" s="87">
        <f>(AF54-B54)/B54</f>
        <v>0.31430041152263372</v>
      </c>
      <c r="AJ54" s="10"/>
    </row>
    <row r="55" spans="1:38" x14ac:dyDescent="0.15">
      <c r="F55" s="4"/>
      <c r="S55" s="57"/>
      <c r="T55" s="57"/>
      <c r="U55" s="66"/>
      <c r="V55" s="69"/>
      <c r="W55" s="74"/>
      <c r="X55" s="76"/>
      <c r="Y55" s="76"/>
      <c r="Z55" s="76"/>
      <c r="AA55" s="77"/>
      <c r="AB55" s="77"/>
      <c r="AC55" s="77"/>
      <c r="AD55" s="81"/>
      <c r="AE55" s="84"/>
      <c r="AF55" s="86"/>
      <c r="AG55" s="88"/>
      <c r="AI55" s="66"/>
    </row>
    <row r="56" spans="1:38" s="74" customFormat="1" ht="18" x14ac:dyDescent="0.2">
      <c r="A56" s="7" t="s">
        <v>291</v>
      </c>
      <c r="B56" s="74">
        <v>1.1619999999999999</v>
      </c>
      <c r="C56" s="74">
        <v>1.7722</v>
      </c>
      <c r="D56" s="74">
        <v>2.12</v>
      </c>
      <c r="E56" s="74">
        <v>2.444</v>
      </c>
      <c r="F56" s="4">
        <v>1.7929999999999999</v>
      </c>
      <c r="G56" s="74">
        <v>1.256</v>
      </c>
      <c r="H56" s="74">
        <v>1.355</v>
      </c>
      <c r="I56" s="74">
        <v>1.6279999999999999</v>
      </c>
      <c r="J56" s="74">
        <v>1.3620000000000001</v>
      </c>
      <c r="K56" s="74">
        <v>1.4139999999999999</v>
      </c>
      <c r="L56" s="74">
        <v>0.79500000000000004</v>
      </c>
      <c r="M56" s="74">
        <v>1.1040000000000001</v>
      </c>
      <c r="N56" s="74">
        <v>1.0009999999999999</v>
      </c>
      <c r="O56" s="74">
        <v>1.349</v>
      </c>
      <c r="P56" s="74">
        <v>0.71599999999999997</v>
      </c>
      <c r="Q56" s="74">
        <v>1.256</v>
      </c>
      <c r="R56" s="74">
        <v>1.8879999999999999</v>
      </c>
      <c r="S56" s="74">
        <v>0.85</v>
      </c>
      <c r="T56" s="74">
        <v>0.86399999999999999</v>
      </c>
      <c r="U56" s="74">
        <v>1.0940000000000001</v>
      </c>
      <c r="V56" s="74">
        <v>2.097</v>
      </c>
      <c r="W56" s="74">
        <v>1.5820000000000001</v>
      </c>
      <c r="X56" s="76">
        <v>1.5289999999999999</v>
      </c>
      <c r="Y56" s="76">
        <v>2.1309999999999998</v>
      </c>
      <c r="Z56" s="76">
        <v>1.54</v>
      </c>
      <c r="AA56" s="77">
        <v>1.3640000000000001</v>
      </c>
      <c r="AB56" s="77">
        <v>2.1890000000000001</v>
      </c>
      <c r="AC56" s="77">
        <v>2.2465000000000002</v>
      </c>
      <c r="AD56" s="81">
        <v>1.843</v>
      </c>
      <c r="AE56" s="84">
        <v>1.788</v>
      </c>
      <c r="AF56" s="86">
        <v>2.129</v>
      </c>
      <c r="AG56" s="88">
        <v>2.1749999999999998</v>
      </c>
      <c r="AJ56" s="68"/>
      <c r="AK56" s="68"/>
      <c r="AL56" s="8"/>
    </row>
    <row r="57" spans="1:38" ht="30" x14ac:dyDescent="0.2">
      <c r="A57" s="7" t="s">
        <v>4</v>
      </c>
      <c r="B57" s="1">
        <v>2.96</v>
      </c>
      <c r="C57" s="1">
        <v>2.8639999999999999</v>
      </c>
      <c r="D57" s="1">
        <v>2.8679999999999999</v>
      </c>
      <c r="E57" s="1">
        <v>2.8580000000000001</v>
      </c>
      <c r="F57" s="4">
        <v>2.7530000000000001</v>
      </c>
      <c r="G57" s="1">
        <v>2.5649999999999999</v>
      </c>
      <c r="H57" s="1">
        <v>2.4889999999999999</v>
      </c>
      <c r="I57" s="1">
        <v>2.4289999999999998</v>
      </c>
      <c r="J57" s="1">
        <v>2.258</v>
      </c>
      <c r="K57" s="1">
        <v>2.202</v>
      </c>
      <c r="L57" s="1">
        <v>2.0870000000000002</v>
      </c>
      <c r="M57" s="1">
        <v>1.966</v>
      </c>
      <c r="N57" s="1">
        <v>1.8440000000000001</v>
      </c>
      <c r="O57" s="1">
        <v>1.5069999999999999</v>
      </c>
      <c r="P57" s="1">
        <v>1.403</v>
      </c>
      <c r="Q57" s="1">
        <v>1.3959999999999999</v>
      </c>
      <c r="R57" s="1">
        <v>1.4</v>
      </c>
      <c r="S57" s="57">
        <v>1.4</v>
      </c>
      <c r="T57" s="57">
        <v>1.399</v>
      </c>
      <c r="U57" s="66">
        <v>1.4</v>
      </c>
      <c r="V57" s="69">
        <v>1.4530000000000001</v>
      </c>
      <c r="W57" s="74">
        <v>1.5940000000000001</v>
      </c>
      <c r="X57" s="76">
        <v>1.956</v>
      </c>
      <c r="Y57" s="76">
        <v>2.0950000000000002</v>
      </c>
      <c r="Z57" s="76">
        <v>2.121</v>
      </c>
      <c r="AA57" s="77">
        <v>2.105</v>
      </c>
      <c r="AB57" s="77">
        <v>2.1219999999999999</v>
      </c>
      <c r="AC57" s="77">
        <v>2.286</v>
      </c>
      <c r="AD57" s="68">
        <v>2.5569999999999999</v>
      </c>
      <c r="AE57" s="84">
        <v>2.593</v>
      </c>
      <c r="AF57" s="86">
        <v>2.601</v>
      </c>
      <c r="AG57" s="88">
        <v>2.601</v>
      </c>
      <c r="AI57" s="66"/>
      <c r="AJ57" s="68"/>
      <c r="AK57" s="68"/>
      <c r="AL57" s="8"/>
    </row>
    <row r="58" spans="1:38" x14ac:dyDescent="0.15">
      <c r="F58" s="4"/>
      <c r="S58" s="57"/>
      <c r="T58" s="57"/>
      <c r="U58" s="66"/>
      <c r="V58" s="69"/>
      <c r="W58" s="74"/>
      <c r="X58" s="76"/>
      <c r="Y58" s="76"/>
      <c r="Z58" s="76"/>
      <c r="AA58" s="77"/>
      <c r="AB58" s="77"/>
      <c r="AC58" s="77"/>
      <c r="AD58" s="81"/>
      <c r="AE58" s="84"/>
      <c r="AF58" s="86"/>
      <c r="AG58" s="88"/>
      <c r="AI58" s="66"/>
      <c r="AJ58" s="88"/>
      <c r="AK58" s="88"/>
      <c r="AL58" s="8"/>
    </row>
    <row r="59" spans="1:38" s="74" customFormat="1" x14ac:dyDescent="0.15">
      <c r="A59" s="7" t="s">
        <v>293</v>
      </c>
      <c r="B59" s="74">
        <v>3.085</v>
      </c>
      <c r="C59" s="74">
        <v>2.73</v>
      </c>
      <c r="D59" s="74">
        <v>3.08</v>
      </c>
      <c r="E59" s="74">
        <v>1.7849999999999999</v>
      </c>
      <c r="F59" s="74">
        <v>1.88</v>
      </c>
      <c r="G59" s="74">
        <v>2.1549999999999998</v>
      </c>
      <c r="H59" s="74">
        <v>2.0950000000000002</v>
      </c>
      <c r="I59" s="74">
        <v>2.4750000000000001</v>
      </c>
      <c r="J59" s="74">
        <v>1.77</v>
      </c>
      <c r="K59" s="74">
        <v>1.9450000000000001</v>
      </c>
      <c r="L59" s="74">
        <v>0.89500000000000002</v>
      </c>
      <c r="M59" s="74">
        <v>2.2450000000000001</v>
      </c>
      <c r="N59" s="74">
        <v>1.66</v>
      </c>
      <c r="O59" s="74">
        <v>1.55</v>
      </c>
      <c r="P59" s="74">
        <v>1.53</v>
      </c>
      <c r="Q59" s="74">
        <v>1.63</v>
      </c>
      <c r="R59" s="74">
        <v>1.845</v>
      </c>
      <c r="S59" s="74">
        <v>1.605</v>
      </c>
      <c r="T59" s="74">
        <v>1.43</v>
      </c>
      <c r="U59" s="74">
        <v>1.5449999999999999</v>
      </c>
      <c r="V59" s="74">
        <v>2.2599999999999998</v>
      </c>
      <c r="W59" s="74">
        <v>1.8149999999999999</v>
      </c>
      <c r="X59" s="76">
        <v>2.0449999999999999</v>
      </c>
      <c r="Y59" s="76">
        <v>2.855</v>
      </c>
      <c r="Z59" s="76">
        <v>3.35</v>
      </c>
      <c r="AA59" s="77">
        <v>1.885</v>
      </c>
      <c r="AB59" s="77">
        <v>2.085</v>
      </c>
      <c r="AC59" s="77">
        <v>2.1150000000000002</v>
      </c>
      <c r="AD59" s="81">
        <v>1.9450000000000001</v>
      </c>
      <c r="AE59" s="84">
        <v>2.2749999999999999</v>
      </c>
      <c r="AF59" s="86">
        <v>1.925</v>
      </c>
      <c r="AG59" s="88">
        <v>2.39</v>
      </c>
      <c r="AJ59" s="88"/>
      <c r="AK59" s="88"/>
      <c r="AL59" s="8"/>
    </row>
    <row r="60" spans="1:38" s="74" customFormat="1" x14ac:dyDescent="0.15">
      <c r="A60" s="7" t="s">
        <v>289</v>
      </c>
      <c r="B60" s="74">
        <v>33353</v>
      </c>
      <c r="C60" s="74">
        <v>36821</v>
      </c>
      <c r="D60" s="74">
        <v>44442</v>
      </c>
      <c r="E60" s="74">
        <v>23503</v>
      </c>
      <c r="F60" s="74">
        <v>37190</v>
      </c>
      <c r="G60" s="74">
        <v>35773</v>
      </c>
      <c r="H60" s="74">
        <v>34180</v>
      </c>
      <c r="I60" s="74">
        <v>35721</v>
      </c>
      <c r="J60" s="74">
        <v>35285</v>
      </c>
      <c r="K60" s="74">
        <v>35117</v>
      </c>
      <c r="L60" s="74">
        <v>38226</v>
      </c>
      <c r="M60" s="74">
        <v>41731</v>
      </c>
      <c r="N60" s="74">
        <v>39855</v>
      </c>
      <c r="O60" s="74">
        <v>31589</v>
      </c>
      <c r="P60" s="74">
        <v>29686</v>
      </c>
      <c r="Q60" s="74">
        <v>37222</v>
      </c>
      <c r="R60" s="74">
        <v>29542</v>
      </c>
      <c r="S60" s="74">
        <v>16275</v>
      </c>
      <c r="T60" s="74">
        <v>37206</v>
      </c>
      <c r="U60" s="74">
        <v>36932</v>
      </c>
      <c r="V60" s="74">
        <v>41342</v>
      </c>
      <c r="W60" s="74">
        <f>8114+7922+8037+7891+7639</f>
        <v>39603</v>
      </c>
      <c r="X60" s="76">
        <f>7955+8220+8266+8201+8062</f>
        <v>40704</v>
      </c>
      <c r="Y60" s="76">
        <f>8287+8155+8119+8253+8423</f>
        <v>41237</v>
      </c>
      <c r="Z60" s="76">
        <f>8687+8623+8806</f>
        <v>26116</v>
      </c>
      <c r="AA60" s="77">
        <v>44631</v>
      </c>
      <c r="AB60" s="77">
        <f>7999+8053+8007+8077+7908</f>
        <v>40044</v>
      </c>
      <c r="AC60" s="77">
        <f>8182+8068+8215+8481+8366</f>
        <v>41312</v>
      </c>
      <c r="AD60" s="81">
        <f>8443+8290+8342+8401+8405</f>
        <v>41881</v>
      </c>
      <c r="AE60" s="84">
        <f>8859+8928+8902+8629+8501</f>
        <v>43819</v>
      </c>
      <c r="AF60" s="86">
        <f>8803+8539+8251+8153+8127</f>
        <v>41873</v>
      </c>
      <c r="AG60" s="88">
        <f>8579+8549+8681+8598+8483</f>
        <v>42890</v>
      </c>
      <c r="AJ60" s="9"/>
      <c r="AK60" s="9"/>
      <c r="AL60" s="8"/>
    </row>
    <row r="61" spans="1:38" s="74" customFormat="1" ht="18" x14ac:dyDescent="0.2">
      <c r="A61" s="7" t="s">
        <v>292</v>
      </c>
      <c r="B61" s="74">
        <v>1.1000000000000001</v>
      </c>
      <c r="C61" s="74">
        <v>1.77</v>
      </c>
      <c r="D61" s="74">
        <v>2.15</v>
      </c>
      <c r="E61" s="74">
        <v>2.37</v>
      </c>
      <c r="F61" s="74">
        <v>1.5</v>
      </c>
      <c r="G61" s="74">
        <v>1.23</v>
      </c>
      <c r="H61" s="74">
        <v>1.35</v>
      </c>
      <c r="I61" s="74">
        <v>1.64</v>
      </c>
      <c r="J61" s="74">
        <v>1.36</v>
      </c>
      <c r="K61" s="74">
        <v>1.41</v>
      </c>
      <c r="L61" s="74">
        <v>1</v>
      </c>
      <c r="M61" s="74">
        <v>1.1000000000000001</v>
      </c>
      <c r="N61" s="74">
        <v>0.97</v>
      </c>
      <c r="O61" s="74">
        <v>1.32</v>
      </c>
      <c r="P61" s="74">
        <v>0.72</v>
      </c>
      <c r="Q61" s="74">
        <v>1.1499999999999999</v>
      </c>
      <c r="R61" s="74">
        <v>1.6</v>
      </c>
      <c r="S61" s="74">
        <v>0.84</v>
      </c>
      <c r="T61" s="74">
        <v>0.86</v>
      </c>
      <c r="U61" s="74">
        <v>1.0900000000000001</v>
      </c>
      <c r="V61" s="74">
        <v>1.6</v>
      </c>
      <c r="W61" s="74">
        <v>1.5687</v>
      </c>
      <c r="X61" s="76">
        <v>1.5161</v>
      </c>
      <c r="Y61" s="76">
        <v>2.1349</v>
      </c>
      <c r="Z61" s="76">
        <v>1.4776</v>
      </c>
      <c r="AA61" s="77">
        <v>1.3595999999999999</v>
      </c>
      <c r="AB61" s="77">
        <v>2.1665000000000001</v>
      </c>
      <c r="AC61" s="77">
        <v>2.2806000000000002</v>
      </c>
      <c r="AD61" s="81">
        <v>1.8342000000000001</v>
      </c>
      <c r="AE61" s="84">
        <v>1.8165</v>
      </c>
      <c r="AF61" s="86">
        <v>2.0531999999999999</v>
      </c>
      <c r="AG61" s="88">
        <v>2.1665000000000001</v>
      </c>
      <c r="AJ61" s="68"/>
      <c r="AK61" s="68"/>
      <c r="AL61" s="8"/>
    </row>
    <row r="62" spans="1:38" s="74" customFormat="1" x14ac:dyDescent="0.15">
      <c r="A62" s="7" t="s">
        <v>289</v>
      </c>
      <c r="B62" s="74">
        <v>77739</v>
      </c>
      <c r="C62" s="74">
        <v>193654</v>
      </c>
      <c r="D62" s="74">
        <v>0</v>
      </c>
      <c r="E62" s="74">
        <v>61438</v>
      </c>
      <c r="F62" s="74">
        <v>43165</v>
      </c>
      <c r="G62" s="74">
        <v>83703</v>
      </c>
      <c r="H62" s="74">
        <v>123523</v>
      </c>
      <c r="I62" s="74">
        <v>140038</v>
      </c>
      <c r="J62" s="74">
        <v>168464</v>
      </c>
      <c r="K62" s="74">
        <v>171161</v>
      </c>
      <c r="L62" s="74">
        <v>189880</v>
      </c>
      <c r="M62" s="74">
        <v>203917</v>
      </c>
      <c r="N62" s="74">
        <v>179682</v>
      </c>
      <c r="O62" s="74">
        <v>183613</v>
      </c>
      <c r="P62" s="74">
        <v>221473</v>
      </c>
      <c r="Q62" s="74">
        <v>0</v>
      </c>
      <c r="R62" s="74">
        <v>141690</v>
      </c>
      <c r="S62" s="74">
        <v>97672</v>
      </c>
      <c r="T62" s="74">
        <v>237542</v>
      </c>
      <c r="U62" s="74">
        <v>141887</v>
      </c>
      <c r="V62" s="74">
        <v>83775</v>
      </c>
      <c r="W62" s="74">
        <f>19359+17991+17531+17940+19198</f>
        <v>92019</v>
      </c>
      <c r="X62" s="76">
        <f>19239+18839+18868+19620+19311</f>
        <v>95877</v>
      </c>
      <c r="Y62" s="76">
        <f>20255+19955+18008+18055+17870</f>
        <v>94143</v>
      </c>
      <c r="Z62" s="76">
        <f>18206+17083+13190</f>
        <v>48479</v>
      </c>
      <c r="AA62" s="77">
        <f>13301+15480+8384+16435+18255+18506</f>
        <v>90361</v>
      </c>
      <c r="AB62" s="77">
        <f>21505+21370+20742+19889+18162</f>
        <v>101668</v>
      </c>
      <c r="AC62" s="77">
        <f>18590+19818+18241+14744+15632</f>
        <v>87025</v>
      </c>
      <c r="AD62" s="81">
        <f>17813+17608+18556+18195+19629</f>
        <v>91801</v>
      </c>
      <c r="AE62" s="84">
        <f>18129+17853+16732+16107+9056</f>
        <v>77877</v>
      </c>
      <c r="AF62" s="86">
        <f>19860+19646+19632+20763+17512</f>
        <v>97413</v>
      </c>
      <c r="AG62" s="88">
        <f>18101+17264+19222+18468+19325</f>
        <v>92380</v>
      </c>
      <c r="AJ62" s="9"/>
      <c r="AK62" s="9"/>
      <c r="AL62" s="8"/>
    </row>
    <row r="63" spans="1:38" s="74" customFormat="1" ht="18" x14ac:dyDescent="0.2">
      <c r="A63" s="7" t="s">
        <v>290</v>
      </c>
      <c r="B63" s="74">
        <f t="shared" ref="B63:AC63" si="23">B62+B60</f>
        <v>111092</v>
      </c>
      <c r="C63" s="74">
        <f t="shared" si="23"/>
        <v>230475</v>
      </c>
      <c r="D63" s="74">
        <f t="shared" si="23"/>
        <v>44442</v>
      </c>
      <c r="E63" s="74">
        <f t="shared" si="23"/>
        <v>84941</v>
      </c>
      <c r="F63" s="74">
        <f t="shared" si="23"/>
        <v>80355</v>
      </c>
      <c r="G63" s="74">
        <f t="shared" si="23"/>
        <v>119476</v>
      </c>
      <c r="H63" s="74">
        <f t="shared" si="23"/>
        <v>157703</v>
      </c>
      <c r="I63" s="74">
        <f t="shared" si="23"/>
        <v>175759</v>
      </c>
      <c r="J63" s="74">
        <f t="shared" si="23"/>
        <v>203749</v>
      </c>
      <c r="K63" s="74">
        <f t="shared" si="23"/>
        <v>206278</v>
      </c>
      <c r="L63" s="74">
        <f t="shared" si="23"/>
        <v>228106</v>
      </c>
      <c r="M63" s="74">
        <f t="shared" si="23"/>
        <v>245648</v>
      </c>
      <c r="N63" s="74">
        <f t="shared" si="23"/>
        <v>219537</v>
      </c>
      <c r="O63" s="74">
        <f t="shared" si="23"/>
        <v>215202</v>
      </c>
      <c r="P63" s="74">
        <f t="shared" si="23"/>
        <v>251159</v>
      </c>
      <c r="Q63" s="74">
        <f t="shared" si="23"/>
        <v>37222</v>
      </c>
      <c r="R63" s="74">
        <f t="shared" si="23"/>
        <v>171232</v>
      </c>
      <c r="S63" s="74">
        <f t="shared" si="23"/>
        <v>113947</v>
      </c>
      <c r="T63" s="74">
        <f t="shared" si="23"/>
        <v>274748</v>
      </c>
      <c r="U63" s="74">
        <f t="shared" si="23"/>
        <v>178819</v>
      </c>
      <c r="V63" s="74">
        <f t="shared" si="23"/>
        <v>125117</v>
      </c>
      <c r="W63" s="74">
        <f t="shared" si="23"/>
        <v>131622</v>
      </c>
      <c r="X63" s="76">
        <f t="shared" si="23"/>
        <v>136581</v>
      </c>
      <c r="Y63" s="76">
        <f t="shared" si="23"/>
        <v>135380</v>
      </c>
      <c r="Z63" s="76">
        <f t="shared" si="23"/>
        <v>74595</v>
      </c>
      <c r="AA63" s="77">
        <f t="shared" si="23"/>
        <v>134992</v>
      </c>
      <c r="AB63" s="77">
        <f t="shared" si="23"/>
        <v>141712</v>
      </c>
      <c r="AC63" s="77">
        <f t="shared" si="23"/>
        <v>128337</v>
      </c>
      <c r="AD63" s="81">
        <f t="shared" ref="AD63:AE63" si="24">AD62+AD60</f>
        <v>133682</v>
      </c>
      <c r="AE63" s="84">
        <f t="shared" si="24"/>
        <v>121696</v>
      </c>
      <c r="AF63" s="86">
        <f t="shared" ref="AF63:AG63" si="25">AF62+AF60</f>
        <v>139286</v>
      </c>
      <c r="AG63" s="88">
        <f t="shared" si="25"/>
        <v>135270</v>
      </c>
      <c r="AJ63" s="68"/>
      <c r="AK63" s="68"/>
      <c r="AL63" s="8"/>
    </row>
    <row r="64" spans="1:38" s="74" customFormat="1" ht="18" x14ac:dyDescent="0.2">
      <c r="F64" s="4"/>
      <c r="X64" s="76"/>
      <c r="Y64" s="76"/>
      <c r="Z64" s="76"/>
      <c r="AA64" s="77"/>
      <c r="AB64" s="77"/>
      <c r="AC64" s="77"/>
      <c r="AD64" s="81"/>
      <c r="AE64" s="84"/>
      <c r="AF64" s="86"/>
      <c r="AG64" s="88"/>
      <c r="AJ64" s="68"/>
      <c r="AK64" s="68"/>
      <c r="AL64" s="8"/>
    </row>
    <row r="65" spans="1:38" s="74" customFormat="1" x14ac:dyDescent="0.15">
      <c r="A65" s="7" t="s">
        <v>294</v>
      </c>
      <c r="B65" s="74">
        <v>2.8849999999999998</v>
      </c>
      <c r="C65" s="74">
        <v>2.7349999999999999</v>
      </c>
      <c r="D65" s="74">
        <v>3.2650000000000001</v>
      </c>
      <c r="E65" s="74">
        <v>2.2000000000000002</v>
      </c>
      <c r="F65" s="74">
        <v>2.355</v>
      </c>
      <c r="G65" s="74">
        <v>2.3650000000000002</v>
      </c>
      <c r="H65" s="74">
        <v>2.4350000000000001</v>
      </c>
      <c r="I65" s="74">
        <v>2.4449999999999998</v>
      </c>
      <c r="J65" s="74">
        <v>1.9650000000000001</v>
      </c>
      <c r="K65" s="74">
        <v>2.0299999999999998</v>
      </c>
      <c r="L65" s="74">
        <v>1.29</v>
      </c>
      <c r="M65" s="74">
        <v>2.2850000000000001</v>
      </c>
      <c r="N65" s="74">
        <v>1.655</v>
      </c>
      <c r="O65" s="74">
        <v>1.605</v>
      </c>
      <c r="P65" s="74">
        <v>1.55</v>
      </c>
      <c r="Q65" s="74">
        <v>1.58</v>
      </c>
      <c r="R65" s="74">
        <v>1.8</v>
      </c>
      <c r="S65" s="74">
        <v>1.58</v>
      </c>
      <c r="T65" s="74">
        <v>1.47</v>
      </c>
      <c r="U65" s="74">
        <v>1.57</v>
      </c>
      <c r="V65" s="74">
        <v>1.875</v>
      </c>
      <c r="W65" s="74">
        <v>1.8049999999999999</v>
      </c>
      <c r="X65" s="76">
        <v>2.0350000000000001</v>
      </c>
      <c r="Y65" s="76">
        <v>2.87</v>
      </c>
      <c r="Z65" s="76">
        <v>3.72</v>
      </c>
      <c r="AA65" s="77">
        <v>1.95</v>
      </c>
      <c r="AB65" s="77">
        <v>2.2749999999999999</v>
      </c>
      <c r="AC65" s="77">
        <v>2.2400000000000002</v>
      </c>
      <c r="AD65" s="81">
        <v>2.2549999999999999</v>
      </c>
      <c r="AE65" s="84">
        <v>2.2650000000000001</v>
      </c>
      <c r="AF65" s="86">
        <v>2.0531999999999999</v>
      </c>
      <c r="AG65" s="88">
        <v>2.4049999999999998</v>
      </c>
      <c r="AJ65" s="88"/>
      <c r="AK65" s="88"/>
      <c r="AL65" s="8"/>
    </row>
    <row r="66" spans="1:38" s="74" customFormat="1" x14ac:dyDescent="0.15">
      <c r="A66" s="7" t="s">
        <v>289</v>
      </c>
      <c r="B66" s="74">
        <v>4807</v>
      </c>
      <c r="C66" s="74">
        <v>6486</v>
      </c>
      <c r="D66" s="74">
        <v>4418</v>
      </c>
      <c r="E66" s="74">
        <v>2435</v>
      </c>
      <c r="F66" s="74">
        <v>9011</v>
      </c>
      <c r="G66" s="74">
        <v>7000</v>
      </c>
      <c r="H66" s="74">
        <v>7176</v>
      </c>
      <c r="I66" s="74">
        <v>7106</v>
      </c>
      <c r="J66" s="74">
        <v>7350</v>
      </c>
      <c r="K66" s="74">
        <v>7159</v>
      </c>
      <c r="L66" s="74">
        <v>6334</v>
      </c>
      <c r="M66" s="74">
        <v>5743</v>
      </c>
      <c r="N66" s="74">
        <v>6229</v>
      </c>
      <c r="O66" s="74">
        <v>6046</v>
      </c>
      <c r="P66" s="74">
        <v>5723</v>
      </c>
      <c r="Q66" s="74">
        <v>6196</v>
      </c>
      <c r="R66" s="74">
        <v>5481</v>
      </c>
      <c r="S66" s="74">
        <v>2560</v>
      </c>
      <c r="T66" s="74">
        <v>6740</v>
      </c>
      <c r="U66" s="74">
        <v>6603</v>
      </c>
      <c r="V66" s="74">
        <v>6391</v>
      </c>
      <c r="W66" s="74">
        <f>1418+1087+1873+1421+981</f>
        <v>6780</v>
      </c>
      <c r="X66" s="76">
        <f>1241+1110+1989+951+1538</f>
        <v>6829</v>
      </c>
      <c r="Y66" s="76">
        <f>1297+1256+1880+1475+912</f>
        <v>6820</v>
      </c>
      <c r="Z66" s="76">
        <f>1238+981+1568</f>
        <v>3787</v>
      </c>
      <c r="AA66" s="77">
        <v>7177</v>
      </c>
      <c r="AB66" s="77">
        <f>1899+1036+1568+964+704</f>
        <v>6171</v>
      </c>
      <c r="AC66" s="77">
        <f>1856+1199+1424+1090+913</f>
        <v>6482</v>
      </c>
      <c r="AD66" s="81">
        <f>1849+1276+1512+773+955</f>
        <v>6365</v>
      </c>
      <c r="AE66" s="84">
        <f>1619+1284+1521+1316+790</f>
        <v>6530</v>
      </c>
      <c r="AF66" s="86">
        <f>1990+1311+1585+1212+851</f>
        <v>6949</v>
      </c>
      <c r="AG66" s="88">
        <f>1685+1181+1445+1334+902</f>
        <v>6547</v>
      </c>
      <c r="AJ66" s="88"/>
      <c r="AK66" s="88"/>
      <c r="AL66" s="8"/>
    </row>
    <row r="67" spans="1:38" x14ac:dyDescent="0.15">
      <c r="A67" s="7" t="s">
        <v>5</v>
      </c>
      <c r="B67" s="1">
        <v>1.35</v>
      </c>
      <c r="C67" s="1">
        <v>2.2000000000000002</v>
      </c>
      <c r="D67" s="1">
        <v>2.4</v>
      </c>
      <c r="E67" s="1">
        <v>2.54</v>
      </c>
      <c r="F67" s="1">
        <v>2.17</v>
      </c>
      <c r="G67" s="1">
        <v>2</v>
      </c>
      <c r="H67" s="1">
        <v>2.17</v>
      </c>
      <c r="I67" s="1">
        <v>2.37</v>
      </c>
      <c r="J67" s="1">
        <v>1.82</v>
      </c>
      <c r="K67" s="1">
        <v>1.8</v>
      </c>
      <c r="L67" s="1">
        <v>1.5</v>
      </c>
      <c r="M67" s="1">
        <v>1.7</v>
      </c>
      <c r="N67" s="1">
        <v>1.4</v>
      </c>
      <c r="O67" s="1">
        <v>1.8</v>
      </c>
      <c r="P67" s="1">
        <v>1.2</v>
      </c>
      <c r="Q67" s="1">
        <v>1.3</v>
      </c>
      <c r="R67" s="1">
        <v>1.91</v>
      </c>
      <c r="S67" s="57">
        <v>1</v>
      </c>
      <c r="T67" s="57">
        <v>1.1499999999999999</v>
      </c>
      <c r="U67" s="66">
        <v>1.4</v>
      </c>
      <c r="V67" s="69">
        <v>2.15</v>
      </c>
      <c r="W67" s="74">
        <v>1.9351</v>
      </c>
      <c r="X67" s="76">
        <v>1.9066000000000001</v>
      </c>
      <c r="Y67" s="76">
        <v>2.1339999999999999</v>
      </c>
      <c r="Z67" s="76">
        <v>2.1334</v>
      </c>
      <c r="AA67" s="77">
        <v>1.8259000000000001</v>
      </c>
      <c r="AB67" s="77">
        <v>2.2073999999999998</v>
      </c>
      <c r="AC67" s="77">
        <v>2.2606999999999999</v>
      </c>
      <c r="AD67" s="81">
        <v>2.1025</v>
      </c>
      <c r="AE67" s="84">
        <v>2.2366999999999999</v>
      </c>
      <c r="AF67" s="86">
        <v>2.0179</v>
      </c>
      <c r="AG67" s="88">
        <v>2.2098</v>
      </c>
      <c r="AI67" s="66"/>
      <c r="AJ67" s="9"/>
      <c r="AK67" s="9"/>
      <c r="AL67" s="8"/>
    </row>
    <row r="68" spans="1:38" s="74" customFormat="1" ht="18" x14ac:dyDescent="0.2">
      <c r="A68" s="7" t="s">
        <v>289</v>
      </c>
      <c r="B68" s="74">
        <v>15091</v>
      </c>
      <c r="C68" s="74">
        <v>16708</v>
      </c>
      <c r="D68" s="74">
        <v>0</v>
      </c>
      <c r="E68" s="74">
        <v>7823</v>
      </c>
      <c r="F68" s="74">
        <v>26278</v>
      </c>
      <c r="G68" s="74">
        <v>17503</v>
      </c>
      <c r="H68" s="74">
        <v>16279</v>
      </c>
      <c r="I68" s="74">
        <v>21297</v>
      </c>
      <c r="J68" s="74">
        <v>16772</v>
      </c>
      <c r="K68" s="74">
        <v>17446</v>
      </c>
      <c r="L68" s="74">
        <v>16453</v>
      </c>
      <c r="M68" s="74">
        <v>21413</v>
      </c>
      <c r="N68" s="74">
        <v>20404</v>
      </c>
      <c r="O68" s="74">
        <v>14994</v>
      </c>
      <c r="P68" s="74">
        <v>14705</v>
      </c>
      <c r="Q68" s="74">
        <v>0</v>
      </c>
      <c r="R68" s="74">
        <v>17899</v>
      </c>
      <c r="S68" s="74">
        <v>23847</v>
      </c>
      <c r="T68" s="74">
        <v>15222</v>
      </c>
      <c r="U68" s="74">
        <v>4634</v>
      </c>
      <c r="V68" s="74">
        <v>4253</v>
      </c>
      <c r="W68" s="74">
        <f>1418+1087+1873+1421+981</f>
        <v>6780</v>
      </c>
      <c r="X68" s="76">
        <f>541+383+869+498+299</f>
        <v>2590</v>
      </c>
      <c r="Y68" s="76">
        <f>590+692+831+591+297</f>
        <v>3001</v>
      </c>
      <c r="Z68" s="76">
        <f>443+177+1855</f>
        <v>2475</v>
      </c>
      <c r="AA68" s="77">
        <v>3137</v>
      </c>
      <c r="AB68" s="77">
        <f>751+741+672+664+1107</f>
        <v>3935</v>
      </c>
      <c r="AC68" s="77">
        <f>795+700+889+1233+1551</f>
        <v>5168</v>
      </c>
      <c r="AD68" s="81">
        <f>778+905+881+859+579</f>
        <v>4002</v>
      </c>
      <c r="AE68" s="84">
        <f>1195+1131+1268+993+531</f>
        <v>5118</v>
      </c>
      <c r="AF68" s="86">
        <f>660+875+798+545+1030</f>
        <v>3908</v>
      </c>
      <c r="AG68" s="88">
        <f>685+882+874+596+699</f>
        <v>3736</v>
      </c>
      <c r="AJ68" s="68"/>
      <c r="AK68" s="68"/>
      <c r="AL68" s="8"/>
    </row>
    <row r="69" spans="1:38" s="74" customFormat="1" x14ac:dyDescent="0.15">
      <c r="A69" s="7" t="s">
        <v>290</v>
      </c>
      <c r="B69" s="74">
        <f t="shared" ref="B69:AC69" si="26">B68+B66</f>
        <v>19898</v>
      </c>
      <c r="C69" s="74">
        <f t="shared" si="26"/>
        <v>23194</v>
      </c>
      <c r="D69" s="74">
        <f t="shared" si="26"/>
        <v>4418</v>
      </c>
      <c r="E69" s="74">
        <f t="shared" si="26"/>
        <v>10258</v>
      </c>
      <c r="F69" s="74">
        <f t="shared" si="26"/>
        <v>35289</v>
      </c>
      <c r="G69" s="74">
        <f t="shared" si="26"/>
        <v>24503</v>
      </c>
      <c r="H69" s="74">
        <f t="shared" si="26"/>
        <v>23455</v>
      </c>
      <c r="I69" s="74">
        <f t="shared" si="26"/>
        <v>28403</v>
      </c>
      <c r="J69" s="74">
        <f t="shared" si="26"/>
        <v>24122</v>
      </c>
      <c r="K69" s="74">
        <f t="shared" si="26"/>
        <v>24605</v>
      </c>
      <c r="L69" s="74">
        <f t="shared" si="26"/>
        <v>22787</v>
      </c>
      <c r="M69" s="74">
        <f t="shared" si="26"/>
        <v>27156</v>
      </c>
      <c r="N69" s="74">
        <f t="shared" si="26"/>
        <v>26633</v>
      </c>
      <c r="O69" s="74">
        <f t="shared" si="26"/>
        <v>21040</v>
      </c>
      <c r="P69" s="74">
        <f t="shared" si="26"/>
        <v>20428</v>
      </c>
      <c r="Q69" s="74">
        <f t="shared" si="26"/>
        <v>6196</v>
      </c>
      <c r="R69" s="74">
        <f t="shared" si="26"/>
        <v>23380</v>
      </c>
      <c r="S69" s="74">
        <f t="shared" si="26"/>
        <v>26407</v>
      </c>
      <c r="T69" s="74">
        <f t="shared" si="26"/>
        <v>21962</v>
      </c>
      <c r="U69" s="74">
        <f t="shared" si="26"/>
        <v>11237</v>
      </c>
      <c r="V69" s="74">
        <f t="shared" si="26"/>
        <v>10644</v>
      </c>
      <c r="W69" s="74">
        <f t="shared" si="26"/>
        <v>13560</v>
      </c>
      <c r="X69" s="76">
        <f t="shared" si="26"/>
        <v>9419</v>
      </c>
      <c r="Y69" s="76">
        <f t="shared" si="26"/>
        <v>9821</v>
      </c>
      <c r="Z69" s="76">
        <f t="shared" si="26"/>
        <v>6262</v>
      </c>
      <c r="AA69" s="77">
        <f t="shared" si="26"/>
        <v>10314</v>
      </c>
      <c r="AB69" s="77">
        <f t="shared" si="26"/>
        <v>10106</v>
      </c>
      <c r="AC69" s="77">
        <f t="shared" si="26"/>
        <v>11650</v>
      </c>
      <c r="AD69" s="81">
        <f t="shared" ref="AD69:AE69" si="27">AD68+AD66</f>
        <v>10367</v>
      </c>
      <c r="AE69" s="84">
        <f t="shared" si="27"/>
        <v>11648</v>
      </c>
      <c r="AF69" s="86">
        <f t="shared" ref="AF69:AG69" si="28">AF68+AF66</f>
        <v>10857</v>
      </c>
      <c r="AG69" s="88">
        <f t="shared" si="28"/>
        <v>10283</v>
      </c>
      <c r="AJ69" s="9"/>
      <c r="AK69" s="9"/>
      <c r="AL69" s="8"/>
    </row>
    <row r="70" spans="1:38" ht="18" x14ac:dyDescent="0.2">
      <c r="F70" s="1"/>
      <c r="S70" s="57"/>
      <c r="T70" s="57"/>
      <c r="U70" s="66"/>
      <c r="V70" s="69"/>
      <c r="W70" s="74"/>
      <c r="X70" s="76"/>
      <c r="Y70" s="76"/>
      <c r="Z70" s="76"/>
      <c r="AA70" s="77"/>
      <c r="AB70" s="77"/>
      <c r="AC70" s="77"/>
      <c r="AD70" s="81"/>
      <c r="AE70" s="84"/>
      <c r="AF70" s="86"/>
      <c r="AG70" s="88"/>
      <c r="AI70"/>
      <c r="AJ70" s="68"/>
      <c r="AK70" s="68"/>
      <c r="AL70" s="8"/>
    </row>
    <row r="71" spans="1:38" ht="30" x14ac:dyDescent="0.2">
      <c r="A71" s="7" t="s">
        <v>10</v>
      </c>
      <c r="B71" s="1">
        <v>1.87</v>
      </c>
      <c r="C71" s="1">
        <v>1.84</v>
      </c>
      <c r="D71" s="1">
        <v>1.82</v>
      </c>
      <c r="E71" s="1">
        <v>1.79</v>
      </c>
      <c r="F71" s="4">
        <v>1.73</v>
      </c>
      <c r="G71" s="1">
        <v>1.69</v>
      </c>
      <c r="H71" s="1">
        <v>1.68</v>
      </c>
      <c r="I71" s="1">
        <v>1.46</v>
      </c>
      <c r="J71" s="1">
        <v>0.89600000000000002</v>
      </c>
      <c r="K71" s="1">
        <v>0.84313000000000005</v>
      </c>
      <c r="L71" s="1">
        <v>1.2041299999999999</v>
      </c>
      <c r="M71" s="1">
        <v>1.4501299999999999</v>
      </c>
      <c r="N71" s="1">
        <v>1.3873800000000001</v>
      </c>
      <c r="O71" s="1">
        <v>1.3873800000000001</v>
      </c>
      <c r="P71" s="1">
        <v>1.109</v>
      </c>
      <c r="Q71" s="1">
        <v>1.109</v>
      </c>
      <c r="R71" s="1">
        <v>0.54088000000000003</v>
      </c>
      <c r="S71" s="57">
        <v>0.4335</v>
      </c>
      <c r="T71" s="66">
        <v>0.3805</v>
      </c>
      <c r="U71" s="66">
        <v>0.35949999999999999</v>
      </c>
      <c r="V71" s="69">
        <v>0.34399999999999997</v>
      </c>
      <c r="W71" s="74">
        <v>0.31759999999999999</v>
      </c>
      <c r="X71" s="76">
        <v>0.32090000000000002</v>
      </c>
      <c r="Y71" s="76">
        <v>0.32090000000000002</v>
      </c>
      <c r="Z71" s="76">
        <v>0.2969</v>
      </c>
      <c r="AA71" s="77">
        <v>0.30380000000000001</v>
      </c>
      <c r="AB71" s="77">
        <v>0.26629999999999998</v>
      </c>
      <c r="AC71" s="77">
        <v>0.27179999999999999</v>
      </c>
      <c r="AD71" s="81">
        <v>0.2445</v>
      </c>
      <c r="AE71" s="84">
        <v>0.251</v>
      </c>
      <c r="AF71" s="86">
        <v>0.2525</v>
      </c>
      <c r="AG71" s="88">
        <v>0.27039999999999997</v>
      </c>
      <c r="AI71" s="77"/>
      <c r="AJ71" s="68"/>
      <c r="AK71" s="68"/>
      <c r="AL71" s="8"/>
    </row>
    <row r="72" spans="1:38" ht="23" x14ac:dyDescent="0.35">
      <c r="F72" s="4"/>
      <c r="S72" s="57"/>
      <c r="T72" s="66"/>
      <c r="U72" s="66"/>
      <c r="V72" s="69"/>
      <c r="W72" s="74"/>
      <c r="X72" s="76"/>
      <c r="Y72" s="76"/>
      <c r="Z72" s="76"/>
      <c r="AA72" s="77"/>
      <c r="AB72" s="77"/>
      <c r="AC72" s="77"/>
      <c r="AD72" s="81"/>
      <c r="AE72" s="84"/>
      <c r="AF72" s="86"/>
      <c r="AG72" s="88"/>
      <c r="AI72" s="79"/>
      <c r="AJ72"/>
      <c r="AK72" s="88"/>
      <c r="AL72" s="8"/>
    </row>
    <row r="73" spans="1:38" x14ac:dyDescent="0.15">
      <c r="A73" s="7" t="s">
        <v>11</v>
      </c>
      <c r="B73" s="1">
        <v>1.55</v>
      </c>
      <c r="C73" s="1">
        <v>1.55</v>
      </c>
      <c r="D73" s="1">
        <v>1.55</v>
      </c>
      <c r="E73" s="1">
        <v>1.55</v>
      </c>
      <c r="F73" s="1">
        <v>1.6</v>
      </c>
      <c r="G73" s="1">
        <v>1.6</v>
      </c>
      <c r="H73" s="1">
        <v>1.6</v>
      </c>
      <c r="I73" s="1">
        <v>1.6</v>
      </c>
      <c r="J73" s="1">
        <v>1.1000000000000001</v>
      </c>
      <c r="K73" s="1">
        <v>1.1000000000000001</v>
      </c>
      <c r="L73" s="1">
        <v>0.1</v>
      </c>
      <c r="M73" s="1">
        <v>0.1</v>
      </c>
      <c r="N73" s="1">
        <v>0.1</v>
      </c>
      <c r="O73" s="1">
        <v>0.1</v>
      </c>
      <c r="P73" s="1">
        <v>0.1</v>
      </c>
      <c r="Q73" s="1">
        <v>0.1</v>
      </c>
      <c r="R73" s="1">
        <v>0.1</v>
      </c>
      <c r="S73" s="57">
        <v>0.1</v>
      </c>
      <c r="T73" s="66">
        <v>0.1</v>
      </c>
      <c r="U73" s="66">
        <v>0.1</v>
      </c>
      <c r="V73" s="69">
        <v>0.1</v>
      </c>
      <c r="W73" s="74">
        <v>0.1</v>
      </c>
      <c r="X73" s="76">
        <v>0.1</v>
      </c>
      <c r="Y73" s="76">
        <v>0.1</v>
      </c>
      <c r="Z73" s="76">
        <v>0.1</v>
      </c>
      <c r="AA73" s="77">
        <v>0.1</v>
      </c>
      <c r="AB73" s="77">
        <v>0.1</v>
      </c>
      <c r="AC73" s="77">
        <v>0.1</v>
      </c>
      <c r="AD73" s="81">
        <v>0.1</v>
      </c>
      <c r="AE73" s="84">
        <v>0.1</v>
      </c>
      <c r="AF73" s="86">
        <v>0.1</v>
      </c>
      <c r="AG73" s="88">
        <v>0.1</v>
      </c>
      <c r="AI73"/>
      <c r="AJ73" s="88"/>
      <c r="AK73" s="88"/>
      <c r="AL73" s="8"/>
    </row>
    <row r="74" spans="1:38" ht="23" x14ac:dyDescent="0.35">
      <c r="F74" s="4"/>
      <c r="S74" s="57"/>
      <c r="T74" s="66"/>
      <c r="U74" s="66"/>
      <c r="V74" s="69"/>
      <c r="W74" s="74"/>
      <c r="X74" s="76"/>
      <c r="Y74" s="76"/>
      <c r="Z74" s="76"/>
      <c r="AA74" s="77"/>
      <c r="AB74" s="77"/>
      <c r="AC74" s="77"/>
      <c r="AD74" s="81"/>
      <c r="AE74" s="84"/>
      <c r="AF74" s="86"/>
      <c r="AG74" s="88"/>
      <c r="AI74" s="77"/>
      <c r="AJ74" s="79"/>
      <c r="AK74" s="79"/>
      <c r="AL74" s="8"/>
    </row>
    <row r="75" spans="1:38" x14ac:dyDescent="0.15">
      <c r="A75" s="7" t="s">
        <v>9</v>
      </c>
      <c r="B75" s="1">
        <f>B71-B73</f>
        <v>0.32000000000000006</v>
      </c>
      <c r="C75" s="1">
        <f t="shared" ref="C75:K75" si="29">C71-C73</f>
        <v>0.29000000000000004</v>
      </c>
      <c r="D75" s="1">
        <f t="shared" si="29"/>
        <v>0.27</v>
      </c>
      <c r="E75" s="1">
        <f t="shared" si="29"/>
        <v>0.24</v>
      </c>
      <c r="F75" s="1">
        <f t="shared" si="29"/>
        <v>0.12999999999999989</v>
      </c>
      <c r="G75" s="1">
        <f t="shared" si="29"/>
        <v>8.9999999999999858E-2</v>
      </c>
      <c r="H75" s="1">
        <f t="shared" si="29"/>
        <v>7.9999999999999849E-2</v>
      </c>
      <c r="I75" s="1">
        <f t="shared" si="29"/>
        <v>-0.14000000000000012</v>
      </c>
      <c r="J75" s="1">
        <f t="shared" si="29"/>
        <v>-0.20400000000000007</v>
      </c>
      <c r="K75" s="1">
        <f t="shared" si="29"/>
        <v>-0.25687000000000004</v>
      </c>
      <c r="L75" s="1">
        <f t="shared" ref="L75:M75" si="30">L71-L73</f>
        <v>1.1041299999999998</v>
      </c>
      <c r="M75" s="1">
        <f t="shared" si="30"/>
        <v>1.3501299999999998</v>
      </c>
      <c r="N75" s="1">
        <f t="shared" ref="N75:O75" si="31">N71-N73</f>
        <v>1.28738</v>
      </c>
      <c r="O75" s="1">
        <f t="shared" si="31"/>
        <v>1.28738</v>
      </c>
      <c r="P75" s="1">
        <f t="shared" ref="P75:Q75" si="32">P71-P73</f>
        <v>1.0089999999999999</v>
      </c>
      <c r="Q75" s="1">
        <f t="shared" si="32"/>
        <v>1.0089999999999999</v>
      </c>
      <c r="R75" s="1">
        <f t="shared" ref="R75:S75" si="33">R71-R73</f>
        <v>0.44088000000000005</v>
      </c>
      <c r="S75" s="57">
        <f t="shared" si="33"/>
        <v>0.33350000000000002</v>
      </c>
      <c r="T75" s="66">
        <f t="shared" ref="T75:U75" si="34">T71-T73</f>
        <v>0.28049999999999997</v>
      </c>
      <c r="U75" s="66">
        <f t="shared" si="34"/>
        <v>0.25949999999999995</v>
      </c>
      <c r="V75" s="69">
        <f t="shared" ref="V75:W75" si="35">V71-V73</f>
        <v>0.24399999999999997</v>
      </c>
      <c r="W75" s="74">
        <f t="shared" si="35"/>
        <v>0.21759999999999999</v>
      </c>
      <c r="X75" s="76">
        <f t="shared" ref="X75:Y75" si="36">X71-X73</f>
        <v>0.22090000000000001</v>
      </c>
      <c r="Y75" s="76">
        <f t="shared" si="36"/>
        <v>0.22090000000000001</v>
      </c>
      <c r="Z75" s="76">
        <f t="shared" ref="Z75:AA75" si="37">Z71-Z73</f>
        <v>0.19689999999999999</v>
      </c>
      <c r="AA75" s="77">
        <f t="shared" si="37"/>
        <v>0.20380000000000001</v>
      </c>
      <c r="AB75" s="77">
        <f t="shared" ref="AB75:AC75" si="38">AB71-AB73</f>
        <v>0.16629999999999998</v>
      </c>
      <c r="AC75" s="77">
        <f t="shared" si="38"/>
        <v>0.17179999999999998</v>
      </c>
      <c r="AD75" s="81">
        <f t="shared" ref="AD75:AE75" si="39">AD71-AD73</f>
        <v>0.14449999999999999</v>
      </c>
      <c r="AE75" s="84">
        <f t="shared" si="39"/>
        <v>0.151</v>
      </c>
      <c r="AF75" s="86">
        <f t="shared" ref="AF75:AG75" si="40">AF71-AF73</f>
        <v>0.1525</v>
      </c>
      <c r="AG75" s="88">
        <f t="shared" si="40"/>
        <v>0.17039999999999997</v>
      </c>
      <c r="AI75" s="10"/>
      <c r="AJ75"/>
      <c r="AK75" s="88"/>
      <c r="AL75" s="8"/>
    </row>
    <row r="76" spans="1:38" x14ac:dyDescent="0.15">
      <c r="F76" s="4"/>
      <c r="S76" s="57"/>
      <c r="T76" s="66"/>
      <c r="U76" s="66"/>
      <c r="V76" s="69"/>
      <c r="W76" s="74"/>
      <c r="X76" s="76"/>
      <c r="Y76" s="76"/>
      <c r="Z76" s="76"/>
      <c r="AA76" s="77"/>
      <c r="AB76" s="77"/>
      <c r="AC76" s="77"/>
      <c r="AD76" s="81"/>
      <c r="AE76" s="84"/>
      <c r="AF76" s="86"/>
      <c r="AG76" s="88"/>
      <c r="AI76" s="66"/>
      <c r="AJ76" s="88"/>
      <c r="AK76" s="88"/>
      <c r="AL76" s="8"/>
    </row>
    <row r="77" spans="1:38" ht="30" x14ac:dyDescent="0.15">
      <c r="A77" s="7" t="s">
        <v>12</v>
      </c>
      <c r="B77" s="1">
        <v>1.32</v>
      </c>
      <c r="C77" s="1">
        <v>1.3</v>
      </c>
      <c r="D77" s="1">
        <v>1.27</v>
      </c>
      <c r="E77" s="1">
        <v>1.28</v>
      </c>
      <c r="F77" s="1">
        <v>1.33</v>
      </c>
      <c r="G77" s="1">
        <v>1.31</v>
      </c>
      <c r="H77" s="1">
        <v>1.35</v>
      </c>
      <c r="I77" s="1">
        <v>1.65</v>
      </c>
      <c r="J77" s="1">
        <v>1.87</v>
      </c>
      <c r="K77" s="1">
        <v>2.77</v>
      </c>
      <c r="L77" s="1">
        <v>4.6500000000000004</v>
      </c>
      <c r="M77" s="1">
        <v>4.1399999999999997</v>
      </c>
      <c r="N77" s="1">
        <v>4.01</v>
      </c>
      <c r="O77" s="1">
        <v>3.43</v>
      </c>
      <c r="P77" s="1">
        <v>3.07</v>
      </c>
      <c r="Q77" s="1">
        <v>3.07</v>
      </c>
      <c r="R77" s="1">
        <v>2.83</v>
      </c>
      <c r="S77" s="57">
        <v>2.87</v>
      </c>
      <c r="T77" s="66">
        <v>2.87</v>
      </c>
      <c r="U77" s="66">
        <v>2.59</v>
      </c>
      <c r="V77" s="69">
        <v>2.4500000000000002</v>
      </c>
      <c r="W77" s="74">
        <v>2.21</v>
      </c>
      <c r="X77" s="76">
        <v>2.1800000000000002</v>
      </c>
      <c r="Y77" s="76">
        <v>2.1800000000000002</v>
      </c>
      <c r="Z77" s="76">
        <v>2.02</v>
      </c>
      <c r="AA77" s="77">
        <v>2.0099999999999998</v>
      </c>
      <c r="AB77" s="77">
        <v>1.98</v>
      </c>
      <c r="AC77" s="77">
        <v>1.93</v>
      </c>
      <c r="AD77" s="81">
        <v>1.82</v>
      </c>
      <c r="AE77" s="84">
        <v>1.84</v>
      </c>
      <c r="AF77" s="86">
        <v>1.77</v>
      </c>
      <c r="AG77" s="88">
        <v>1.74</v>
      </c>
      <c r="AI77" s="66"/>
      <c r="AJ77" s="10"/>
      <c r="AK77" s="10"/>
      <c r="AL77" s="8"/>
    </row>
    <row r="78" spans="1:38" x14ac:dyDescent="0.15">
      <c r="F78" s="4"/>
      <c r="S78" s="57"/>
      <c r="T78" s="57"/>
      <c r="U78" s="66"/>
      <c r="V78" s="69"/>
      <c r="W78" s="74"/>
      <c r="X78" s="76"/>
      <c r="Y78" s="76"/>
      <c r="Z78" s="76"/>
      <c r="AA78" s="77"/>
      <c r="AB78" s="77"/>
      <c r="AC78" s="77"/>
      <c r="AD78" s="81"/>
      <c r="AE78" s="84"/>
      <c r="AF78" s="86"/>
      <c r="AG78" s="88"/>
      <c r="AK78"/>
    </row>
    <row r="79" spans="1:38" x14ac:dyDescent="0.15">
      <c r="A79" s="7" t="s">
        <v>13</v>
      </c>
      <c r="B79" s="1">
        <v>3</v>
      </c>
      <c r="C79" s="1">
        <v>3</v>
      </c>
      <c r="D79" s="1">
        <v>3</v>
      </c>
      <c r="E79" s="1">
        <v>3</v>
      </c>
      <c r="F79" s="4">
        <v>2</v>
      </c>
      <c r="G79" s="1">
        <v>2</v>
      </c>
      <c r="H79" s="1">
        <v>3</v>
      </c>
      <c r="I79" s="1">
        <v>3</v>
      </c>
      <c r="J79" s="1">
        <v>3</v>
      </c>
      <c r="K79" s="1">
        <v>3</v>
      </c>
      <c r="L79" s="1">
        <v>3</v>
      </c>
      <c r="M79" s="1">
        <v>4</v>
      </c>
      <c r="N79" s="1">
        <v>4</v>
      </c>
      <c r="O79" s="1">
        <v>5</v>
      </c>
      <c r="P79" s="1">
        <v>4</v>
      </c>
      <c r="Q79" s="1">
        <v>3</v>
      </c>
      <c r="R79" s="1">
        <v>2</v>
      </c>
      <c r="S79" s="57">
        <v>3</v>
      </c>
      <c r="T79" s="57">
        <v>4</v>
      </c>
      <c r="U79" s="66">
        <v>1</v>
      </c>
      <c r="V79" s="69">
        <v>4</v>
      </c>
      <c r="W79" s="74">
        <v>4</v>
      </c>
      <c r="X79" s="76">
        <v>5</v>
      </c>
      <c r="Y79" s="76">
        <v>5</v>
      </c>
      <c r="Z79" s="76">
        <v>5</v>
      </c>
      <c r="AA79" s="77">
        <v>6</v>
      </c>
      <c r="AB79" s="77">
        <v>7</v>
      </c>
      <c r="AC79" s="77">
        <v>6</v>
      </c>
      <c r="AD79" s="81">
        <v>3</v>
      </c>
      <c r="AE79" s="84">
        <v>3</v>
      </c>
      <c r="AF79" s="86">
        <v>4</v>
      </c>
      <c r="AG79" s="88">
        <v>4</v>
      </c>
      <c r="AK79" s="84"/>
    </row>
    <row r="80" spans="1:38" x14ac:dyDescent="0.15">
      <c r="F80" s="1"/>
      <c r="S80" s="57"/>
      <c r="T80" s="57"/>
      <c r="U80" s="66"/>
      <c r="V80" s="69"/>
      <c r="W80" s="74"/>
      <c r="X80" s="76"/>
      <c r="Y80" s="76"/>
      <c r="Z80" s="76"/>
      <c r="AA80" s="77"/>
      <c r="AB80" s="77"/>
      <c r="AC80" s="77"/>
      <c r="AD80" s="81"/>
      <c r="AE80" s="84"/>
      <c r="AF80" s="86"/>
      <c r="AG80" s="88"/>
      <c r="AK80" s="10"/>
    </row>
    <row r="81" spans="1:33" x14ac:dyDescent="0.15">
      <c r="A81" s="7" t="s">
        <v>6</v>
      </c>
      <c r="B81" s="1">
        <v>10262</v>
      </c>
      <c r="C81" s="1">
        <v>10457</v>
      </c>
      <c r="D81" s="1">
        <v>10538</v>
      </c>
      <c r="E81" s="1">
        <v>10370</v>
      </c>
      <c r="F81" s="1">
        <v>10359</v>
      </c>
      <c r="G81" s="1">
        <v>10510</v>
      </c>
      <c r="H81" s="1">
        <v>10975</v>
      </c>
      <c r="I81" s="1">
        <v>11023</v>
      </c>
      <c r="J81" s="1">
        <v>11271</v>
      </c>
      <c r="K81" s="1">
        <v>11152</v>
      </c>
      <c r="L81" s="1">
        <v>10944</v>
      </c>
      <c r="M81" s="1">
        <v>10770</v>
      </c>
      <c r="N81" s="1">
        <v>10629</v>
      </c>
      <c r="O81" s="1">
        <v>10648</v>
      </c>
      <c r="P81" s="1">
        <v>10603</v>
      </c>
      <c r="Q81" s="1">
        <v>10673</v>
      </c>
      <c r="R81" s="1">
        <v>10504</v>
      </c>
      <c r="S81" s="57">
        <v>10625</v>
      </c>
      <c r="T81" s="57">
        <v>10798</v>
      </c>
      <c r="U81" s="66">
        <v>10835</v>
      </c>
      <c r="V81" s="69">
        <v>10805</v>
      </c>
      <c r="W81" s="74">
        <v>10978</v>
      </c>
      <c r="X81" s="76">
        <v>11085</v>
      </c>
      <c r="Y81" s="76">
        <v>11304</v>
      </c>
      <c r="Z81" s="76">
        <v>11468</v>
      </c>
      <c r="AA81" s="77">
        <v>11762</v>
      </c>
      <c r="AB81" s="77">
        <v>13265</v>
      </c>
      <c r="AC81" s="77">
        <v>13888</v>
      </c>
      <c r="AD81" s="81">
        <v>14063</v>
      </c>
      <c r="AE81" s="84">
        <v>14169</v>
      </c>
      <c r="AF81" s="86">
        <v>14720</v>
      </c>
      <c r="AG81" s="88">
        <v>14626</v>
      </c>
    </row>
    <row r="82" spans="1:33" x14ac:dyDescent="0.15">
      <c r="F82" s="1"/>
      <c r="S82" s="57"/>
      <c r="T82" s="57"/>
      <c r="U82" s="66"/>
      <c r="V82" s="69"/>
      <c r="W82" s="74"/>
      <c r="X82" s="76"/>
      <c r="Y82" s="76"/>
      <c r="Z82" s="76"/>
      <c r="AA82" s="77"/>
      <c r="AB82" s="77"/>
      <c r="AC82" s="77"/>
      <c r="AD82" s="81"/>
      <c r="AE82" s="84"/>
      <c r="AF82" s="86"/>
      <c r="AG82" s="88"/>
    </row>
    <row r="83" spans="1:33" x14ac:dyDescent="0.15">
      <c r="A83" s="7" t="s">
        <v>7</v>
      </c>
      <c r="B83" s="1">
        <v>235.43</v>
      </c>
      <c r="C83" s="1">
        <v>308.08999999999997</v>
      </c>
      <c r="D83" s="1">
        <v>289.35000000000002</v>
      </c>
      <c r="E83" s="1">
        <v>-60.2</v>
      </c>
      <c r="F83" s="1">
        <v>433.94</v>
      </c>
      <c r="G83" s="1">
        <v>167.1</v>
      </c>
      <c r="H83" s="1">
        <v>209.13</v>
      </c>
      <c r="I83" s="1">
        <v>-151.35</v>
      </c>
      <c r="J83" s="1">
        <v>166.67</v>
      </c>
      <c r="K83" s="1">
        <v>-311.44</v>
      </c>
      <c r="L83" s="1">
        <v>-284.14</v>
      </c>
      <c r="M83" s="1">
        <v>61.81</v>
      </c>
      <c r="N83" s="1">
        <v>150.19</v>
      </c>
      <c r="O83" s="1">
        <v>128.34</v>
      </c>
      <c r="P83" s="1">
        <v>376.58</v>
      </c>
      <c r="Q83" s="1">
        <v>110.67</v>
      </c>
      <c r="R83" s="1">
        <f>53.92+26.04</f>
        <v>79.960000000000008</v>
      </c>
      <c r="S83" s="57">
        <v>84.71</v>
      </c>
      <c r="T83" s="57">
        <f>25.51+1.29+13.95+44.01+33.93</f>
        <v>118.69</v>
      </c>
      <c r="U83" s="66">
        <f>-22.65+32.03+30.43+49.18+46.21</f>
        <v>135.20000000000002</v>
      </c>
      <c r="V83" s="69">
        <f>74.22+41.92+26.52+52.78+35.34</f>
        <v>230.78</v>
      </c>
      <c r="W83" s="74">
        <f>56.95+41+57.03+32.77+119.49</f>
        <v>307.24</v>
      </c>
      <c r="X83" s="76">
        <f>19.62+18.41+21.86+18.27+60.06</f>
        <v>138.22</v>
      </c>
      <c r="Y83" s="76">
        <f>210.03+59.03-19.89+55.27+-27.35</f>
        <v>277.08999999999997</v>
      </c>
      <c r="Z83" s="76">
        <f>38+32.95+37.9</f>
        <v>108.85</v>
      </c>
      <c r="AA83" s="77">
        <f>195.9+2.76+155</f>
        <v>353.65999999999997</v>
      </c>
      <c r="AB83" s="77">
        <f>-19.88+105.28+164.36+118.88</f>
        <v>368.64</v>
      </c>
      <c r="AC83" s="77">
        <f>33.01+-54.37+4.55+-150.17+96.57</f>
        <v>-70.41</v>
      </c>
      <c r="AD83" s="81">
        <f>-144.18+63.92+-8.09+-34.2</f>
        <v>-122.55000000000001</v>
      </c>
      <c r="AE83" s="84">
        <f>3.55+-42.45+101.32+4.68-2.01</f>
        <v>65.089999999999989</v>
      </c>
      <c r="AF83" s="86">
        <f>3.7-0.98+3.32+43.5+23.45</f>
        <v>72.989999999999995</v>
      </c>
      <c r="AG83" s="88">
        <f>88.39+22.77+63.2+5.65+0.11</f>
        <v>180.12000000000003</v>
      </c>
    </row>
    <row r="84" spans="1:33" s="69" customFormat="1" x14ac:dyDescent="0.15"/>
    <row r="85" spans="1:33" x14ac:dyDescent="0.15">
      <c r="A85" s="92" t="s">
        <v>253</v>
      </c>
      <c r="B85" s="92"/>
      <c r="C85" s="92"/>
      <c r="D85" s="92"/>
      <c r="E85" s="92"/>
      <c r="F85" s="4"/>
      <c r="T85" s="57"/>
    </row>
    <row r="86" spans="1:33" s="69" customFormat="1" x14ac:dyDescent="0.15">
      <c r="B86" s="71" t="s">
        <v>254</v>
      </c>
      <c r="C86" s="71" t="s">
        <v>255</v>
      </c>
      <c r="D86" s="71" t="s">
        <v>256</v>
      </c>
      <c r="E86" s="71" t="s">
        <v>257</v>
      </c>
      <c r="F86" s="71" t="s">
        <v>258</v>
      </c>
      <c r="G86" s="71" t="s">
        <v>259</v>
      </c>
      <c r="H86" s="71" t="s">
        <v>260</v>
      </c>
      <c r="I86" s="71" t="s">
        <v>261</v>
      </c>
      <c r="J86" s="71" t="s">
        <v>262</v>
      </c>
      <c r="K86" s="71" t="s">
        <v>263</v>
      </c>
      <c r="L86" s="71" t="s">
        <v>264</v>
      </c>
      <c r="M86" s="71" t="s">
        <v>265</v>
      </c>
      <c r="N86" s="71" t="s">
        <v>252</v>
      </c>
      <c r="O86" s="71" t="s">
        <v>266</v>
      </c>
      <c r="P86" s="71" t="s">
        <v>267</v>
      </c>
      <c r="Q86" s="71" t="s">
        <v>268</v>
      </c>
      <c r="R86" s="71" t="s">
        <v>269</v>
      </c>
      <c r="S86" s="71" t="s">
        <v>270</v>
      </c>
      <c r="T86" s="71" t="s">
        <v>271</v>
      </c>
      <c r="U86" s="71" t="s">
        <v>272</v>
      </c>
      <c r="V86" s="71" t="s">
        <v>273</v>
      </c>
      <c r="W86" s="71" t="s">
        <v>274</v>
      </c>
      <c r="X86" s="71" t="s">
        <v>275</v>
      </c>
      <c r="Y86" s="71" t="s">
        <v>276</v>
      </c>
    </row>
    <row r="87" spans="1:33" s="22" customFormat="1" ht="45" x14ac:dyDescent="0.15">
      <c r="A87" s="72" t="s">
        <v>283</v>
      </c>
      <c r="B87" s="22">
        <v>6.9000000000000006E-2</v>
      </c>
      <c r="C87" s="22">
        <v>7.0999999999999994E-2</v>
      </c>
      <c r="D87" s="22">
        <v>7.6999999999999999E-2</v>
      </c>
      <c r="E87" s="22">
        <v>0.08</v>
      </c>
      <c r="F87" s="22">
        <v>8.3000000000000004E-2</v>
      </c>
      <c r="G87" s="22">
        <v>8.2000000000000003E-2</v>
      </c>
      <c r="H87" s="22">
        <v>7.2999999999999995E-2</v>
      </c>
      <c r="I87" s="22">
        <v>0.08</v>
      </c>
      <c r="J87" s="22">
        <v>7.6999999999999999E-2</v>
      </c>
      <c r="K87" s="22">
        <v>7.4999999999999997E-2</v>
      </c>
      <c r="L87" s="22">
        <v>7.4999999999999997E-2</v>
      </c>
      <c r="M87" s="22">
        <v>8.1000000000000003E-2</v>
      </c>
      <c r="N87" s="22">
        <v>8.1000000000000003E-2</v>
      </c>
      <c r="O87" s="22">
        <v>8.2000000000000003E-2</v>
      </c>
      <c r="P87" s="22">
        <v>9.5000000000000001E-2</v>
      </c>
      <c r="Q87" s="22">
        <v>0.104</v>
      </c>
      <c r="R87" s="22">
        <v>0.105</v>
      </c>
      <c r="S87" s="22">
        <v>9.8000000000000004E-2</v>
      </c>
    </row>
    <row r="88" spans="1:33" s="69" customFormat="1" x14ac:dyDescent="0.15">
      <c r="F88" s="4"/>
    </row>
    <row r="89" spans="1:33" s="22" customFormat="1" ht="30" x14ac:dyDescent="0.15">
      <c r="A89" s="72" t="s">
        <v>279</v>
      </c>
      <c r="B89" s="22">
        <v>7.5999999999999998E-2</v>
      </c>
      <c r="C89" s="22">
        <v>7.5999999999999998E-2</v>
      </c>
      <c r="D89" s="22">
        <v>7.6999999999999999E-2</v>
      </c>
      <c r="E89" s="22">
        <v>8.3000000000000004E-2</v>
      </c>
      <c r="F89" s="22">
        <v>8.4000000000000005E-2</v>
      </c>
      <c r="G89" s="22">
        <v>8.3000000000000004E-2</v>
      </c>
      <c r="H89" s="22">
        <v>7.6999999999999999E-2</v>
      </c>
      <c r="I89" s="22">
        <v>8.2000000000000003E-2</v>
      </c>
      <c r="J89" s="22">
        <v>7.6999999999999999E-2</v>
      </c>
      <c r="K89" s="22">
        <v>7.5999999999999998E-2</v>
      </c>
      <c r="L89" s="22">
        <v>7.0999999999999994E-2</v>
      </c>
      <c r="M89" s="22">
        <v>8.2000000000000003E-2</v>
      </c>
      <c r="N89" s="22">
        <v>8.6999999999999994E-2</v>
      </c>
      <c r="O89" s="22">
        <v>8.6999999999999994E-2</v>
      </c>
      <c r="P89" s="22">
        <v>0.104</v>
      </c>
      <c r="Q89" s="22">
        <v>0.115</v>
      </c>
      <c r="R89" s="22">
        <v>0.11899999999999999</v>
      </c>
      <c r="S89" s="22">
        <v>0.104</v>
      </c>
    </row>
    <row r="90" spans="1:33" s="69" customFormat="1" x14ac:dyDescent="0.15">
      <c r="F90" s="4"/>
    </row>
    <row r="91" spans="1:33" s="22" customFormat="1" ht="45" x14ac:dyDescent="0.15">
      <c r="A91" s="72" t="s">
        <v>280</v>
      </c>
      <c r="B91" s="22">
        <v>5.5E-2</v>
      </c>
      <c r="C91" s="22">
        <v>5.2999999999999999E-2</v>
      </c>
      <c r="D91" s="22">
        <v>6.2E-2</v>
      </c>
      <c r="E91" s="22">
        <v>6.2E-2</v>
      </c>
      <c r="F91" s="22">
        <v>0.08</v>
      </c>
      <c r="G91" s="22">
        <v>8.4000000000000005E-2</v>
      </c>
      <c r="H91" s="22">
        <v>6.6000000000000003E-2</v>
      </c>
      <c r="I91" s="22">
        <v>8.4000000000000005E-2</v>
      </c>
      <c r="J91" s="22">
        <v>9.4E-2</v>
      </c>
      <c r="K91" s="22">
        <v>8.8999999999999996E-2</v>
      </c>
      <c r="L91" s="22">
        <v>9.2999999999999999E-2</v>
      </c>
      <c r="M91" s="22">
        <v>0.10199999999999999</v>
      </c>
      <c r="N91" s="22">
        <v>0.107</v>
      </c>
      <c r="O91" s="22">
        <v>0.108</v>
      </c>
      <c r="P91" s="22">
        <v>0.128</v>
      </c>
      <c r="Q91" s="22">
        <v>0.13900000000000001</v>
      </c>
      <c r="R91" s="22">
        <v>0.13100000000000001</v>
      </c>
      <c r="S91" s="22">
        <v>0.11799999999999999</v>
      </c>
    </row>
    <row r="92" spans="1:33" s="69" customFormat="1" x14ac:dyDescent="0.15">
      <c r="F92" s="4"/>
    </row>
    <row r="93" spans="1:33" s="69" customFormat="1" ht="30" x14ac:dyDescent="0.15">
      <c r="A93" s="7" t="s">
        <v>281</v>
      </c>
      <c r="B93" s="91">
        <v>2.1700000000000001E-2</v>
      </c>
      <c r="C93" s="91"/>
      <c r="D93" s="91"/>
      <c r="E93" s="91">
        <v>2.18E-2</v>
      </c>
      <c r="F93" s="91"/>
      <c r="G93" s="91"/>
      <c r="H93" s="91">
        <v>2.1899999999999999E-2</v>
      </c>
      <c r="I93" s="91"/>
      <c r="J93" s="91"/>
      <c r="K93" s="91">
        <v>2.1999999999999999E-2</v>
      </c>
      <c r="L93" s="91"/>
      <c r="M93" s="91"/>
      <c r="N93" s="91">
        <v>2.1000000000000001E-2</v>
      </c>
      <c r="O93" s="91"/>
      <c r="P93" s="91"/>
      <c r="Q93" s="90"/>
      <c r="R93" s="90"/>
      <c r="S93" s="90"/>
      <c r="T93" s="90"/>
      <c r="U93" s="90"/>
      <c r="V93" s="90"/>
      <c r="W93" s="90"/>
      <c r="X93" s="90"/>
      <c r="Y93" s="90"/>
    </row>
    <row r="94" spans="1:33" s="69" customFormat="1" x14ac:dyDescent="0.15">
      <c r="F94" s="4"/>
    </row>
    <row r="95" spans="1:33" s="69" customFormat="1" ht="30" x14ac:dyDescent="0.15">
      <c r="A95" s="7" t="s">
        <v>282</v>
      </c>
      <c r="B95" s="91">
        <v>2.12E-2</v>
      </c>
      <c r="C95" s="91"/>
      <c r="D95" s="91"/>
      <c r="E95" s="91">
        <v>2.1100000000000001E-2</v>
      </c>
      <c r="F95" s="91"/>
      <c r="G95" s="91"/>
      <c r="H95" s="91">
        <v>2.1100000000000001E-2</v>
      </c>
      <c r="I95" s="91"/>
      <c r="J95" s="91"/>
      <c r="K95" s="91">
        <v>2.12E-2</v>
      </c>
      <c r="L95" s="91"/>
      <c r="M95" s="91"/>
      <c r="N95" s="91">
        <v>2.0400000000000001E-2</v>
      </c>
      <c r="O95" s="91"/>
      <c r="P95" s="91"/>
      <c r="Q95" s="90"/>
      <c r="R95" s="90"/>
      <c r="S95" s="90"/>
      <c r="T95" s="90"/>
      <c r="U95" s="90"/>
      <c r="V95" s="90"/>
      <c r="W95" s="90"/>
      <c r="X95" s="90"/>
      <c r="Y95" s="90"/>
    </row>
    <row r="96" spans="1:33" s="69" customFormat="1" x14ac:dyDescent="0.15">
      <c r="F96" s="4"/>
    </row>
    <row r="97" spans="1:25" s="69" customFormat="1" ht="45" x14ac:dyDescent="0.15">
      <c r="A97" s="7" t="s">
        <v>284</v>
      </c>
      <c r="B97" s="91">
        <v>2.0799999999999999E-2</v>
      </c>
      <c r="C97" s="91"/>
      <c r="D97" s="91"/>
      <c r="E97" s="91">
        <v>2.0899999999999998E-2</v>
      </c>
      <c r="F97" s="91"/>
      <c r="G97" s="91"/>
      <c r="H97" s="91">
        <v>2.1299999999999999E-2</v>
      </c>
      <c r="I97" s="91"/>
      <c r="J97" s="91"/>
      <c r="K97" s="91">
        <v>2.12E-2</v>
      </c>
      <c r="L97" s="91"/>
      <c r="M97" s="91"/>
      <c r="N97" s="91">
        <v>2.0899999999999998E-2</v>
      </c>
      <c r="O97" s="91"/>
      <c r="P97" s="91"/>
      <c r="Q97" s="90"/>
      <c r="R97" s="90"/>
      <c r="S97" s="90"/>
      <c r="T97" s="90"/>
      <c r="U97" s="90"/>
      <c r="V97" s="90"/>
      <c r="W97" s="90"/>
      <c r="X97" s="90"/>
      <c r="Y97" s="90"/>
    </row>
    <row r="98" spans="1:25" s="69" customFormat="1" x14ac:dyDescent="0.15">
      <c r="F98" s="4"/>
    </row>
    <row r="99" spans="1:25" s="69" customFormat="1" ht="45" x14ac:dyDescent="0.15">
      <c r="A99" s="7" t="s">
        <v>285</v>
      </c>
      <c r="B99" s="91">
        <v>1.7999999999999999E-2</v>
      </c>
      <c r="C99" s="91"/>
      <c r="D99" s="91"/>
      <c r="E99" s="91">
        <v>1.8100000000000002E-2</v>
      </c>
      <c r="F99" s="91"/>
      <c r="G99" s="91"/>
      <c r="H99" s="91">
        <v>1.8599999999999998E-2</v>
      </c>
      <c r="I99" s="91"/>
      <c r="J99" s="91"/>
      <c r="K99" s="91">
        <v>1.8599999999999998E-2</v>
      </c>
      <c r="L99" s="91"/>
      <c r="M99" s="91"/>
      <c r="N99" s="91">
        <v>1.9099999999999999E-2</v>
      </c>
      <c r="O99" s="91"/>
      <c r="P99" s="91"/>
      <c r="Q99" s="90"/>
      <c r="R99" s="90"/>
      <c r="S99" s="90"/>
      <c r="T99" s="90"/>
      <c r="U99" s="90"/>
      <c r="V99" s="90"/>
      <c r="W99" s="90"/>
      <c r="X99" s="90"/>
      <c r="Y99" s="90"/>
    </row>
    <row r="100" spans="1:25" s="69" customFormat="1" x14ac:dyDescent="0.15">
      <c r="F100" s="4"/>
    </row>
    <row r="101" spans="1:25" s="69" customFormat="1" ht="45" x14ac:dyDescent="0.15">
      <c r="A101" s="7" t="s">
        <v>286</v>
      </c>
      <c r="B101" s="91">
        <v>1.32E-2</v>
      </c>
      <c r="C101" s="91"/>
      <c r="D101" s="91"/>
      <c r="E101" s="91">
        <v>1.26E-2</v>
      </c>
      <c r="F101" s="91"/>
      <c r="G101" s="91"/>
      <c r="H101" s="91">
        <v>1.32E-2</v>
      </c>
      <c r="I101" s="91"/>
      <c r="J101" s="91"/>
      <c r="K101" s="91">
        <v>1.38E-2</v>
      </c>
      <c r="L101" s="91"/>
      <c r="M101" s="91"/>
      <c r="N101" s="91">
        <v>1.3899999999999999E-2</v>
      </c>
      <c r="O101" s="91"/>
      <c r="P101" s="91"/>
      <c r="Q101" s="90"/>
      <c r="R101" s="90"/>
      <c r="S101" s="90"/>
      <c r="T101" s="90"/>
      <c r="U101" s="90"/>
      <c r="V101" s="90"/>
      <c r="W101" s="90"/>
      <c r="X101" s="90"/>
      <c r="Y101" s="90"/>
    </row>
    <row r="102" spans="1:25" s="69" customFormat="1" x14ac:dyDescent="0.15">
      <c r="F102" s="4"/>
    </row>
    <row r="103" spans="1:25" s="69" customFormat="1" ht="45" x14ac:dyDescent="0.15">
      <c r="A103" s="7" t="s">
        <v>287</v>
      </c>
      <c r="B103" s="91">
        <v>1.7100000000000001E-2</v>
      </c>
      <c r="C103" s="91"/>
      <c r="D103" s="91"/>
      <c r="E103" s="91">
        <v>1.67E-2</v>
      </c>
      <c r="F103" s="91"/>
      <c r="G103" s="91"/>
      <c r="H103" s="91">
        <v>1.6299999999999999E-2</v>
      </c>
      <c r="I103" s="91"/>
      <c r="J103" s="91"/>
      <c r="K103" s="91">
        <v>1.6400000000000001E-2</v>
      </c>
      <c r="L103" s="91"/>
      <c r="M103" s="91"/>
      <c r="N103" s="91">
        <v>1.6400000000000001E-2</v>
      </c>
      <c r="O103" s="91"/>
      <c r="P103" s="91"/>
      <c r="Q103" s="90"/>
      <c r="R103" s="90"/>
      <c r="S103" s="90"/>
      <c r="T103" s="90"/>
      <c r="U103" s="90"/>
      <c r="V103" s="90"/>
      <c r="W103" s="90"/>
      <c r="X103" s="90"/>
      <c r="Y103" s="90"/>
    </row>
    <row r="104" spans="1:25" s="69" customFormat="1" x14ac:dyDescent="0.15">
      <c r="F104" s="4"/>
    </row>
    <row r="105" spans="1:25" s="69" customFormat="1" ht="45" x14ac:dyDescent="0.15">
      <c r="A105" s="7" t="s">
        <v>251</v>
      </c>
      <c r="B105" s="91">
        <v>1.9217</v>
      </c>
      <c r="C105" s="91"/>
      <c r="D105" s="91"/>
      <c r="E105" s="91">
        <v>1.9060999999999999</v>
      </c>
      <c r="F105" s="91"/>
      <c r="G105" s="91"/>
      <c r="H105" s="91">
        <v>1.8763000000000001</v>
      </c>
      <c r="I105" s="91"/>
      <c r="J105" s="91"/>
      <c r="K105" s="91">
        <v>1.8608</v>
      </c>
      <c r="L105" s="91"/>
      <c r="M105" s="91"/>
      <c r="N105" s="91">
        <v>1.9099999999999999E-2</v>
      </c>
      <c r="O105" s="91"/>
      <c r="P105" s="91"/>
      <c r="Q105" s="90"/>
      <c r="R105" s="90"/>
      <c r="S105" s="90"/>
      <c r="T105" s="90"/>
      <c r="U105" s="90"/>
      <c r="V105" s="90"/>
      <c r="W105" s="90"/>
      <c r="X105" s="90"/>
      <c r="Y105" s="90"/>
    </row>
    <row r="106" spans="1:25" s="69" customFormat="1" x14ac:dyDescent="0.15">
      <c r="F106" s="4"/>
    </row>
    <row r="107" spans="1:25" ht="45" x14ac:dyDescent="0.15">
      <c r="A107" s="7" t="s">
        <v>248</v>
      </c>
      <c r="B107" s="91">
        <v>2.4043999999999999</v>
      </c>
      <c r="C107" s="91"/>
      <c r="D107" s="91"/>
      <c r="E107" s="91">
        <v>2.5068999999999999</v>
      </c>
      <c r="F107" s="91"/>
      <c r="G107" s="91"/>
      <c r="H107" s="91">
        <v>2.4020000000000001</v>
      </c>
      <c r="I107" s="91"/>
      <c r="J107" s="91"/>
      <c r="K107" s="91">
        <v>2.3433000000000002</v>
      </c>
      <c r="L107" s="91"/>
      <c r="M107" s="91"/>
      <c r="N107" s="91">
        <v>2.3170000000000002</v>
      </c>
      <c r="O107" s="91"/>
      <c r="P107" s="91"/>
      <c r="Q107" s="90"/>
      <c r="R107" s="90"/>
      <c r="S107" s="90"/>
      <c r="T107" s="90"/>
      <c r="U107" s="90"/>
      <c r="V107" s="90"/>
      <c r="W107" s="90"/>
      <c r="X107" s="90"/>
      <c r="Y107" s="90"/>
    </row>
    <row r="108" spans="1:25" x14ac:dyDescent="0.15">
      <c r="F108" s="4"/>
      <c r="T108" s="57"/>
    </row>
    <row r="109" spans="1:25" ht="45" x14ac:dyDescent="0.15">
      <c r="A109" s="7" t="s">
        <v>249</v>
      </c>
      <c r="B109" s="91">
        <v>1.9218</v>
      </c>
      <c r="C109" s="91"/>
      <c r="D109" s="91"/>
      <c r="E109" s="91">
        <v>1.9300999999999999</v>
      </c>
      <c r="F109" s="91"/>
      <c r="G109" s="91"/>
      <c r="H109" s="91">
        <v>1.9877</v>
      </c>
      <c r="I109" s="91"/>
      <c r="J109" s="91"/>
      <c r="K109" s="91">
        <v>1.9297</v>
      </c>
      <c r="L109" s="91"/>
      <c r="M109" s="91"/>
      <c r="N109" s="91">
        <v>1.9988999999999999</v>
      </c>
      <c r="O109" s="91"/>
      <c r="P109" s="91"/>
      <c r="Q109" s="90"/>
      <c r="R109" s="90"/>
      <c r="S109" s="90"/>
      <c r="T109" s="90"/>
      <c r="U109" s="90"/>
      <c r="V109" s="90"/>
      <c r="W109" s="90"/>
      <c r="X109" s="90"/>
      <c r="Y109" s="90"/>
    </row>
    <row r="110" spans="1:25" x14ac:dyDescent="0.15">
      <c r="F110" s="4"/>
      <c r="T110" s="57"/>
    </row>
    <row r="111" spans="1:25" s="22" customFormat="1" x14ac:dyDescent="0.15">
      <c r="A111" s="72" t="s">
        <v>277</v>
      </c>
      <c r="B111" s="73">
        <v>8499.51</v>
      </c>
      <c r="C111" s="73">
        <v>11638.32</v>
      </c>
      <c r="D111" s="73">
        <v>16322.2</v>
      </c>
      <c r="E111" s="73">
        <v>19058.34</v>
      </c>
      <c r="F111" s="73">
        <v>21853.9</v>
      </c>
      <c r="G111" s="73">
        <v>25537.07</v>
      </c>
      <c r="H111" s="73">
        <v>28086.29</v>
      </c>
      <c r="I111" s="73">
        <v>31028.38</v>
      </c>
      <c r="J111" s="73">
        <v>34519.72</v>
      </c>
      <c r="K111" s="73">
        <v>37057.79</v>
      </c>
      <c r="L111" s="73">
        <v>39620.19</v>
      </c>
      <c r="M111" s="73">
        <v>42644.75</v>
      </c>
      <c r="N111" s="73">
        <v>9079.99</v>
      </c>
      <c r="O111" s="73">
        <v>11767.79</v>
      </c>
      <c r="P111" s="73">
        <v>16695.36</v>
      </c>
      <c r="Q111" s="73">
        <v>19886.439999999999</v>
      </c>
      <c r="R111" s="73">
        <v>23064</v>
      </c>
      <c r="S111" s="73">
        <v>27186</v>
      </c>
      <c r="T111" s="73"/>
      <c r="U111" s="73"/>
      <c r="V111" s="73"/>
      <c r="W111" s="73"/>
      <c r="X111" s="73"/>
      <c r="Y111" s="73"/>
    </row>
    <row r="112" spans="1:25" s="69" customFormat="1" x14ac:dyDescent="0.15">
      <c r="F112" s="4"/>
      <c r="S112" s="83"/>
    </row>
    <row r="113" spans="1:25" s="22" customFormat="1" x14ac:dyDescent="0.15">
      <c r="A113" s="72" t="s">
        <v>278</v>
      </c>
      <c r="B113" s="73">
        <v>1389.64</v>
      </c>
      <c r="C113" s="73">
        <v>2239.86</v>
      </c>
      <c r="D113" s="73">
        <v>3318.38</v>
      </c>
      <c r="E113" s="73">
        <v>4297.24</v>
      </c>
      <c r="F113" s="73">
        <v>5252.48</v>
      </c>
      <c r="G113" s="73">
        <v>6232.47</v>
      </c>
      <c r="H113" s="73">
        <v>7253.61</v>
      </c>
      <c r="I113" s="73">
        <v>8290.18</v>
      </c>
      <c r="J113" s="73">
        <v>9411.18</v>
      </c>
      <c r="K113" s="73">
        <v>10387.469999999999</v>
      </c>
      <c r="L113" s="73">
        <v>11496.37</v>
      </c>
      <c r="M113" s="73">
        <v>12893.97</v>
      </c>
      <c r="N113" s="73">
        <v>1265.0999999999999</v>
      </c>
      <c r="O113" s="73">
        <v>1891.95</v>
      </c>
      <c r="P113" s="73">
        <v>3031.24</v>
      </c>
      <c r="Q113" s="73">
        <v>4109.29</v>
      </c>
      <c r="R113" s="73">
        <v>5149</v>
      </c>
      <c r="S113" s="73">
        <v>6308</v>
      </c>
      <c r="T113" s="73"/>
      <c r="U113" s="73"/>
      <c r="V113" s="73"/>
      <c r="W113" s="73"/>
      <c r="X113" s="73"/>
      <c r="Y113" s="73"/>
    </row>
    <row r="114" spans="1:25" s="77" customFormat="1" x14ac:dyDescent="0.15">
      <c r="F114" s="4"/>
      <c r="S114" s="83"/>
    </row>
    <row r="115" spans="1:25" s="78" customFormat="1" x14ac:dyDescent="0.15">
      <c r="A115" s="72" t="s">
        <v>336</v>
      </c>
      <c r="B115" s="73">
        <v>24948</v>
      </c>
      <c r="C115" s="73">
        <v>25238</v>
      </c>
      <c r="D115" s="73">
        <v>26189</v>
      </c>
      <c r="E115" s="73">
        <v>25331</v>
      </c>
      <c r="F115" s="73">
        <v>25558</v>
      </c>
      <c r="G115" s="73">
        <v>26335</v>
      </c>
      <c r="H115" s="73">
        <v>24931</v>
      </c>
      <c r="I115" s="73">
        <v>25132</v>
      </c>
      <c r="J115" s="73">
        <v>25213</v>
      </c>
      <c r="K115" s="73">
        <v>24458</v>
      </c>
      <c r="L115" s="73">
        <v>24164</v>
      </c>
      <c r="M115" s="73">
        <v>25227</v>
      </c>
      <c r="N115" s="73">
        <v>26232</v>
      </c>
      <c r="O115" s="73">
        <v>26551</v>
      </c>
      <c r="P115" s="73">
        <v>28621</v>
      </c>
      <c r="Q115" s="73">
        <v>28036</v>
      </c>
      <c r="R115" s="73">
        <v>27841</v>
      </c>
      <c r="S115" s="73">
        <v>28152</v>
      </c>
      <c r="T115" s="73"/>
      <c r="U115" s="73"/>
      <c r="V115" s="73"/>
      <c r="W115" s="73"/>
      <c r="X115" s="73"/>
      <c r="Y115" s="73"/>
    </row>
    <row r="116" spans="1:25" s="77" customFormat="1" x14ac:dyDescent="0.15">
      <c r="F116" s="4"/>
      <c r="R116" s="78"/>
      <c r="S116" s="83">
        <f>(S115-B115)/B115</f>
        <v>0.12842712842712842</v>
      </c>
    </row>
    <row r="117" spans="1:25" s="78" customFormat="1" x14ac:dyDescent="0.15">
      <c r="A117" s="72" t="s">
        <v>337</v>
      </c>
      <c r="B117" s="73">
        <v>56881</v>
      </c>
      <c r="C117" s="73">
        <v>56818</v>
      </c>
      <c r="D117" s="73">
        <v>56722</v>
      </c>
      <c r="E117" s="73">
        <v>57466</v>
      </c>
      <c r="F117" s="73">
        <v>58012</v>
      </c>
      <c r="G117" s="73">
        <v>59830</v>
      </c>
      <c r="H117" s="73">
        <v>60377</v>
      </c>
      <c r="I117" s="73">
        <v>61158</v>
      </c>
      <c r="J117" s="73">
        <v>61427</v>
      </c>
      <c r="K117" s="73">
        <v>62057</v>
      </c>
      <c r="L117" s="73">
        <v>63090</v>
      </c>
      <c r="M117" s="73">
        <v>64032</v>
      </c>
      <c r="N117" s="73">
        <v>65890</v>
      </c>
      <c r="O117" s="73">
        <v>66395</v>
      </c>
      <c r="P117" s="73">
        <v>66765</v>
      </c>
      <c r="Q117" s="73">
        <v>67139</v>
      </c>
      <c r="R117" s="73">
        <v>68201</v>
      </c>
      <c r="S117" s="73">
        <v>69700</v>
      </c>
      <c r="T117" s="73"/>
      <c r="U117" s="73"/>
      <c r="V117" s="73"/>
      <c r="W117" s="73"/>
      <c r="X117" s="73"/>
      <c r="Y117" s="73"/>
    </row>
    <row r="118" spans="1:25" s="77" customFormat="1" x14ac:dyDescent="0.15">
      <c r="F118" s="4"/>
      <c r="R118" s="78"/>
      <c r="S118" s="83">
        <f>(S117-B117)/B117</f>
        <v>0.22536523619486296</v>
      </c>
    </row>
    <row r="119" spans="1:25" s="78" customFormat="1" x14ac:dyDescent="0.15">
      <c r="A119" s="72" t="s">
        <v>338</v>
      </c>
      <c r="B119" s="73">
        <v>19950</v>
      </c>
      <c r="C119" s="73">
        <v>20987</v>
      </c>
      <c r="D119" s="73">
        <v>21126</v>
      </c>
      <c r="E119" s="73">
        <v>21370</v>
      </c>
      <c r="F119" s="73">
        <v>21209</v>
      </c>
      <c r="G119" s="73">
        <v>21904</v>
      </c>
      <c r="H119" s="73">
        <v>22087</v>
      </c>
      <c r="I119" s="73">
        <v>22330</v>
      </c>
      <c r="J119" s="73">
        <v>22377</v>
      </c>
      <c r="K119" s="73">
        <v>22536</v>
      </c>
      <c r="L119" s="73">
        <v>22546</v>
      </c>
      <c r="M119" s="73">
        <v>24365</v>
      </c>
      <c r="N119" s="73">
        <v>24301</v>
      </c>
      <c r="O119" s="73">
        <v>24822</v>
      </c>
      <c r="P119" s="73">
        <v>24897</v>
      </c>
      <c r="Q119" s="73">
        <v>26654</v>
      </c>
      <c r="R119" s="73">
        <v>26104</v>
      </c>
      <c r="S119" s="73">
        <v>26828</v>
      </c>
      <c r="T119" s="73"/>
      <c r="U119" s="73"/>
      <c r="V119" s="73"/>
      <c r="W119" s="73"/>
      <c r="X119" s="73"/>
      <c r="Y119" s="73"/>
    </row>
    <row r="120" spans="1:25" s="69" customFormat="1" x14ac:dyDescent="0.15">
      <c r="F120" s="4"/>
      <c r="R120" s="78"/>
      <c r="S120" s="83">
        <f>(S119-B119)/B119</f>
        <v>0.34476190476190477</v>
      </c>
    </row>
    <row r="121" spans="1:25" x14ac:dyDescent="0.15">
      <c r="A121" s="7" t="s">
        <v>129</v>
      </c>
      <c r="F121" s="4"/>
      <c r="T121" s="57"/>
      <c r="U121" s="66"/>
    </row>
    <row r="122" spans="1:25" s="70" customFormat="1" ht="16" customHeight="1" x14ac:dyDescent="0.15">
      <c r="F122" s="4"/>
    </row>
    <row r="123" spans="1:25" s="74" customFormat="1" x14ac:dyDescent="0.15">
      <c r="B123" s="71" t="s">
        <v>254</v>
      </c>
      <c r="C123" s="71" t="s">
        <v>255</v>
      </c>
      <c r="D123" s="71" t="s">
        <v>256</v>
      </c>
      <c r="E123" s="71" t="s">
        <v>257</v>
      </c>
      <c r="F123" s="71" t="s">
        <v>258</v>
      </c>
      <c r="G123" s="71" t="s">
        <v>259</v>
      </c>
      <c r="H123" s="71" t="s">
        <v>260</v>
      </c>
      <c r="I123" s="71" t="s">
        <v>261</v>
      </c>
      <c r="J123" s="71" t="s">
        <v>262</v>
      </c>
      <c r="K123" s="71" t="s">
        <v>263</v>
      </c>
      <c r="L123" s="71" t="s">
        <v>264</v>
      </c>
      <c r="M123" s="71" t="s">
        <v>265</v>
      </c>
      <c r="N123" s="71" t="s">
        <v>252</v>
      </c>
      <c r="O123" s="71" t="s">
        <v>266</v>
      </c>
      <c r="P123" s="71" t="s">
        <v>267</v>
      </c>
      <c r="Q123" s="71" t="s">
        <v>268</v>
      </c>
      <c r="R123" s="71" t="s">
        <v>269</v>
      </c>
      <c r="S123" s="71" t="s">
        <v>270</v>
      </c>
      <c r="T123" s="71" t="s">
        <v>271</v>
      </c>
      <c r="U123" s="71" t="s">
        <v>272</v>
      </c>
      <c r="V123" s="71" t="s">
        <v>273</v>
      </c>
      <c r="W123" s="71" t="s">
        <v>274</v>
      </c>
      <c r="X123" s="71" t="s">
        <v>275</v>
      </c>
      <c r="Y123" s="71" t="s">
        <v>276</v>
      </c>
    </row>
    <row r="124" spans="1:25" s="70" customFormat="1" x14ac:dyDescent="0.15">
      <c r="A124" s="2" t="s">
        <v>324</v>
      </c>
      <c r="B124" s="70">
        <v>14710</v>
      </c>
      <c r="C124" s="76">
        <v>14724</v>
      </c>
      <c r="D124" s="76">
        <v>14759</v>
      </c>
      <c r="E124" s="76">
        <v>14800</v>
      </c>
      <c r="F124" s="76">
        <v>14836</v>
      </c>
      <c r="G124" s="76">
        <v>14891</v>
      </c>
      <c r="H124" s="76">
        <v>14948</v>
      </c>
      <c r="I124" s="76">
        <v>15004</v>
      </c>
      <c r="J124" s="76">
        <v>15051</v>
      </c>
      <c r="K124" s="76">
        <v>15073</v>
      </c>
      <c r="L124" s="76">
        <v>15105</v>
      </c>
      <c r="M124" s="76">
        <v>15168</v>
      </c>
      <c r="N124" s="76">
        <v>15209</v>
      </c>
      <c r="O124" s="76">
        <v>15173</v>
      </c>
      <c r="P124" s="76">
        <v>15195</v>
      </c>
      <c r="Q124" s="76">
        <v>15233</v>
      </c>
      <c r="R124" s="76">
        <v>15280</v>
      </c>
      <c r="S124" s="77">
        <v>15461</v>
      </c>
    </row>
    <row r="125" spans="1:25" s="74" customFormat="1" x14ac:dyDescent="0.15">
      <c r="A125" s="2" t="s">
        <v>303</v>
      </c>
      <c r="F125" s="4"/>
    </row>
    <row r="126" spans="1:25" ht="30" x14ac:dyDescent="0.15">
      <c r="A126" s="1" t="s">
        <v>295</v>
      </c>
      <c r="B126" s="1">
        <v>2.8</v>
      </c>
      <c r="C126" s="1">
        <v>2.9</v>
      </c>
      <c r="D126" s="1">
        <v>3.2</v>
      </c>
      <c r="E126" s="1">
        <v>3.5</v>
      </c>
      <c r="F126" s="4">
        <v>3.9</v>
      </c>
      <c r="G126" s="1">
        <v>3.9</v>
      </c>
      <c r="H126" s="1">
        <v>4.3</v>
      </c>
      <c r="I126" s="1">
        <v>4.8</v>
      </c>
      <c r="J126" s="1">
        <v>4.7</v>
      </c>
      <c r="K126" s="1">
        <v>4.3</v>
      </c>
      <c r="L126" s="1">
        <v>5.4</v>
      </c>
      <c r="M126" s="1">
        <v>4.8</v>
      </c>
      <c r="N126" s="1">
        <v>4.0999999999999996</v>
      </c>
      <c r="O126" s="1">
        <v>4.4000000000000004</v>
      </c>
      <c r="P126" s="1">
        <v>4.0999999999999996</v>
      </c>
      <c r="Q126" s="1">
        <v>3.3</v>
      </c>
      <c r="R126" s="1">
        <v>3.1</v>
      </c>
      <c r="S126" s="77">
        <v>3.6</v>
      </c>
      <c r="T126" s="57"/>
    </row>
    <row r="127" spans="1:25" s="74" customFormat="1" ht="30" x14ac:dyDescent="0.15">
      <c r="A127" s="74" t="s">
        <v>299</v>
      </c>
      <c r="B127" s="74">
        <v>0.6</v>
      </c>
      <c r="C127" s="74">
        <v>-0.2</v>
      </c>
      <c r="D127" s="74">
        <v>0.4</v>
      </c>
      <c r="E127" s="74">
        <v>0.5</v>
      </c>
      <c r="F127" s="4">
        <v>0.6</v>
      </c>
      <c r="G127" s="74">
        <v>-0.1</v>
      </c>
      <c r="H127" s="74">
        <v>0.6</v>
      </c>
      <c r="I127" s="74">
        <v>0.5</v>
      </c>
      <c r="J127" s="74">
        <v>0</v>
      </c>
      <c r="K127" s="74">
        <v>-0.2</v>
      </c>
      <c r="L127" s="74">
        <v>1.7</v>
      </c>
      <c r="M127" s="74">
        <v>0.4</v>
      </c>
      <c r="N127" s="74">
        <v>0</v>
      </c>
      <c r="O127" s="74">
        <v>0.1</v>
      </c>
      <c r="P127" s="74">
        <v>0</v>
      </c>
      <c r="Q127" s="74">
        <v>-0.3</v>
      </c>
      <c r="R127" s="74">
        <v>0.5</v>
      </c>
      <c r="S127" s="77">
        <v>0.4</v>
      </c>
    </row>
    <row r="128" spans="1:25" ht="30" x14ac:dyDescent="0.15">
      <c r="A128" s="1" t="s">
        <v>296</v>
      </c>
      <c r="B128" s="1">
        <v>0.9</v>
      </c>
      <c r="C128" s="1">
        <v>1.5</v>
      </c>
      <c r="D128" s="1">
        <v>1.2</v>
      </c>
      <c r="E128" s="1">
        <v>2.5</v>
      </c>
      <c r="F128" s="4">
        <v>1.7</v>
      </c>
      <c r="G128" s="1">
        <v>2</v>
      </c>
      <c r="H128" s="1">
        <v>1.9</v>
      </c>
      <c r="I128" s="1">
        <v>2.2000000000000002</v>
      </c>
      <c r="J128" s="1">
        <v>2.7</v>
      </c>
      <c r="K128" s="1">
        <v>3</v>
      </c>
      <c r="L128" s="1">
        <v>2.8</v>
      </c>
      <c r="M128" s="1">
        <v>2.2999999999999998</v>
      </c>
      <c r="N128" s="1">
        <v>2.7</v>
      </c>
      <c r="O128" s="1">
        <v>2.2999999999999998</v>
      </c>
      <c r="P128" s="1">
        <v>2.4</v>
      </c>
      <c r="Q128" s="1">
        <v>2.7</v>
      </c>
      <c r="R128" s="1">
        <v>3.5</v>
      </c>
      <c r="S128" s="77">
        <v>3.7</v>
      </c>
      <c r="T128" s="57"/>
    </row>
    <row r="129" spans="1:20" s="74" customFormat="1" ht="30" x14ac:dyDescent="0.15">
      <c r="A129" s="74" t="s">
        <v>300</v>
      </c>
      <c r="B129" s="74">
        <v>0.1</v>
      </c>
      <c r="C129" s="74">
        <v>0.3</v>
      </c>
      <c r="D129" s="74">
        <v>-0.1</v>
      </c>
      <c r="E129" s="74">
        <v>0.3</v>
      </c>
      <c r="F129" s="4">
        <v>-0.1</v>
      </c>
      <c r="G129" s="74">
        <v>0.3</v>
      </c>
      <c r="H129" s="74">
        <v>-0.1</v>
      </c>
      <c r="I129" s="74">
        <v>0.3</v>
      </c>
      <c r="J129" s="74">
        <v>0.5</v>
      </c>
      <c r="K129" s="74">
        <v>0.4</v>
      </c>
      <c r="L129" s="74">
        <v>0.3</v>
      </c>
      <c r="M129" s="74">
        <v>0</v>
      </c>
      <c r="N129" s="74">
        <v>0.5</v>
      </c>
      <c r="O129" s="74">
        <v>0</v>
      </c>
      <c r="P129" s="74">
        <v>0.1</v>
      </c>
      <c r="Q129" s="74">
        <v>0.6</v>
      </c>
      <c r="R129" s="74">
        <v>0.8</v>
      </c>
      <c r="S129" s="77">
        <v>0.5</v>
      </c>
    </row>
    <row r="130" spans="1:20" ht="30" x14ac:dyDescent="0.15">
      <c r="A130" s="1" t="s">
        <v>297</v>
      </c>
      <c r="B130" s="1">
        <v>9.6999999999999993</v>
      </c>
      <c r="C130" s="1">
        <v>11.3</v>
      </c>
      <c r="D130" s="1">
        <v>11.9</v>
      </c>
      <c r="E130" s="1">
        <v>13.3</v>
      </c>
      <c r="F130" s="4">
        <v>12.2</v>
      </c>
      <c r="G130" s="1">
        <v>10.5</v>
      </c>
      <c r="H130" s="1">
        <v>10.199999999999999</v>
      </c>
      <c r="I130" s="1">
        <v>9.4</v>
      </c>
      <c r="J130" s="1">
        <v>9</v>
      </c>
      <c r="K130" s="1">
        <v>8.6999999999999993</v>
      </c>
      <c r="L130" s="1">
        <v>8.1</v>
      </c>
      <c r="M130" s="1">
        <v>4.7</v>
      </c>
      <c r="N130" s="1">
        <v>4.2</v>
      </c>
      <c r="O130" s="1">
        <v>3</v>
      </c>
      <c r="P130" s="1">
        <v>1.7</v>
      </c>
      <c r="Q130" s="1">
        <v>0.7</v>
      </c>
      <c r="R130" s="1">
        <v>0.2</v>
      </c>
      <c r="S130" s="77">
        <v>0.5</v>
      </c>
      <c r="T130" s="57"/>
    </row>
    <row r="131" spans="1:20" s="74" customFormat="1" ht="30" x14ac:dyDescent="0.15">
      <c r="A131" s="74" t="s">
        <v>301</v>
      </c>
      <c r="B131" s="74">
        <v>0.9</v>
      </c>
      <c r="C131" s="74">
        <v>1.1000000000000001</v>
      </c>
      <c r="D131" s="74">
        <v>0.8</v>
      </c>
      <c r="E131" s="74">
        <v>1.1000000000000001</v>
      </c>
      <c r="F131" s="4">
        <v>0.8</v>
      </c>
      <c r="G131" s="74">
        <v>0.3</v>
      </c>
      <c r="H131" s="74">
        <v>0.3</v>
      </c>
      <c r="I131" s="74">
        <v>0.2</v>
      </c>
      <c r="J131" s="74">
        <v>0</v>
      </c>
      <c r="K131" s="74">
        <v>-0.1</v>
      </c>
      <c r="L131" s="74">
        <v>-0.5</v>
      </c>
      <c r="M131" s="74">
        <v>-0.3</v>
      </c>
      <c r="N131" s="74">
        <v>0.3</v>
      </c>
      <c r="O131" s="74">
        <v>-0.1</v>
      </c>
      <c r="P131" s="74">
        <v>-0.5</v>
      </c>
      <c r="Q131" s="74">
        <v>0</v>
      </c>
      <c r="R131" s="74">
        <v>0.3</v>
      </c>
      <c r="S131" s="77">
        <v>0.6</v>
      </c>
    </row>
    <row r="132" spans="1:20" ht="30" x14ac:dyDescent="0.15">
      <c r="A132" s="1" t="s">
        <v>298</v>
      </c>
      <c r="B132" s="1">
        <v>-0.1</v>
      </c>
      <c r="C132" s="1">
        <v>0.5</v>
      </c>
      <c r="D132" s="1">
        <v>0.3</v>
      </c>
      <c r="E132" s="1">
        <v>0.7</v>
      </c>
      <c r="F132" s="4">
        <v>1.2</v>
      </c>
      <c r="G132" s="1">
        <v>1.3</v>
      </c>
      <c r="H132" s="1">
        <v>0.9</v>
      </c>
      <c r="I132" s="1">
        <v>0.6</v>
      </c>
      <c r="J132" s="1">
        <v>2</v>
      </c>
      <c r="K132" s="1">
        <v>2.9</v>
      </c>
      <c r="L132" s="1">
        <v>3.3</v>
      </c>
      <c r="M132" s="1">
        <v>3.6</v>
      </c>
      <c r="N132" s="1">
        <v>4.3</v>
      </c>
      <c r="O132" s="1">
        <v>4.3</v>
      </c>
      <c r="P132" s="1">
        <v>5.2</v>
      </c>
      <c r="Q132" s="1">
        <v>4.8</v>
      </c>
      <c r="R132" s="1">
        <v>4.9000000000000004</v>
      </c>
      <c r="S132" s="77">
        <v>5.3</v>
      </c>
      <c r="T132" s="57"/>
    </row>
    <row r="133" spans="1:20" s="74" customFormat="1" ht="30" x14ac:dyDescent="0.15">
      <c r="A133" s="74" t="s">
        <v>302</v>
      </c>
      <c r="B133" s="74">
        <v>-0.1</v>
      </c>
      <c r="C133" s="74">
        <v>0</v>
      </c>
      <c r="D133" s="74">
        <v>-0.3</v>
      </c>
      <c r="E133" s="74">
        <v>0.4</v>
      </c>
      <c r="F133" s="4">
        <v>0.4</v>
      </c>
      <c r="G133" s="74">
        <v>0.5</v>
      </c>
      <c r="H133" s="74">
        <v>0</v>
      </c>
      <c r="I133" s="74">
        <v>0.2</v>
      </c>
      <c r="J133" s="74">
        <v>1.2</v>
      </c>
      <c r="K133" s="74">
        <v>0.4</v>
      </c>
      <c r="L133" s="74">
        <v>0.2</v>
      </c>
      <c r="M133" s="74">
        <v>0.7</v>
      </c>
      <c r="N133" s="74">
        <v>0.5</v>
      </c>
      <c r="O133" s="74">
        <v>0</v>
      </c>
      <c r="P133" s="74">
        <v>0.5</v>
      </c>
      <c r="Q133" s="74">
        <v>0</v>
      </c>
      <c r="R133" s="74">
        <v>0.3</v>
      </c>
      <c r="S133" s="77">
        <v>0.8</v>
      </c>
    </row>
    <row r="134" spans="1:20" ht="30" x14ac:dyDescent="0.15">
      <c r="A134" s="2" t="s">
        <v>304</v>
      </c>
      <c r="F134" s="4"/>
      <c r="S134" s="77"/>
      <c r="T134" s="57"/>
    </row>
    <row r="135" spans="1:20" s="74" customFormat="1" ht="30" x14ac:dyDescent="0.15">
      <c r="A135" s="74" t="s">
        <v>305</v>
      </c>
      <c r="B135" s="74">
        <v>1.7</v>
      </c>
      <c r="C135" s="74">
        <v>1.6</v>
      </c>
      <c r="D135" s="74">
        <v>2.2999999999999998</v>
      </c>
      <c r="E135" s="74">
        <v>3</v>
      </c>
      <c r="F135" s="74">
        <v>4</v>
      </c>
      <c r="G135" s="4">
        <v>4.3</v>
      </c>
      <c r="H135" s="74">
        <v>5.7</v>
      </c>
      <c r="I135" s="74">
        <v>5.4</v>
      </c>
      <c r="J135" s="74">
        <v>5.8</v>
      </c>
      <c r="K135" s="74">
        <v>5.7</v>
      </c>
      <c r="L135" s="74">
        <v>4</v>
      </c>
      <c r="M135" s="74">
        <v>4.0999999999999996</v>
      </c>
      <c r="N135" s="74">
        <v>3.3</v>
      </c>
      <c r="O135" s="74">
        <v>3.2</v>
      </c>
      <c r="P135" s="74">
        <v>3.3</v>
      </c>
      <c r="Q135" s="74">
        <v>4.5</v>
      </c>
      <c r="R135" s="74">
        <v>5</v>
      </c>
      <c r="S135" s="77">
        <v>6.1</v>
      </c>
    </row>
    <row r="136" spans="1:20" s="74" customFormat="1" ht="30" x14ac:dyDescent="0.15">
      <c r="A136" s="74" t="s">
        <v>306</v>
      </c>
      <c r="B136" s="74">
        <v>0.8</v>
      </c>
      <c r="C136" s="74">
        <v>0</v>
      </c>
      <c r="D136" s="74">
        <v>0.1</v>
      </c>
      <c r="E136" s="74">
        <v>0.5</v>
      </c>
      <c r="F136" s="74">
        <v>0.8</v>
      </c>
      <c r="G136" s="4">
        <v>0.1</v>
      </c>
      <c r="H136" s="74">
        <v>1.2</v>
      </c>
      <c r="I136" s="74">
        <v>-0.2</v>
      </c>
      <c r="J136" s="74">
        <v>0.8</v>
      </c>
      <c r="K136" s="74">
        <v>0.2</v>
      </c>
      <c r="L136" s="74">
        <v>-0.1</v>
      </c>
      <c r="M136" s="74">
        <v>0</v>
      </c>
      <c r="N136" s="74">
        <v>0.1</v>
      </c>
      <c r="O136" s="74">
        <v>-0.1</v>
      </c>
      <c r="P136" s="74">
        <v>0.2</v>
      </c>
      <c r="Q136" s="74">
        <v>1.8</v>
      </c>
      <c r="R136" s="74">
        <v>1.2</v>
      </c>
      <c r="S136" s="77">
        <v>1</v>
      </c>
    </row>
    <row r="137" spans="1:20" s="74" customFormat="1" ht="30" x14ac:dyDescent="0.15">
      <c r="A137" s="74" t="s">
        <v>307</v>
      </c>
      <c r="B137" s="74">
        <v>4.8</v>
      </c>
      <c r="C137" s="74">
        <v>6</v>
      </c>
      <c r="D137" s="74">
        <v>6.7</v>
      </c>
      <c r="E137" s="74">
        <v>7.4</v>
      </c>
      <c r="F137" s="74">
        <v>7.4</v>
      </c>
      <c r="G137" s="4">
        <v>7.7</v>
      </c>
      <c r="H137" s="74">
        <v>7.8</v>
      </c>
      <c r="I137" s="74">
        <v>6.9</v>
      </c>
      <c r="J137" s="74">
        <v>5.7</v>
      </c>
      <c r="K137" s="74">
        <v>4.8</v>
      </c>
      <c r="L137" s="74">
        <v>4.0999999999999996</v>
      </c>
      <c r="M137" s="74">
        <v>3.9</v>
      </c>
      <c r="N137" s="74">
        <v>3.7</v>
      </c>
      <c r="O137" s="74">
        <v>2.9</v>
      </c>
      <c r="P137" s="74">
        <v>2.2999999999999998</v>
      </c>
      <c r="Q137" s="74">
        <v>1.3</v>
      </c>
      <c r="R137" s="74">
        <v>1.1000000000000001</v>
      </c>
      <c r="S137" s="77">
        <v>1.4</v>
      </c>
    </row>
    <row r="138" spans="1:20" s="74" customFormat="1" ht="30" x14ac:dyDescent="0.15">
      <c r="A138" s="74" t="s">
        <v>308</v>
      </c>
      <c r="B138" s="74">
        <v>0.6</v>
      </c>
      <c r="C138" s="74">
        <v>0.8</v>
      </c>
      <c r="D138" s="74">
        <v>0.6</v>
      </c>
      <c r="E138" s="74">
        <v>0.4</v>
      </c>
      <c r="F138" s="74">
        <v>0.1</v>
      </c>
      <c r="G138" s="4">
        <v>0.4</v>
      </c>
      <c r="H138" s="74">
        <v>0.6</v>
      </c>
      <c r="I138" s="74">
        <v>0.8</v>
      </c>
      <c r="J138" s="74">
        <v>-0.1</v>
      </c>
      <c r="K138" s="74">
        <v>-0.3</v>
      </c>
      <c r="L138" s="74">
        <v>-0.3</v>
      </c>
      <c r="M138" s="74">
        <v>0.2</v>
      </c>
      <c r="N138" s="74">
        <v>0.4</v>
      </c>
      <c r="O138" s="74">
        <v>0</v>
      </c>
      <c r="P138" s="74">
        <v>0.1</v>
      </c>
      <c r="Q138" s="74">
        <v>-0.5</v>
      </c>
      <c r="R138" s="74">
        <v>-0.1</v>
      </c>
      <c r="S138" s="77">
        <v>0.7</v>
      </c>
    </row>
    <row r="139" spans="1:20" s="74" customFormat="1" ht="30" x14ac:dyDescent="0.15">
      <c r="A139" s="74" t="s">
        <v>309</v>
      </c>
      <c r="B139" s="74">
        <v>1.1000000000000001</v>
      </c>
      <c r="C139" s="74">
        <v>1.4</v>
      </c>
      <c r="D139" s="74">
        <v>1.8</v>
      </c>
      <c r="E139" s="74">
        <v>2.4</v>
      </c>
      <c r="F139" s="74">
        <v>2.1</v>
      </c>
      <c r="G139" s="4">
        <v>2.2000000000000002</v>
      </c>
      <c r="H139" s="74">
        <v>1.9</v>
      </c>
      <c r="I139" s="74">
        <v>1.8</v>
      </c>
      <c r="J139" s="74">
        <v>1.7</v>
      </c>
      <c r="K139" s="74">
        <v>1.3</v>
      </c>
      <c r="L139" s="74">
        <v>1.6</v>
      </c>
      <c r="M139" s="74">
        <v>1.4</v>
      </c>
      <c r="N139" s="74">
        <v>1.3</v>
      </c>
      <c r="O139" s="74">
        <v>0.5</v>
      </c>
      <c r="P139" s="74">
        <v>0.1</v>
      </c>
      <c r="Q139" s="74">
        <v>-0.4</v>
      </c>
      <c r="R139" s="74">
        <v>-0.3</v>
      </c>
      <c r="S139" s="77">
        <v>0</v>
      </c>
    </row>
    <row r="140" spans="1:20" s="74" customFormat="1" ht="30" x14ac:dyDescent="0.15">
      <c r="A140" s="74" t="s">
        <v>310</v>
      </c>
      <c r="B140" s="74">
        <v>-0.1</v>
      </c>
      <c r="C140" s="74">
        <v>0.4</v>
      </c>
      <c r="D140" s="74">
        <v>0.3</v>
      </c>
      <c r="E140" s="74">
        <v>0.7</v>
      </c>
      <c r="F140" s="74">
        <v>0.2</v>
      </c>
      <c r="G140" s="4">
        <v>0.4</v>
      </c>
      <c r="H140" s="74">
        <v>-0.3</v>
      </c>
      <c r="I140" s="74">
        <v>0.1</v>
      </c>
      <c r="J140" s="74">
        <v>0.2</v>
      </c>
      <c r="K140" s="74">
        <v>-0.4</v>
      </c>
      <c r="L140" s="74">
        <v>0</v>
      </c>
      <c r="M140" s="74">
        <v>-0.1</v>
      </c>
      <c r="N140" s="74">
        <v>-0.2</v>
      </c>
      <c r="O140" s="74">
        <v>-0.4</v>
      </c>
      <c r="P140" s="74">
        <v>-0.1</v>
      </c>
      <c r="Q140" s="74">
        <v>0.2</v>
      </c>
      <c r="R140" s="74">
        <v>0.4</v>
      </c>
      <c r="S140" s="77">
        <v>0.6</v>
      </c>
    </row>
    <row r="141" spans="1:20" s="74" customFormat="1" ht="30" x14ac:dyDescent="0.15">
      <c r="A141" s="74" t="s">
        <v>311</v>
      </c>
      <c r="B141" s="74">
        <v>-0.3</v>
      </c>
      <c r="C141" s="74">
        <v>0</v>
      </c>
      <c r="D141" s="74">
        <v>0.7</v>
      </c>
      <c r="E141" s="74">
        <v>1.1000000000000001</v>
      </c>
      <c r="F141" s="74">
        <v>0.4</v>
      </c>
      <c r="G141" s="4">
        <v>1.2</v>
      </c>
      <c r="H141" s="74">
        <v>2.6</v>
      </c>
      <c r="I141" s="74">
        <v>3.6</v>
      </c>
      <c r="J141" s="74">
        <v>3.3</v>
      </c>
      <c r="K141" s="74">
        <v>2.7</v>
      </c>
      <c r="L141" s="74">
        <v>2.9</v>
      </c>
      <c r="M141" s="74">
        <v>3.9</v>
      </c>
      <c r="N141" s="74">
        <v>4.4000000000000004</v>
      </c>
      <c r="O141" s="74">
        <v>4.2</v>
      </c>
      <c r="P141" s="74">
        <v>3.5</v>
      </c>
      <c r="Q141" s="74">
        <v>2.8</v>
      </c>
      <c r="R141" s="74">
        <v>3</v>
      </c>
      <c r="S141" s="77">
        <v>3.1</v>
      </c>
    </row>
    <row r="142" spans="1:20" s="74" customFormat="1" ht="30" x14ac:dyDescent="0.15">
      <c r="A142" s="74" t="s">
        <v>312</v>
      </c>
      <c r="B142" s="74">
        <v>-0.3</v>
      </c>
      <c r="C142" s="74">
        <v>0.2</v>
      </c>
      <c r="D142" s="74">
        <v>0.6</v>
      </c>
      <c r="E142" s="74">
        <v>0.6</v>
      </c>
      <c r="F142" s="74">
        <v>0.3</v>
      </c>
      <c r="G142" s="4">
        <v>0.8</v>
      </c>
      <c r="H142" s="74">
        <v>1.4</v>
      </c>
      <c r="I142" s="74">
        <v>0.8</v>
      </c>
      <c r="J142" s="74">
        <v>-0.3</v>
      </c>
      <c r="K142" s="74">
        <v>-0.7</v>
      </c>
      <c r="L142" s="74">
        <v>-0.2</v>
      </c>
      <c r="M142" s="74">
        <v>0.6</v>
      </c>
      <c r="N142" s="74">
        <v>0.2</v>
      </c>
      <c r="O142" s="74">
        <v>0</v>
      </c>
      <c r="P142" s="74">
        <v>0</v>
      </c>
      <c r="Q142" s="74">
        <v>-0.1</v>
      </c>
      <c r="R142" s="74">
        <v>0.5</v>
      </c>
      <c r="S142" s="77">
        <v>1</v>
      </c>
    </row>
    <row r="143" spans="1:20" s="74" customFormat="1" ht="30" x14ac:dyDescent="0.15">
      <c r="A143" s="74" t="s">
        <v>313</v>
      </c>
      <c r="B143" s="74">
        <v>10</v>
      </c>
      <c r="C143" s="74">
        <v>9.9</v>
      </c>
      <c r="D143" s="74">
        <v>10.5</v>
      </c>
      <c r="E143" s="74">
        <v>10.4</v>
      </c>
      <c r="F143" s="74">
        <v>8.9</v>
      </c>
      <c r="G143" s="4">
        <v>7.5</v>
      </c>
      <c r="H143" s="74">
        <v>6.4</v>
      </c>
      <c r="I143" s="74">
        <v>5.0999999999999996</v>
      </c>
      <c r="J143" s="74">
        <v>4.8</v>
      </c>
      <c r="K143" s="74">
        <v>3.8</v>
      </c>
      <c r="L143" s="74">
        <v>2.4</v>
      </c>
      <c r="M143" s="74">
        <v>1.7</v>
      </c>
      <c r="N143" s="74">
        <v>1.4</v>
      </c>
      <c r="O143" s="74">
        <v>1.1000000000000001</v>
      </c>
      <c r="P143" s="74">
        <v>0.5</v>
      </c>
      <c r="Q143" s="74">
        <v>0.2</v>
      </c>
      <c r="R143" s="74">
        <v>-0.2</v>
      </c>
      <c r="S143" s="77">
        <v>-0.4</v>
      </c>
    </row>
    <row r="144" spans="1:20" s="74" customFormat="1" ht="30" x14ac:dyDescent="0.15">
      <c r="A144" s="74" t="s">
        <v>314</v>
      </c>
      <c r="B144" s="74">
        <v>0.3</v>
      </c>
      <c r="C144" s="74">
        <v>0</v>
      </c>
      <c r="D144" s="74">
        <v>0.4</v>
      </c>
      <c r="E144" s="74">
        <v>0.5</v>
      </c>
      <c r="F144" s="74">
        <v>0.3</v>
      </c>
      <c r="G144" s="4">
        <v>0.5</v>
      </c>
      <c r="H144" s="74">
        <v>0.3</v>
      </c>
      <c r="I144" s="74">
        <v>0.3</v>
      </c>
      <c r="J144" s="74">
        <v>0.2</v>
      </c>
      <c r="K144" s="74">
        <v>0</v>
      </c>
      <c r="L144" s="74">
        <v>-0.5</v>
      </c>
      <c r="M144" s="74">
        <v>-0.4</v>
      </c>
      <c r="N144" s="74">
        <v>0</v>
      </c>
      <c r="O144" s="74">
        <v>-0.3</v>
      </c>
      <c r="P144" s="74">
        <v>-0.2</v>
      </c>
      <c r="Q144" s="74">
        <v>0.1</v>
      </c>
      <c r="R144" s="74">
        <v>-0.2</v>
      </c>
      <c r="S144" s="77">
        <v>0.4</v>
      </c>
    </row>
    <row r="145" spans="1:26" s="74" customFormat="1" ht="30" x14ac:dyDescent="0.15">
      <c r="A145" s="74" t="s">
        <v>315</v>
      </c>
      <c r="B145" s="74">
        <v>6</v>
      </c>
      <c r="C145" s="74">
        <v>6.6</v>
      </c>
      <c r="D145" s="74">
        <v>6.6</v>
      </c>
      <c r="E145" s="74">
        <v>7.7</v>
      </c>
      <c r="F145" s="74">
        <v>8.5</v>
      </c>
      <c r="G145" s="4">
        <v>9.1</v>
      </c>
      <c r="H145" s="74">
        <v>8.8000000000000007</v>
      </c>
      <c r="I145" s="74">
        <v>8.1999999999999993</v>
      </c>
      <c r="J145" s="74">
        <v>8.1999999999999993</v>
      </c>
      <c r="K145" s="74">
        <v>6.7</v>
      </c>
      <c r="L145" s="74">
        <v>5.8</v>
      </c>
      <c r="M145" s="74">
        <v>5</v>
      </c>
      <c r="N145" s="74">
        <v>5</v>
      </c>
      <c r="O145" s="74">
        <v>4.4000000000000004</v>
      </c>
      <c r="P145" s="74">
        <v>5.4</v>
      </c>
      <c r="Q145" s="74">
        <v>5.2</v>
      </c>
      <c r="R145" s="74">
        <v>5.0999999999999996</v>
      </c>
      <c r="S145" s="77">
        <v>5.2</v>
      </c>
    </row>
    <row r="146" spans="1:26" s="74" customFormat="1" ht="30" x14ac:dyDescent="0.15">
      <c r="A146" s="74" t="s">
        <v>316</v>
      </c>
      <c r="B146" s="74">
        <v>0.4</v>
      </c>
      <c r="C146" s="74">
        <v>0.5</v>
      </c>
      <c r="D146" s="74">
        <v>0.4</v>
      </c>
      <c r="E146" s="74">
        <v>1</v>
      </c>
      <c r="F146" s="74">
        <v>0.8</v>
      </c>
      <c r="G146" s="4">
        <v>1.1000000000000001</v>
      </c>
      <c r="H146" s="74">
        <v>0.5</v>
      </c>
      <c r="I146" s="74">
        <v>0</v>
      </c>
      <c r="J146" s="74">
        <v>0.2</v>
      </c>
      <c r="K146" s="74">
        <v>-0.2</v>
      </c>
      <c r="L146" s="74">
        <v>-0.1</v>
      </c>
      <c r="M146" s="74">
        <v>0.3</v>
      </c>
      <c r="N146" s="74">
        <v>0.3</v>
      </c>
      <c r="O146" s="74">
        <v>0.1</v>
      </c>
      <c r="P146" s="74">
        <v>1.3</v>
      </c>
      <c r="Q146" s="74">
        <v>0.9</v>
      </c>
      <c r="R146" s="74">
        <v>0.7</v>
      </c>
      <c r="S146" s="77">
        <v>1.2</v>
      </c>
    </row>
    <row r="147" spans="1:26" x14ac:dyDescent="0.15">
      <c r="F147" s="4"/>
    </row>
    <row r="148" spans="1:26" s="74" customFormat="1" x14ac:dyDescent="0.15">
      <c r="B148" s="71" t="s">
        <v>254</v>
      </c>
      <c r="C148" s="71" t="s">
        <v>255</v>
      </c>
      <c r="D148" s="71" t="s">
        <v>256</v>
      </c>
      <c r="E148" s="71" t="s">
        <v>257</v>
      </c>
      <c r="F148" s="71" t="s">
        <v>258</v>
      </c>
      <c r="G148" s="71" t="s">
        <v>259</v>
      </c>
      <c r="H148" s="71" t="s">
        <v>260</v>
      </c>
      <c r="I148" s="71" t="s">
        <v>261</v>
      </c>
      <c r="J148" s="71" t="s">
        <v>262</v>
      </c>
      <c r="K148" s="71" t="s">
        <v>263</v>
      </c>
      <c r="L148" s="71" t="s">
        <v>264</v>
      </c>
      <c r="M148" s="71" t="s">
        <v>265</v>
      </c>
      <c r="N148" s="71" t="s">
        <v>252</v>
      </c>
      <c r="O148" s="71" t="s">
        <v>266</v>
      </c>
      <c r="P148" s="71" t="s">
        <v>267</v>
      </c>
      <c r="Q148" s="71" t="s">
        <v>268</v>
      </c>
      <c r="R148" s="71" t="s">
        <v>269</v>
      </c>
      <c r="S148" s="71" t="s">
        <v>270</v>
      </c>
      <c r="T148" s="71" t="s">
        <v>271</v>
      </c>
      <c r="U148" s="71" t="s">
        <v>272</v>
      </c>
      <c r="V148" s="71" t="s">
        <v>273</v>
      </c>
      <c r="W148" s="71" t="s">
        <v>274</v>
      </c>
      <c r="X148" s="71" t="s">
        <v>275</v>
      </c>
      <c r="Y148" s="71" t="s">
        <v>276</v>
      </c>
    </row>
    <row r="149" spans="1:26" ht="45" x14ac:dyDescent="0.15">
      <c r="A149" s="74" t="s">
        <v>317</v>
      </c>
      <c r="C149" s="1">
        <v>11.6</v>
      </c>
      <c r="D149" s="1">
        <v>11.8</v>
      </c>
      <c r="E149" s="1">
        <v>11.9</v>
      </c>
      <c r="F149" s="4">
        <v>11.2</v>
      </c>
      <c r="G149" s="1">
        <v>10.9</v>
      </c>
      <c r="H149" s="1">
        <v>10.6</v>
      </c>
      <c r="I149" s="1">
        <v>10.5</v>
      </c>
      <c r="J149" s="1">
        <v>10.5</v>
      </c>
      <c r="K149" s="1">
        <v>10.3</v>
      </c>
      <c r="L149" s="1">
        <v>10.199999999999999</v>
      </c>
      <c r="M149" s="1">
        <v>9.9</v>
      </c>
      <c r="O149" s="1">
        <v>-16.3</v>
      </c>
      <c r="P149" s="1">
        <v>-7.7</v>
      </c>
      <c r="Q149" s="1">
        <v>-3.3</v>
      </c>
      <c r="R149" s="1">
        <v>-0.3</v>
      </c>
      <c r="S149" s="1">
        <v>1.9</v>
      </c>
    </row>
    <row r="150" spans="1:26" ht="30" x14ac:dyDescent="0.15">
      <c r="A150" s="74" t="s">
        <v>318</v>
      </c>
      <c r="C150" s="1">
        <v>-3.6</v>
      </c>
      <c r="D150" s="1">
        <v>-0.9</v>
      </c>
      <c r="E150" s="1">
        <v>-0.3</v>
      </c>
      <c r="F150" s="4">
        <v>-1.6</v>
      </c>
      <c r="G150" s="1">
        <v>-1.8</v>
      </c>
      <c r="H150" s="1">
        <v>-1.3</v>
      </c>
      <c r="I150" s="1">
        <v>-0.6</v>
      </c>
      <c r="J150" s="1">
        <v>-0.1</v>
      </c>
      <c r="K150" s="1">
        <v>0.1</v>
      </c>
      <c r="L150" s="1">
        <v>0.2</v>
      </c>
      <c r="M150" s="1">
        <v>-0.1</v>
      </c>
      <c r="O150" s="1">
        <v>-39.9</v>
      </c>
      <c r="P150" s="1">
        <v>-26.3</v>
      </c>
      <c r="Q150" s="1">
        <v>-19.3</v>
      </c>
      <c r="R150" s="1">
        <v>-12.3</v>
      </c>
      <c r="S150" s="1">
        <v>-8.4</v>
      </c>
    </row>
    <row r="151" spans="1:26" ht="30" x14ac:dyDescent="0.15">
      <c r="A151" s="74" t="s">
        <v>319</v>
      </c>
      <c r="C151" s="1">
        <v>2.8</v>
      </c>
      <c r="D151" s="1">
        <v>5.6</v>
      </c>
      <c r="E151" s="1">
        <v>8.1</v>
      </c>
      <c r="F151" s="4">
        <v>6.1</v>
      </c>
      <c r="G151" s="1">
        <v>5.6</v>
      </c>
      <c r="H151" s="1">
        <v>6.2</v>
      </c>
      <c r="I151" s="1">
        <v>6.7</v>
      </c>
      <c r="J151" s="1">
        <v>7.1</v>
      </c>
      <c r="K151" s="1">
        <v>7.3</v>
      </c>
      <c r="L151" s="1">
        <v>7.3</v>
      </c>
      <c r="M151" s="1">
        <v>6.5</v>
      </c>
      <c r="O151" s="1">
        <v>-35.9</v>
      </c>
      <c r="P151" s="1">
        <v>-24.7</v>
      </c>
      <c r="Q151" s="1">
        <v>-18.600000000000001</v>
      </c>
      <c r="R151" s="1">
        <v>-10.6</v>
      </c>
      <c r="S151" s="1">
        <v>-5.4</v>
      </c>
    </row>
    <row r="152" spans="1:26" x14ac:dyDescent="0.15">
      <c r="F152" s="4"/>
    </row>
    <row r="153" spans="1:26" s="77" customFormat="1" ht="30" x14ac:dyDescent="0.15">
      <c r="A153" s="77" t="s">
        <v>344</v>
      </c>
      <c r="B153" s="71"/>
      <c r="C153" s="71" t="s">
        <v>254</v>
      </c>
      <c r="D153" s="71" t="s">
        <v>255</v>
      </c>
      <c r="E153" s="71" t="s">
        <v>256</v>
      </c>
      <c r="F153" s="71" t="s">
        <v>257</v>
      </c>
      <c r="G153" s="71" t="s">
        <v>258</v>
      </c>
      <c r="H153" s="71" t="s">
        <v>259</v>
      </c>
      <c r="I153" s="71" t="s">
        <v>260</v>
      </c>
      <c r="J153" s="71" t="s">
        <v>261</v>
      </c>
      <c r="K153" s="71" t="s">
        <v>262</v>
      </c>
      <c r="L153" s="71" t="s">
        <v>263</v>
      </c>
      <c r="M153" s="71" t="s">
        <v>264</v>
      </c>
      <c r="N153" s="71" t="s">
        <v>265</v>
      </c>
      <c r="O153" s="71" t="s">
        <v>252</v>
      </c>
      <c r="P153" s="71" t="s">
        <v>266</v>
      </c>
      <c r="Q153" s="71" t="s">
        <v>267</v>
      </c>
      <c r="R153" s="71" t="s">
        <v>268</v>
      </c>
      <c r="S153" s="71" t="s">
        <v>269</v>
      </c>
      <c r="T153" s="71" t="s">
        <v>270</v>
      </c>
      <c r="U153" s="71" t="s">
        <v>271</v>
      </c>
      <c r="V153" s="71" t="s">
        <v>272</v>
      </c>
      <c r="W153" s="71" t="s">
        <v>273</v>
      </c>
      <c r="X153" s="71" t="s">
        <v>274</v>
      </c>
      <c r="Y153" s="71" t="s">
        <v>275</v>
      </c>
      <c r="Z153" s="71" t="s">
        <v>276</v>
      </c>
    </row>
    <row r="154" spans="1:26" s="77" customFormat="1" x14ac:dyDescent="0.15">
      <c r="A154" s="89" t="s">
        <v>341</v>
      </c>
      <c r="B154" s="71" t="s">
        <v>339</v>
      </c>
      <c r="C154" s="77">
        <v>-14.4</v>
      </c>
      <c r="D154" s="77">
        <v>-20.8</v>
      </c>
      <c r="E154" s="77">
        <v>-5</v>
      </c>
      <c r="F154" s="4">
        <v>-17</v>
      </c>
      <c r="G154" s="77">
        <v>-23.7</v>
      </c>
      <c r="H154" s="77">
        <v>-17.2</v>
      </c>
      <c r="I154" s="77">
        <v>-11.7</v>
      </c>
      <c r="J154" s="77">
        <v>-0.7</v>
      </c>
      <c r="K154" s="77">
        <v>-7.9</v>
      </c>
      <c r="L154" s="77">
        <v>-3.2</v>
      </c>
      <c r="M154" s="77">
        <v>1.9</v>
      </c>
      <c r="N154" s="77">
        <v>6.4</v>
      </c>
      <c r="O154" s="77">
        <v>-27.6</v>
      </c>
      <c r="P154" s="77">
        <v>-82.9</v>
      </c>
      <c r="Q154" s="77">
        <v>-49.9</v>
      </c>
      <c r="R154" s="77">
        <v>-4.5999999999999996</v>
      </c>
      <c r="S154" s="77">
        <v>11.2</v>
      </c>
      <c r="T154" s="77">
        <v>12.2</v>
      </c>
    </row>
    <row r="155" spans="1:26" s="77" customFormat="1" ht="17" x14ac:dyDescent="0.15">
      <c r="A155" s="90"/>
      <c r="B155" s="71" t="s">
        <v>340</v>
      </c>
      <c r="C155" s="77">
        <v>-17.7</v>
      </c>
      <c r="D155" s="77">
        <v>-17.399999999999999</v>
      </c>
      <c r="E155" s="77">
        <v>-6.9</v>
      </c>
      <c r="F155" s="4">
        <v>-17.7</v>
      </c>
      <c r="G155" s="77">
        <v>-17.399999999999999</v>
      </c>
      <c r="H155" s="77">
        <v>-7.8</v>
      </c>
      <c r="I155" s="77">
        <v>-3.9</v>
      </c>
      <c r="J155" s="77">
        <v>-7.7</v>
      </c>
      <c r="K155" s="77">
        <v>-6.3</v>
      </c>
      <c r="L155" s="77">
        <v>-5.8</v>
      </c>
      <c r="M155" s="77">
        <v>-5.4</v>
      </c>
      <c r="N155" s="77">
        <v>-0.9</v>
      </c>
      <c r="O155" s="77">
        <v>-20.2</v>
      </c>
      <c r="P155" s="82">
        <v>-81.7</v>
      </c>
      <c r="Q155" s="77">
        <v>-48.4</v>
      </c>
      <c r="R155" s="77">
        <v>-2.6</v>
      </c>
      <c r="S155" s="77">
        <v>7</v>
      </c>
      <c r="T155" s="77">
        <v>1.8</v>
      </c>
    </row>
    <row r="156" spans="1:26" s="77" customFormat="1" x14ac:dyDescent="0.15">
      <c r="A156" s="89" t="s">
        <v>342</v>
      </c>
      <c r="B156" s="71" t="s">
        <v>339</v>
      </c>
      <c r="C156" s="77">
        <v>3.2</v>
      </c>
      <c r="D156" s="77">
        <v>1</v>
      </c>
      <c r="E156" s="77">
        <v>8.6999999999999993</v>
      </c>
      <c r="F156" s="4">
        <v>-1.8</v>
      </c>
      <c r="G156" s="77">
        <v>-8.5</v>
      </c>
      <c r="H156" s="77">
        <v>-17.5</v>
      </c>
      <c r="I156" s="77">
        <v>-12.7</v>
      </c>
      <c r="J156" s="77">
        <v>0.9</v>
      </c>
      <c r="K156" s="77">
        <v>4</v>
      </c>
      <c r="L156" s="77">
        <v>7.7</v>
      </c>
      <c r="M156" s="77">
        <v>14.6</v>
      </c>
      <c r="N156" s="77">
        <v>16.399999999999999</v>
      </c>
      <c r="O156" s="77">
        <v>-7.8</v>
      </c>
      <c r="P156" s="77">
        <v>-66.900000000000006</v>
      </c>
      <c r="Q156" s="77">
        <v>-20.3</v>
      </c>
      <c r="R156" s="77">
        <v>31.3</v>
      </c>
      <c r="S156" s="77">
        <v>47.7</v>
      </c>
      <c r="T156" s="77">
        <v>77.900000000000006</v>
      </c>
    </row>
    <row r="157" spans="1:26" ht="17" x14ac:dyDescent="0.15">
      <c r="A157" s="90"/>
      <c r="B157" s="71" t="s">
        <v>340</v>
      </c>
      <c r="C157" s="1">
        <v>-2.2000000000000002</v>
      </c>
      <c r="D157" s="4">
        <v>8</v>
      </c>
      <c r="E157" s="1">
        <v>2.4</v>
      </c>
      <c r="F157" s="1">
        <v>0.1</v>
      </c>
      <c r="G157" s="1">
        <v>-11.8</v>
      </c>
      <c r="H157" s="1">
        <v>-17.8</v>
      </c>
      <c r="I157" s="1">
        <v>6.4</v>
      </c>
      <c r="J157" s="1">
        <v>-2.8</v>
      </c>
      <c r="K157" s="1">
        <v>1.9</v>
      </c>
      <c r="L157" s="1">
        <v>7</v>
      </c>
      <c r="M157" s="1">
        <v>6.9</v>
      </c>
      <c r="N157" s="1">
        <v>3.9</v>
      </c>
      <c r="O157" s="1">
        <v>-5.7</v>
      </c>
      <c r="P157" s="82">
        <v>-67.099999999999994</v>
      </c>
      <c r="Q157" s="77">
        <v>-22.6</v>
      </c>
      <c r="R157" s="77">
        <v>12.4</v>
      </c>
      <c r="S157" s="77">
        <v>48</v>
      </c>
      <c r="T157" s="1">
        <v>63.1</v>
      </c>
    </row>
    <row r="158" spans="1:26" x14ac:dyDescent="0.15">
      <c r="A158" s="89" t="s">
        <v>343</v>
      </c>
      <c r="B158" s="71" t="s">
        <v>339</v>
      </c>
      <c r="C158" s="1">
        <v>113</v>
      </c>
      <c r="D158" s="1">
        <v>50.9</v>
      </c>
      <c r="E158" s="4">
        <v>88.6</v>
      </c>
      <c r="F158" s="1">
        <v>25</v>
      </c>
      <c r="G158" s="1">
        <v>16.899999999999999</v>
      </c>
      <c r="H158" s="1">
        <v>56.3</v>
      </c>
      <c r="I158" s="1">
        <v>-6.9</v>
      </c>
      <c r="J158" s="1">
        <v>-12.1</v>
      </c>
      <c r="K158" s="1">
        <v>-29.9</v>
      </c>
      <c r="L158" s="1">
        <v>-35.4</v>
      </c>
      <c r="M158" s="1">
        <v>-36.9</v>
      </c>
      <c r="N158" s="1">
        <v>-30.3</v>
      </c>
      <c r="O158" s="1">
        <v>-55.4</v>
      </c>
      <c r="P158" s="1">
        <v>-82.9</v>
      </c>
      <c r="Q158" s="77">
        <v>-56.9</v>
      </c>
      <c r="R158" s="77">
        <v>-22.1</v>
      </c>
      <c r="S158" s="77">
        <v>-25.8</v>
      </c>
      <c r="T158" s="1">
        <v>-25</v>
      </c>
    </row>
    <row r="159" spans="1:26" x14ac:dyDescent="0.15">
      <c r="A159" s="90"/>
      <c r="B159" s="71" t="s">
        <v>340</v>
      </c>
      <c r="C159" s="1">
        <v>138</v>
      </c>
      <c r="D159" s="1">
        <v>53.6</v>
      </c>
      <c r="E159" s="4">
        <v>85.4</v>
      </c>
      <c r="F159" s="1">
        <v>18.100000000000001</v>
      </c>
      <c r="G159" s="1">
        <v>1.8</v>
      </c>
      <c r="H159" s="1">
        <v>80</v>
      </c>
      <c r="I159" s="1">
        <v>-4.7</v>
      </c>
      <c r="J159" s="1">
        <v>-15.8</v>
      </c>
      <c r="K159" s="1">
        <v>-34.200000000000003</v>
      </c>
      <c r="L159" s="1">
        <v>-45.6</v>
      </c>
      <c r="M159" s="1">
        <v>43.7</v>
      </c>
      <c r="N159" s="1">
        <v>-27.4</v>
      </c>
      <c r="O159" s="1">
        <v>-54.4</v>
      </c>
      <c r="P159" s="1">
        <v>-75.2</v>
      </c>
      <c r="Q159" s="77">
        <v>-53.2</v>
      </c>
      <c r="R159" s="77">
        <v>-26.5</v>
      </c>
      <c r="S159" s="77">
        <v>-23.5</v>
      </c>
      <c r="T159" s="1">
        <v>-33.1</v>
      </c>
    </row>
    <row r="160" spans="1:26" x14ac:dyDescent="0.15">
      <c r="F160" s="4"/>
    </row>
    <row r="161" spans="1:26" s="86" customFormat="1" ht="30" x14ac:dyDescent="0.15">
      <c r="A161" s="86" t="s">
        <v>351</v>
      </c>
      <c r="B161" s="85"/>
      <c r="C161" s="85" t="s">
        <v>254</v>
      </c>
      <c r="D161" s="85" t="s">
        <v>255</v>
      </c>
      <c r="E161" s="85" t="s">
        <v>256</v>
      </c>
      <c r="F161" s="85" t="s">
        <v>257</v>
      </c>
      <c r="G161" s="85" t="s">
        <v>258</v>
      </c>
      <c r="H161" s="85" t="s">
        <v>259</v>
      </c>
      <c r="I161" s="85" t="s">
        <v>260</v>
      </c>
      <c r="J161" s="85" t="s">
        <v>261</v>
      </c>
      <c r="K161" s="85" t="s">
        <v>262</v>
      </c>
      <c r="L161" s="85" t="s">
        <v>263</v>
      </c>
      <c r="M161" s="85" t="s">
        <v>264</v>
      </c>
      <c r="N161" s="85" t="s">
        <v>265</v>
      </c>
      <c r="O161" s="85" t="s">
        <v>252</v>
      </c>
      <c r="P161" s="85" t="s">
        <v>266</v>
      </c>
      <c r="Q161" s="85" t="s">
        <v>267</v>
      </c>
      <c r="R161" s="85" t="s">
        <v>268</v>
      </c>
      <c r="S161" s="85" t="s">
        <v>269</v>
      </c>
      <c r="T161" s="85" t="s">
        <v>270</v>
      </c>
      <c r="U161" s="85" t="s">
        <v>271</v>
      </c>
      <c r="V161" s="85" t="s">
        <v>272</v>
      </c>
      <c r="W161" s="85" t="s">
        <v>273</v>
      </c>
      <c r="X161" s="85" t="s">
        <v>274</v>
      </c>
      <c r="Y161" s="85" t="s">
        <v>275</v>
      </c>
      <c r="Z161" s="85" t="s">
        <v>276</v>
      </c>
    </row>
    <row r="162" spans="1:26" ht="30" x14ac:dyDescent="0.15">
      <c r="A162" s="1" t="s">
        <v>347</v>
      </c>
      <c r="F162" s="4"/>
    </row>
    <row r="163" spans="1:26" ht="45" x14ac:dyDescent="0.15">
      <c r="A163" s="1" t="s">
        <v>350</v>
      </c>
      <c r="F163" s="4"/>
    </row>
    <row r="164" spans="1:26" ht="30" x14ac:dyDescent="0.15">
      <c r="A164" s="1" t="s">
        <v>348</v>
      </c>
      <c r="F164" s="4"/>
    </row>
    <row r="165" spans="1:26" ht="30" x14ac:dyDescent="0.15">
      <c r="A165" s="1" t="s">
        <v>349</v>
      </c>
      <c r="F165" s="4"/>
    </row>
    <row r="166" spans="1:26" s="86" customFormat="1" x14ac:dyDescent="0.15">
      <c r="F166" s="4"/>
    </row>
    <row r="167" spans="1:26" s="86" customFormat="1" ht="45" x14ac:dyDescent="0.15">
      <c r="A167" s="86" t="s">
        <v>355</v>
      </c>
      <c r="B167" s="85"/>
      <c r="C167" s="85" t="s">
        <v>254</v>
      </c>
      <c r="D167" s="85" t="s">
        <v>255</v>
      </c>
      <c r="E167" s="85" t="s">
        <v>256</v>
      </c>
      <c r="F167" s="85" t="s">
        <v>257</v>
      </c>
      <c r="G167" s="85" t="s">
        <v>258</v>
      </c>
      <c r="H167" s="85" t="s">
        <v>259</v>
      </c>
      <c r="I167" s="85" t="s">
        <v>260</v>
      </c>
      <c r="J167" s="85" t="s">
        <v>261</v>
      </c>
      <c r="K167" s="85" t="s">
        <v>262</v>
      </c>
      <c r="L167" s="85" t="s">
        <v>263</v>
      </c>
      <c r="M167" s="85" t="s">
        <v>264</v>
      </c>
      <c r="N167" s="85" t="s">
        <v>265</v>
      </c>
      <c r="O167" s="85" t="s">
        <v>252</v>
      </c>
      <c r="P167" s="85" t="s">
        <v>266</v>
      </c>
      <c r="Q167" s="85" t="s">
        <v>267</v>
      </c>
      <c r="R167" s="85" t="s">
        <v>268</v>
      </c>
      <c r="S167" s="85" t="s">
        <v>269</v>
      </c>
      <c r="T167" s="85" t="s">
        <v>270</v>
      </c>
      <c r="U167" s="85" t="s">
        <v>271</v>
      </c>
      <c r="V167" s="85" t="s">
        <v>272</v>
      </c>
      <c r="W167" s="85" t="s">
        <v>273</v>
      </c>
      <c r="X167" s="85" t="s">
        <v>274</v>
      </c>
      <c r="Y167" s="85" t="s">
        <v>275</v>
      </c>
      <c r="Z167" s="85" t="s">
        <v>276</v>
      </c>
    </row>
    <row r="168" spans="1:26" x14ac:dyDescent="0.15">
      <c r="F168" s="4"/>
    </row>
    <row r="169" spans="1:26" s="86" customFormat="1" ht="30" x14ac:dyDescent="0.15">
      <c r="A169" s="86" t="s">
        <v>354</v>
      </c>
      <c r="B169" s="85"/>
      <c r="C169" s="85" t="s">
        <v>254</v>
      </c>
      <c r="D169" s="85" t="s">
        <v>255</v>
      </c>
      <c r="E169" s="85" t="s">
        <v>256</v>
      </c>
      <c r="F169" s="85" t="s">
        <v>257</v>
      </c>
      <c r="G169" s="85" t="s">
        <v>258</v>
      </c>
      <c r="H169" s="85" t="s">
        <v>259</v>
      </c>
      <c r="I169" s="85" t="s">
        <v>260</v>
      </c>
      <c r="J169" s="85" t="s">
        <v>261</v>
      </c>
      <c r="K169" s="85" t="s">
        <v>262</v>
      </c>
      <c r="L169" s="85" t="s">
        <v>263</v>
      </c>
      <c r="M169" s="85" t="s">
        <v>264</v>
      </c>
      <c r="N169" s="85" t="s">
        <v>265</v>
      </c>
      <c r="O169" s="85" t="s">
        <v>252</v>
      </c>
      <c r="P169" s="85" t="s">
        <v>266</v>
      </c>
      <c r="Q169" s="85" t="s">
        <v>267</v>
      </c>
      <c r="R169" s="85" t="s">
        <v>268</v>
      </c>
      <c r="S169" s="85" t="s">
        <v>269</v>
      </c>
      <c r="T169" s="85" t="s">
        <v>270</v>
      </c>
      <c r="U169" s="85" t="s">
        <v>271</v>
      </c>
      <c r="V169" s="85" t="s">
        <v>272</v>
      </c>
      <c r="W169" s="85" t="s">
        <v>273</v>
      </c>
      <c r="X169" s="85" t="s">
        <v>274</v>
      </c>
      <c r="Y169" s="85" t="s">
        <v>275</v>
      </c>
      <c r="Z169" s="85" t="s">
        <v>276</v>
      </c>
    </row>
    <row r="170" spans="1:26" x14ac:dyDescent="0.15">
      <c r="F170" s="4"/>
    </row>
    <row r="171" spans="1:26" s="86" customFormat="1" ht="45" x14ac:dyDescent="0.15">
      <c r="A171" s="86" t="s">
        <v>352</v>
      </c>
      <c r="B171" s="85"/>
      <c r="C171" s="85" t="s">
        <v>254</v>
      </c>
      <c r="D171" s="85" t="s">
        <v>255</v>
      </c>
      <c r="E171" s="85" t="s">
        <v>256</v>
      </c>
      <c r="F171" s="85" t="s">
        <v>257</v>
      </c>
      <c r="G171" s="85" t="s">
        <v>258</v>
      </c>
      <c r="H171" s="85" t="s">
        <v>259</v>
      </c>
      <c r="I171" s="85" t="s">
        <v>260</v>
      </c>
      <c r="J171" s="85" t="s">
        <v>261</v>
      </c>
      <c r="K171" s="85" t="s">
        <v>262</v>
      </c>
      <c r="L171" s="85" t="s">
        <v>263</v>
      </c>
      <c r="M171" s="85" t="s">
        <v>264</v>
      </c>
      <c r="N171" s="85" t="s">
        <v>265</v>
      </c>
      <c r="O171" s="85" t="s">
        <v>252</v>
      </c>
      <c r="P171" s="85" t="s">
        <v>266</v>
      </c>
      <c r="Q171" s="85" t="s">
        <v>267</v>
      </c>
      <c r="R171" s="85" t="s">
        <v>268</v>
      </c>
      <c r="S171" s="85" t="s">
        <v>269</v>
      </c>
      <c r="T171" s="85" t="s">
        <v>270</v>
      </c>
      <c r="U171" s="85" t="s">
        <v>271</v>
      </c>
      <c r="V171" s="85" t="s">
        <v>272</v>
      </c>
      <c r="W171" s="85" t="s">
        <v>273</v>
      </c>
      <c r="X171" s="85" t="s">
        <v>274</v>
      </c>
      <c r="Y171" s="85" t="s">
        <v>275</v>
      </c>
      <c r="Z171" s="85" t="s">
        <v>276</v>
      </c>
    </row>
    <row r="172" spans="1:26" x14ac:dyDescent="0.15">
      <c r="F172" s="4"/>
    </row>
    <row r="173" spans="1:26" s="86" customFormat="1" ht="30" x14ac:dyDescent="0.15">
      <c r="A173" s="86" t="s">
        <v>353</v>
      </c>
      <c r="B173" s="85"/>
      <c r="C173" s="85" t="s">
        <v>254</v>
      </c>
      <c r="D173" s="85" t="s">
        <v>255</v>
      </c>
      <c r="E173" s="85" t="s">
        <v>256</v>
      </c>
      <c r="F173" s="85" t="s">
        <v>257</v>
      </c>
      <c r="G173" s="85" t="s">
        <v>258</v>
      </c>
      <c r="H173" s="85" t="s">
        <v>259</v>
      </c>
      <c r="I173" s="85" t="s">
        <v>260</v>
      </c>
      <c r="J173" s="85" t="s">
        <v>261</v>
      </c>
      <c r="K173" s="85" t="s">
        <v>262</v>
      </c>
      <c r="L173" s="85" t="s">
        <v>263</v>
      </c>
      <c r="M173" s="85" t="s">
        <v>264</v>
      </c>
      <c r="N173" s="85" t="s">
        <v>265</v>
      </c>
      <c r="O173" s="85" t="s">
        <v>252</v>
      </c>
      <c r="P173" s="85" t="s">
        <v>266</v>
      </c>
      <c r="Q173" s="85" t="s">
        <v>267</v>
      </c>
      <c r="R173" s="85" t="s">
        <v>268</v>
      </c>
      <c r="S173" s="85" t="s">
        <v>269</v>
      </c>
      <c r="T173" s="85" t="s">
        <v>270</v>
      </c>
      <c r="U173" s="85" t="s">
        <v>271</v>
      </c>
      <c r="V173" s="85" t="s">
        <v>272</v>
      </c>
      <c r="W173" s="85" t="s">
        <v>273</v>
      </c>
      <c r="X173" s="85" t="s">
        <v>274</v>
      </c>
      <c r="Y173" s="85" t="s">
        <v>275</v>
      </c>
      <c r="Z173" s="85" t="s">
        <v>276</v>
      </c>
    </row>
    <row r="174" spans="1:26" x14ac:dyDescent="0.15">
      <c r="F174" s="4"/>
    </row>
    <row r="175" spans="1:26" x14ac:dyDescent="0.15">
      <c r="F175" s="4"/>
    </row>
    <row r="176" spans="1:26" x14ac:dyDescent="0.15">
      <c r="F176" s="4"/>
    </row>
    <row r="177" spans="6:6" x14ac:dyDescent="0.15">
      <c r="F177" s="4"/>
    </row>
    <row r="178" spans="6:6" x14ac:dyDescent="0.15">
      <c r="F178" s="4"/>
    </row>
    <row r="179" spans="6:6" x14ac:dyDescent="0.15">
      <c r="F179" s="4"/>
    </row>
    <row r="180" spans="6:6" x14ac:dyDescent="0.15">
      <c r="F180" s="4"/>
    </row>
    <row r="181" spans="6:6" x14ac:dyDescent="0.15">
      <c r="F181" s="4"/>
    </row>
    <row r="182" spans="6:6" x14ac:dyDescent="0.15">
      <c r="F182" s="4"/>
    </row>
    <row r="183" spans="6:6" x14ac:dyDescent="0.15">
      <c r="F183" s="4"/>
    </row>
    <row r="184" spans="6:6" x14ac:dyDescent="0.15">
      <c r="F184" s="4"/>
    </row>
    <row r="185" spans="6:6" x14ac:dyDescent="0.15">
      <c r="F185" s="4"/>
    </row>
    <row r="186" spans="6:6" x14ac:dyDescent="0.15">
      <c r="F186" s="4"/>
    </row>
    <row r="187" spans="6:6" x14ac:dyDescent="0.15">
      <c r="F187" s="4"/>
    </row>
    <row r="188" spans="6:6" x14ac:dyDescent="0.15">
      <c r="F188" s="4"/>
    </row>
    <row r="189" spans="6:6" x14ac:dyDescent="0.15">
      <c r="F189" s="4"/>
    </row>
    <row r="190" spans="6:6" x14ac:dyDescent="0.15">
      <c r="F190" s="4"/>
    </row>
    <row r="191" spans="6:6" x14ac:dyDescent="0.15">
      <c r="F191" s="4"/>
    </row>
    <row r="192" spans="6:6" x14ac:dyDescent="0.15">
      <c r="F192" s="4"/>
    </row>
    <row r="193" spans="6:6" x14ac:dyDescent="0.15">
      <c r="F193" s="4"/>
    </row>
    <row r="194" spans="6:6" x14ac:dyDescent="0.15">
      <c r="F194" s="4"/>
    </row>
    <row r="195" spans="6:6" x14ac:dyDescent="0.15">
      <c r="F195" s="4"/>
    </row>
    <row r="196" spans="6:6" x14ac:dyDescent="0.15">
      <c r="F196" s="4"/>
    </row>
    <row r="197" spans="6:6" x14ac:dyDescent="0.15">
      <c r="F197" s="4"/>
    </row>
    <row r="198" spans="6:6" x14ac:dyDescent="0.15">
      <c r="F198" s="4"/>
    </row>
    <row r="199" spans="6:6" x14ac:dyDescent="0.15">
      <c r="F199" s="4"/>
    </row>
    <row r="200" spans="6:6" x14ac:dyDescent="0.15">
      <c r="F200" s="4"/>
    </row>
    <row r="201" spans="6:6" x14ac:dyDescent="0.15">
      <c r="F201" s="4"/>
    </row>
    <row r="202" spans="6:6" x14ac:dyDescent="0.15">
      <c r="F202" s="4"/>
    </row>
    <row r="203" spans="6:6" x14ac:dyDescent="0.15">
      <c r="F203" s="4"/>
    </row>
    <row r="204" spans="6:6" x14ac:dyDescent="0.15">
      <c r="F204" s="4"/>
    </row>
    <row r="205" spans="6:6" x14ac:dyDescent="0.15">
      <c r="F205" s="4"/>
    </row>
    <row r="206" spans="6:6" x14ac:dyDescent="0.15">
      <c r="F206" s="4"/>
    </row>
    <row r="207" spans="6:6" x14ac:dyDescent="0.15">
      <c r="F207" s="4"/>
    </row>
    <row r="208" spans="6:6" x14ac:dyDescent="0.15">
      <c r="F208" s="4"/>
    </row>
    <row r="209" spans="6:6" x14ac:dyDescent="0.15">
      <c r="F209" s="4"/>
    </row>
    <row r="210" spans="6:6" x14ac:dyDescent="0.15">
      <c r="F210" s="4"/>
    </row>
    <row r="211" spans="6:6" x14ac:dyDescent="0.15">
      <c r="F211" s="4"/>
    </row>
    <row r="212" spans="6:6" x14ac:dyDescent="0.15">
      <c r="F212" s="4"/>
    </row>
    <row r="213" spans="6:6" x14ac:dyDescent="0.15">
      <c r="F213" s="4"/>
    </row>
    <row r="214" spans="6:6" x14ac:dyDescent="0.15">
      <c r="F214" s="4"/>
    </row>
    <row r="215" spans="6:6" x14ac:dyDescent="0.15">
      <c r="F215" s="4"/>
    </row>
    <row r="216" spans="6:6" x14ac:dyDescent="0.15">
      <c r="F216" s="4"/>
    </row>
    <row r="217" spans="6:6" x14ac:dyDescent="0.15">
      <c r="F217" s="4"/>
    </row>
    <row r="218" spans="6:6" x14ac:dyDescent="0.15">
      <c r="F218" s="4"/>
    </row>
    <row r="219" spans="6:6" x14ac:dyDescent="0.15">
      <c r="F219" s="4"/>
    </row>
    <row r="220" spans="6:6" x14ac:dyDescent="0.15">
      <c r="F220" s="4"/>
    </row>
    <row r="221" spans="6:6" x14ac:dyDescent="0.15">
      <c r="F221" s="4"/>
    </row>
    <row r="222" spans="6:6" x14ac:dyDescent="0.15">
      <c r="F222" s="4"/>
    </row>
    <row r="223" spans="6:6" x14ac:dyDescent="0.15">
      <c r="F223" s="4"/>
    </row>
    <row r="224" spans="6:6" x14ac:dyDescent="0.15">
      <c r="F224" s="4"/>
    </row>
    <row r="225" spans="6:6" x14ac:dyDescent="0.15">
      <c r="F225" s="4"/>
    </row>
    <row r="226" spans="6:6" x14ac:dyDescent="0.15">
      <c r="F226" s="4"/>
    </row>
    <row r="227" spans="6:6" x14ac:dyDescent="0.15">
      <c r="F227" s="4"/>
    </row>
    <row r="228" spans="6:6" x14ac:dyDescent="0.15">
      <c r="F228" s="4"/>
    </row>
    <row r="229" spans="6:6" x14ac:dyDescent="0.15">
      <c r="F229" s="4"/>
    </row>
    <row r="230" spans="6:6" x14ac:dyDescent="0.15">
      <c r="F230" s="4"/>
    </row>
    <row r="231" spans="6:6" x14ac:dyDescent="0.15">
      <c r="F231" s="4"/>
    </row>
    <row r="232" spans="6:6" x14ac:dyDescent="0.15">
      <c r="F232" s="4"/>
    </row>
    <row r="233" spans="6:6" x14ac:dyDescent="0.15">
      <c r="F233" s="4"/>
    </row>
    <row r="234" spans="6:6" x14ac:dyDescent="0.15">
      <c r="F234" s="4"/>
    </row>
    <row r="235" spans="6:6" x14ac:dyDescent="0.15">
      <c r="F235" s="4"/>
    </row>
    <row r="236" spans="6:6" x14ac:dyDescent="0.15">
      <c r="F236" s="4"/>
    </row>
    <row r="237" spans="6:6" x14ac:dyDescent="0.15">
      <c r="F237" s="4"/>
    </row>
    <row r="238" spans="6:6" x14ac:dyDescent="0.15">
      <c r="F238" s="4"/>
    </row>
    <row r="239" spans="6:6" x14ac:dyDescent="0.15">
      <c r="F239" s="4"/>
    </row>
    <row r="240" spans="6:6" x14ac:dyDescent="0.15">
      <c r="F240" s="4"/>
    </row>
    <row r="241" spans="6:6" x14ac:dyDescent="0.15">
      <c r="F241" s="4"/>
    </row>
    <row r="242" spans="6:6" x14ac:dyDescent="0.15">
      <c r="F242" s="4"/>
    </row>
    <row r="243" spans="6:6" x14ac:dyDescent="0.15">
      <c r="F243" s="4"/>
    </row>
    <row r="244" spans="6:6" x14ac:dyDescent="0.15">
      <c r="F244" s="4"/>
    </row>
    <row r="245" spans="6:6" x14ac:dyDescent="0.15">
      <c r="F245" s="4"/>
    </row>
    <row r="246" spans="6:6" x14ac:dyDescent="0.15">
      <c r="F246" s="4"/>
    </row>
    <row r="247" spans="6:6" x14ac:dyDescent="0.15">
      <c r="F247" s="4"/>
    </row>
    <row r="248" spans="6:6" x14ac:dyDescent="0.15">
      <c r="F248" s="4"/>
    </row>
    <row r="249" spans="6:6" x14ac:dyDescent="0.15">
      <c r="F249" s="4"/>
    </row>
    <row r="250" spans="6:6" x14ac:dyDescent="0.15">
      <c r="F250" s="4"/>
    </row>
    <row r="251" spans="6:6" x14ac:dyDescent="0.15">
      <c r="F251" s="4"/>
    </row>
    <row r="252" spans="6:6" x14ac:dyDescent="0.15">
      <c r="F252" s="4"/>
    </row>
    <row r="253" spans="6:6" x14ac:dyDescent="0.15">
      <c r="F253" s="4"/>
    </row>
    <row r="254" spans="6:6" x14ac:dyDescent="0.15">
      <c r="F254" s="4"/>
    </row>
    <row r="255" spans="6:6" x14ac:dyDescent="0.15">
      <c r="F255" s="4"/>
    </row>
    <row r="256" spans="6:6" x14ac:dyDescent="0.15">
      <c r="F256" s="4"/>
    </row>
    <row r="257" spans="6:6" x14ac:dyDescent="0.15">
      <c r="F257" s="4"/>
    </row>
  </sheetData>
  <mergeCells count="77">
    <mergeCell ref="H93:J93"/>
    <mergeCell ref="K93:M93"/>
    <mergeCell ref="N93:P93"/>
    <mergeCell ref="A4:E4"/>
    <mergeCell ref="A85:E85"/>
    <mergeCell ref="Q93:S93"/>
    <mergeCell ref="T93:V93"/>
    <mergeCell ref="W93:Y93"/>
    <mergeCell ref="B99:D99"/>
    <mergeCell ref="E99:G99"/>
    <mergeCell ref="H99:J99"/>
    <mergeCell ref="K99:M99"/>
    <mergeCell ref="N99:P99"/>
    <mergeCell ref="Q99:S99"/>
    <mergeCell ref="T99:V99"/>
    <mergeCell ref="W99:Y99"/>
    <mergeCell ref="Q97:S97"/>
    <mergeCell ref="T97:V97"/>
    <mergeCell ref="W97:Y97"/>
    <mergeCell ref="B93:D93"/>
    <mergeCell ref="E93:G93"/>
    <mergeCell ref="B105:D105"/>
    <mergeCell ref="E105:G105"/>
    <mergeCell ref="H105:J105"/>
    <mergeCell ref="K105:M105"/>
    <mergeCell ref="N105:P105"/>
    <mergeCell ref="Q105:S105"/>
    <mergeCell ref="T105:V105"/>
    <mergeCell ref="W105:Y105"/>
    <mergeCell ref="B95:D95"/>
    <mergeCell ref="E95:G95"/>
    <mergeCell ref="H95:J95"/>
    <mergeCell ref="K95:M95"/>
    <mergeCell ref="N95:P95"/>
    <mergeCell ref="Q95:S95"/>
    <mergeCell ref="T95:V95"/>
    <mergeCell ref="W95:Y95"/>
    <mergeCell ref="B97:D97"/>
    <mergeCell ref="E97:G97"/>
    <mergeCell ref="H97:J97"/>
    <mergeCell ref="K97:M97"/>
    <mergeCell ref="N97:P97"/>
    <mergeCell ref="Q101:S101"/>
    <mergeCell ref="T101:V101"/>
    <mergeCell ref="W101:Y101"/>
    <mergeCell ref="B103:D103"/>
    <mergeCell ref="E103:G103"/>
    <mergeCell ref="H103:J103"/>
    <mergeCell ref="K103:M103"/>
    <mergeCell ref="N103:P103"/>
    <mergeCell ref="Q103:S103"/>
    <mergeCell ref="T103:V103"/>
    <mergeCell ref="W103:Y103"/>
    <mergeCell ref="B101:D101"/>
    <mergeCell ref="E101:G101"/>
    <mergeCell ref="H101:J101"/>
    <mergeCell ref="K101:M101"/>
    <mergeCell ref="N101:P101"/>
    <mergeCell ref="W107:Y107"/>
    <mergeCell ref="B109:D109"/>
    <mergeCell ref="E109:G109"/>
    <mergeCell ref="H109:J109"/>
    <mergeCell ref="K109:M109"/>
    <mergeCell ref="N109:P109"/>
    <mergeCell ref="Q109:S109"/>
    <mergeCell ref="T109:V109"/>
    <mergeCell ref="W109:Y109"/>
    <mergeCell ref="B107:D107"/>
    <mergeCell ref="E107:G107"/>
    <mergeCell ref="H107:J107"/>
    <mergeCell ref="K107:M107"/>
    <mergeCell ref="N107:P107"/>
    <mergeCell ref="A154:A155"/>
    <mergeCell ref="A156:A157"/>
    <mergeCell ref="A158:A159"/>
    <mergeCell ref="Q107:S107"/>
    <mergeCell ref="T107:V10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7"/>
  <sheetViews>
    <sheetView workbookViewId="0">
      <selection activeCell="K240" sqref="K240"/>
    </sheetView>
  </sheetViews>
  <sheetFormatPr baseColWidth="10" defaultRowHeight="15" x14ac:dyDescent="0.15"/>
  <cols>
    <col min="3" max="3" width="15.5" bestFit="1" customWidth="1"/>
    <col min="5" max="6" width="14.5" bestFit="1" customWidth="1"/>
    <col min="15" max="16" width="12.5" bestFit="1" customWidth="1"/>
  </cols>
  <sheetData>
    <row r="1" spans="1:27" ht="30" x14ac:dyDescent="0.15">
      <c r="A1" s="12" t="s">
        <v>14</v>
      </c>
      <c r="B1" s="12" t="s">
        <v>15</v>
      </c>
      <c r="C1" s="12" t="s">
        <v>16</v>
      </c>
      <c r="D1" s="12" t="s">
        <v>22</v>
      </c>
      <c r="E1" s="12" t="s">
        <v>17</v>
      </c>
      <c r="F1" s="12" t="s">
        <v>18</v>
      </c>
      <c r="G1" s="12" t="s">
        <v>19</v>
      </c>
      <c r="H1" s="12" t="s">
        <v>20</v>
      </c>
      <c r="I1" s="12" t="s">
        <v>23</v>
      </c>
      <c r="J1" s="12" t="s">
        <v>21</v>
      </c>
      <c r="L1" s="17" t="s">
        <v>225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15">
      <c r="A2" s="98" t="s">
        <v>24</v>
      </c>
      <c r="B2" s="15" t="s">
        <v>25</v>
      </c>
      <c r="C2" s="15" t="s">
        <v>31</v>
      </c>
      <c r="L2" s="17" t="s">
        <v>131</v>
      </c>
      <c r="M2" s="25">
        <v>0.1</v>
      </c>
      <c r="N2" s="17" t="s">
        <v>132</v>
      </c>
      <c r="O2" s="34">
        <v>6.8000000000000005E-2</v>
      </c>
      <c r="P2" s="17">
        <v>1</v>
      </c>
      <c r="Q2" s="17">
        <f>+P2+1</f>
        <v>2</v>
      </c>
      <c r="R2" s="17">
        <f t="shared" ref="R2" si="0">+Q2+1</f>
        <v>3</v>
      </c>
      <c r="S2" s="17">
        <f t="shared" ref="S2" si="1">+R2+1</f>
        <v>4</v>
      </c>
      <c r="T2" s="17">
        <f t="shared" ref="T2" si="2">+S2+1</f>
        <v>5</v>
      </c>
      <c r="U2" s="17">
        <f t="shared" ref="U2" si="3">+T2+1</f>
        <v>6</v>
      </c>
      <c r="V2" s="17">
        <f t="shared" ref="V2" si="4">+U2+1</f>
        <v>7</v>
      </c>
      <c r="W2" s="17">
        <f t="shared" ref="W2" si="5">+V2+1</f>
        <v>8</v>
      </c>
      <c r="X2" s="17">
        <f t="shared" ref="X2" si="6">+W2+1</f>
        <v>9</v>
      </c>
      <c r="Y2" s="17">
        <f>+X2+1</f>
        <v>10</v>
      </c>
      <c r="Z2" s="17">
        <f>+Y2+1</f>
        <v>11</v>
      </c>
      <c r="AA2" s="17"/>
    </row>
    <row r="3" spans="1:27" x14ac:dyDescent="0.15">
      <c r="A3" s="98"/>
      <c r="B3" s="15" t="s">
        <v>26</v>
      </c>
      <c r="C3" s="15" t="s">
        <v>32</v>
      </c>
      <c r="L3" s="17" t="s">
        <v>133</v>
      </c>
      <c r="M3" s="25">
        <v>0.13</v>
      </c>
      <c r="N3" s="17" t="s">
        <v>134</v>
      </c>
      <c r="O3" s="31">
        <f>SUM(P4:AJ4)</f>
        <v>30.08974586383756</v>
      </c>
      <c r="P3" s="17">
        <f>+M3*M4</f>
        <v>0.16120000000000001</v>
      </c>
      <c r="Q3" s="35">
        <f>+P3*(1+$B$79)</f>
        <v>0.17732000000000003</v>
      </c>
      <c r="R3" s="35">
        <f t="shared" ref="R3:Y3" si="7">+Q3*(1+$B$79)</f>
        <v>0.19505200000000006</v>
      </c>
      <c r="S3" s="35">
        <f t="shared" si="7"/>
        <v>0.21455720000000009</v>
      </c>
      <c r="T3" s="35">
        <f t="shared" si="7"/>
        <v>0.23601292000000013</v>
      </c>
      <c r="U3" s="35">
        <f t="shared" si="7"/>
        <v>0.25961421200000018</v>
      </c>
      <c r="V3" s="35">
        <f t="shared" si="7"/>
        <v>0.28557563320000023</v>
      </c>
      <c r="W3" s="35">
        <f t="shared" si="7"/>
        <v>0.31413319652000027</v>
      </c>
      <c r="X3" s="35">
        <f t="shared" si="7"/>
        <v>0.34554651617200033</v>
      </c>
      <c r="Y3" s="35">
        <f t="shared" si="7"/>
        <v>0.38010116778920039</v>
      </c>
      <c r="Z3" s="35">
        <f>Y3*20*1/M3</f>
        <v>58.477102736800056</v>
      </c>
      <c r="AA3" s="38"/>
    </row>
    <row r="4" spans="1:27" x14ac:dyDescent="0.15">
      <c r="A4" s="98"/>
      <c r="B4" s="15" t="s">
        <v>27</v>
      </c>
      <c r="C4" s="15" t="s">
        <v>33</v>
      </c>
      <c r="L4" s="17" t="s">
        <v>135</v>
      </c>
      <c r="M4" s="17">
        <v>1.24</v>
      </c>
      <c r="N4" s="17"/>
      <c r="O4" s="17"/>
      <c r="P4" s="31">
        <f>-PV($O$2,P2,0,P3)</f>
        <v>0.15093632958801498</v>
      </c>
      <c r="Q4" s="31">
        <f>-PV($O$2,Q2,0,Q3)</f>
        <v>0.15545876642960346</v>
      </c>
      <c r="R4" s="31">
        <f t="shared" ref="R4:Y4" si="8">-PV($O$2,R2,0,R3)</f>
        <v>0.1601167069967826</v>
      </c>
      <c r="S4" s="31">
        <f t="shared" si="8"/>
        <v>0.16491421132627421</v>
      </c>
      <c r="T4" s="31">
        <f t="shared" si="8"/>
        <v>0.1698554611038405</v>
      </c>
      <c r="U4" s="31">
        <f t="shared" si="8"/>
        <v>0.17494476330919903</v>
      </c>
      <c r="V4" s="31">
        <f t="shared" si="8"/>
        <v>0.18018655397014882</v>
      </c>
      <c r="W4" s="31">
        <f t="shared" si="8"/>
        <v>0.1855854020291795</v>
      </c>
      <c r="X4" s="31">
        <f t="shared" si="8"/>
        <v>0.19114601332593395</v>
      </c>
      <c r="Y4" s="31">
        <f t="shared" si="8"/>
        <v>0.19687323469899565</v>
      </c>
      <c r="Z4" s="31">
        <f>-PV($O$2,Z2,0,Z3)</f>
        <v>28.359728421059586</v>
      </c>
      <c r="AA4" s="31"/>
    </row>
    <row r="5" spans="1:27" x14ac:dyDescent="0.15">
      <c r="A5" s="98"/>
      <c r="B5" s="15" t="s">
        <v>28</v>
      </c>
      <c r="C5" s="15" t="s">
        <v>34</v>
      </c>
      <c r="L5" s="17"/>
      <c r="M5" s="17"/>
      <c r="N5" s="17"/>
      <c r="O5" s="17"/>
      <c r="P5" s="17">
        <f>P4/$D$80</f>
        <v>5.8779926485541811E-3</v>
      </c>
      <c r="Q5" s="17">
        <f t="shared" ref="Q5" si="9">Q4/$D$80</f>
        <v>6.0541122784734079E-3</v>
      </c>
      <c r="R5" s="17">
        <f t="shared" ref="R5" si="10">R4/$D$80</f>
        <v>6.2355089010493903E-3</v>
      </c>
      <c r="S5" s="17">
        <f t="shared" ref="S5" si="11">S4/$D$80</f>
        <v>6.4223406284216571E-3</v>
      </c>
      <c r="T5" s="17">
        <f t="shared" ref="T5" si="12">T4/$D$80</f>
        <v>6.6147703101721196E-3</v>
      </c>
      <c r="U5" s="17">
        <f t="shared" ref="U5" si="13">U4/$D$80</f>
        <v>6.8129656752709102E-3</v>
      </c>
      <c r="V5" s="17">
        <f t="shared" ref="V5" si="14">V4/$D$80</f>
        <v>7.017099478275282E-3</v>
      </c>
      <c r="W5" s="17">
        <f t="shared" ref="W5" si="15">W4/$D$80</f>
        <v>7.2273496499089991E-3</v>
      </c>
      <c r="X5" s="17">
        <f t="shared" ref="X5" si="16">X4/$D$80</f>
        <v>7.4438994521534635E-3</v>
      </c>
      <c r="Y5" s="17">
        <f t="shared" ref="Y5" si="17">Y4/$D$80</f>
        <v>7.6669376379857775E-3</v>
      </c>
      <c r="Z5" s="17">
        <f>Z4/$D$80</f>
        <v>1.1044277784479655</v>
      </c>
      <c r="AA5" s="17" t="s">
        <v>160</v>
      </c>
    </row>
    <row r="6" spans="1:27" x14ac:dyDescent="0.15">
      <c r="A6" s="98"/>
      <c r="B6" s="15" t="s">
        <v>29</v>
      </c>
      <c r="C6" s="15" t="s">
        <v>35</v>
      </c>
      <c r="L6" s="17"/>
      <c r="M6" s="17"/>
      <c r="N6" s="17"/>
      <c r="O6" s="17"/>
      <c r="P6" s="17">
        <f>P5*P2</f>
        <v>5.8779926485541811E-3</v>
      </c>
      <c r="Q6" s="17">
        <f>Q5*Q2</f>
        <v>1.2108224556946816E-2</v>
      </c>
      <c r="R6" s="17">
        <f t="shared" ref="R6" si="18">R5*R2</f>
        <v>1.8706526703148173E-2</v>
      </c>
      <c r="S6" s="17">
        <f t="shared" ref="S6" si="19">S5*S2</f>
        <v>2.5689362513686628E-2</v>
      </c>
      <c r="T6" s="17">
        <f t="shared" ref="T6" si="20">T5*T2</f>
        <v>3.3073851550860595E-2</v>
      </c>
      <c r="U6" s="17">
        <f t="shared" ref="U6" si="21">U5*U2</f>
        <v>4.0877794051625463E-2</v>
      </c>
      <c r="V6" s="17">
        <f t="shared" ref="V6" si="22">V5*V2</f>
        <v>4.9119696347926976E-2</v>
      </c>
      <c r="W6" s="17">
        <f t="shared" ref="W6" si="23">W5*W2</f>
        <v>5.7818797199271993E-2</v>
      </c>
      <c r="X6" s="17">
        <f t="shared" ref="X6" si="24">X5*X2</f>
        <v>6.6995095069381172E-2</v>
      </c>
      <c r="Y6" s="17">
        <f t="shared" ref="Y6" si="25">Y5*Y2</f>
        <v>7.6669376379857768E-2</v>
      </c>
      <c r="Z6" s="17">
        <f>Z5*Z2</f>
        <v>12.148705562927621</v>
      </c>
      <c r="AA6" s="17">
        <f>SUM(P6:Z6)</f>
        <v>12.535642279948881</v>
      </c>
    </row>
    <row r="7" spans="1:27" x14ac:dyDescent="0.15">
      <c r="A7" s="98"/>
      <c r="B7" s="15" t="s">
        <v>30</v>
      </c>
      <c r="C7" s="15" t="s">
        <v>36</v>
      </c>
    </row>
    <row r="8" spans="1:27" x14ac:dyDescent="0.15">
      <c r="A8" s="99" t="s">
        <v>37</v>
      </c>
      <c r="B8" s="14" t="s">
        <v>38</v>
      </c>
      <c r="C8" s="14" t="s">
        <v>41</v>
      </c>
    </row>
    <row r="9" spans="1:27" x14ac:dyDescent="0.15">
      <c r="A9" s="99"/>
      <c r="B9" s="14" t="s">
        <v>39</v>
      </c>
      <c r="C9" s="14" t="s">
        <v>42</v>
      </c>
    </row>
    <row r="10" spans="1:27" x14ac:dyDescent="0.15">
      <c r="A10" s="99"/>
      <c r="B10" s="14" t="s">
        <v>40</v>
      </c>
      <c r="C10" s="14" t="s">
        <v>43</v>
      </c>
    </row>
    <row r="11" spans="1:27" x14ac:dyDescent="0.15">
      <c r="A11" s="99"/>
      <c r="B11" s="14" t="s">
        <v>40</v>
      </c>
      <c r="C11" s="14" t="s">
        <v>44</v>
      </c>
    </row>
    <row r="12" spans="1:27" x14ac:dyDescent="0.15">
      <c r="A12" s="99"/>
      <c r="B12" s="14" t="s">
        <v>40</v>
      </c>
      <c r="C12" s="14" t="s">
        <v>45</v>
      </c>
    </row>
    <row r="13" spans="1:27" x14ac:dyDescent="0.15">
      <c r="A13" s="99"/>
      <c r="B13" s="14" t="s">
        <v>40</v>
      </c>
      <c r="C13" s="14" t="s">
        <v>46</v>
      </c>
    </row>
    <row r="14" spans="1:27" x14ac:dyDescent="0.15">
      <c r="A14" s="99"/>
      <c r="B14" s="14" t="s">
        <v>40</v>
      </c>
      <c r="C14" s="14" t="s">
        <v>47</v>
      </c>
    </row>
    <row r="15" spans="1:27" x14ac:dyDescent="0.15">
      <c r="A15" s="98" t="s">
        <v>48</v>
      </c>
      <c r="B15" s="15" t="s">
        <v>49</v>
      </c>
      <c r="C15" s="15" t="s">
        <v>50</v>
      </c>
    </row>
    <row r="16" spans="1:27" x14ac:dyDescent="0.15">
      <c r="A16" s="98"/>
      <c r="B16" s="15" t="s">
        <v>48</v>
      </c>
      <c r="C16" s="15" t="s">
        <v>51</v>
      </c>
    </row>
    <row r="17" spans="1:3" x14ac:dyDescent="0.15">
      <c r="A17" s="98"/>
      <c r="B17" s="15" t="s">
        <v>49</v>
      </c>
      <c r="C17" s="15" t="s">
        <v>52</v>
      </c>
    </row>
    <row r="18" spans="1:3" x14ac:dyDescent="0.15">
      <c r="A18" s="98"/>
      <c r="B18" s="15" t="s">
        <v>49</v>
      </c>
      <c r="C18" s="15" t="s">
        <v>53</v>
      </c>
    </row>
    <row r="19" spans="1:3" x14ac:dyDescent="0.15">
      <c r="A19" s="98"/>
      <c r="B19" s="15" t="s">
        <v>54</v>
      </c>
      <c r="C19" s="15" t="s">
        <v>55</v>
      </c>
    </row>
    <row r="20" spans="1:3" x14ac:dyDescent="0.15">
      <c r="A20" s="98"/>
      <c r="B20" s="15" t="s">
        <v>56</v>
      </c>
      <c r="C20" s="15" t="s">
        <v>57</v>
      </c>
    </row>
    <row r="21" spans="1:3" x14ac:dyDescent="0.15">
      <c r="A21" s="98"/>
      <c r="B21" s="15" t="s">
        <v>56</v>
      </c>
      <c r="C21" s="15" t="s">
        <v>58</v>
      </c>
    </row>
    <row r="22" spans="1:3" x14ac:dyDescent="0.15">
      <c r="A22" s="98"/>
      <c r="B22" s="15" t="s">
        <v>59</v>
      </c>
      <c r="C22" s="15" t="s">
        <v>60</v>
      </c>
    </row>
    <row r="23" spans="1:3" x14ac:dyDescent="0.15">
      <c r="A23" s="98"/>
      <c r="B23" s="15" t="s">
        <v>59</v>
      </c>
      <c r="C23" s="15" t="s">
        <v>61</v>
      </c>
    </row>
    <row r="24" spans="1:3" x14ac:dyDescent="0.15">
      <c r="A24" s="98"/>
      <c r="B24" s="15" t="s">
        <v>62</v>
      </c>
      <c r="C24" s="15" t="s">
        <v>63</v>
      </c>
    </row>
    <row r="25" spans="1:3" x14ac:dyDescent="0.15">
      <c r="A25" s="99" t="s">
        <v>64</v>
      </c>
      <c r="B25" s="14" t="s">
        <v>65</v>
      </c>
      <c r="C25" s="14" t="s">
        <v>67</v>
      </c>
    </row>
    <row r="26" spans="1:3" x14ac:dyDescent="0.15">
      <c r="A26" s="99"/>
      <c r="B26" s="14" t="s">
        <v>65</v>
      </c>
      <c r="C26" s="14" t="s">
        <v>68</v>
      </c>
    </row>
    <row r="27" spans="1:3" x14ac:dyDescent="0.15">
      <c r="A27" s="99"/>
      <c r="B27" s="14" t="s">
        <v>65</v>
      </c>
      <c r="C27" s="14" t="s">
        <v>69</v>
      </c>
    </row>
    <row r="28" spans="1:3" x14ac:dyDescent="0.15">
      <c r="A28" s="99"/>
      <c r="B28" s="14" t="s">
        <v>65</v>
      </c>
      <c r="C28" s="14" t="s">
        <v>70</v>
      </c>
    </row>
    <row r="29" spans="1:3" x14ac:dyDescent="0.15">
      <c r="A29" s="99"/>
      <c r="B29" s="14" t="s">
        <v>65</v>
      </c>
      <c r="C29" s="14" t="s">
        <v>71</v>
      </c>
    </row>
    <row r="30" spans="1:3" x14ac:dyDescent="0.15">
      <c r="A30" s="99"/>
      <c r="B30" s="14" t="s">
        <v>65</v>
      </c>
      <c r="C30" s="14" t="s">
        <v>72</v>
      </c>
    </row>
    <row r="31" spans="1:3" x14ac:dyDescent="0.15">
      <c r="A31" s="99"/>
      <c r="B31" s="14" t="s">
        <v>66</v>
      </c>
      <c r="C31" s="14" t="s">
        <v>73</v>
      </c>
    </row>
    <row r="32" spans="1:3" x14ac:dyDescent="0.15">
      <c r="A32" s="99"/>
      <c r="B32" s="14" t="s">
        <v>66</v>
      </c>
      <c r="C32" s="14" t="s">
        <v>74</v>
      </c>
    </row>
    <row r="33" spans="1:3" x14ac:dyDescent="0.15">
      <c r="A33" s="98" t="s">
        <v>75</v>
      </c>
      <c r="B33" s="15" t="s">
        <v>76</v>
      </c>
      <c r="C33" s="15" t="s">
        <v>80</v>
      </c>
    </row>
    <row r="34" spans="1:3" x14ac:dyDescent="0.15">
      <c r="A34" s="98"/>
      <c r="B34" s="15" t="s">
        <v>77</v>
      </c>
      <c r="C34" s="15" t="s">
        <v>81</v>
      </c>
    </row>
    <row r="35" spans="1:3" x14ac:dyDescent="0.15">
      <c r="A35" s="98"/>
      <c r="B35" s="15" t="s">
        <v>78</v>
      </c>
      <c r="C35" s="15" t="s">
        <v>82</v>
      </c>
    </row>
    <row r="36" spans="1:3" x14ac:dyDescent="0.15">
      <c r="A36" s="98"/>
      <c r="B36" s="15" t="s">
        <v>79</v>
      </c>
      <c r="C36" s="15" t="s">
        <v>83</v>
      </c>
    </row>
    <row r="37" spans="1:3" x14ac:dyDescent="0.15">
      <c r="A37" s="99" t="s">
        <v>84</v>
      </c>
      <c r="B37" s="14" t="s">
        <v>85</v>
      </c>
      <c r="C37" s="14" t="s">
        <v>88</v>
      </c>
    </row>
    <row r="38" spans="1:3" x14ac:dyDescent="0.15">
      <c r="A38" s="99"/>
      <c r="B38" s="14" t="s">
        <v>86</v>
      </c>
      <c r="C38" s="14" t="s">
        <v>89</v>
      </c>
    </row>
    <row r="39" spans="1:3" x14ac:dyDescent="0.15">
      <c r="A39" s="99"/>
      <c r="B39" s="14" t="s">
        <v>86</v>
      </c>
      <c r="C39" s="14" t="s">
        <v>90</v>
      </c>
    </row>
    <row r="40" spans="1:3" x14ac:dyDescent="0.15">
      <c r="A40" s="99"/>
      <c r="B40" s="14" t="s">
        <v>87</v>
      </c>
      <c r="C40" s="14" t="s">
        <v>91</v>
      </c>
    </row>
    <row r="41" spans="1:3" x14ac:dyDescent="0.15">
      <c r="A41" s="99"/>
      <c r="B41" s="14" t="s">
        <v>87</v>
      </c>
      <c r="C41" s="14" t="s">
        <v>92</v>
      </c>
    </row>
    <row r="42" spans="1:3" x14ac:dyDescent="0.15">
      <c r="A42" s="99"/>
      <c r="B42" s="14" t="s">
        <v>87</v>
      </c>
      <c r="C42" s="14" t="s">
        <v>93</v>
      </c>
    </row>
    <row r="43" spans="1:3" x14ac:dyDescent="0.15">
      <c r="A43" s="99"/>
      <c r="B43" s="14" t="s">
        <v>87</v>
      </c>
      <c r="C43" s="14" t="s">
        <v>94</v>
      </c>
    </row>
    <row r="44" spans="1:3" x14ac:dyDescent="0.15">
      <c r="A44" s="99"/>
      <c r="B44" s="14" t="s">
        <v>87</v>
      </c>
      <c r="C44" s="14" t="s">
        <v>95</v>
      </c>
    </row>
    <row r="45" spans="1:3" x14ac:dyDescent="0.15">
      <c r="A45" s="98" t="s">
        <v>96</v>
      </c>
      <c r="B45" s="15" t="s">
        <v>97</v>
      </c>
      <c r="C45" s="15" t="s">
        <v>102</v>
      </c>
    </row>
    <row r="46" spans="1:3" x14ac:dyDescent="0.15">
      <c r="A46" s="98"/>
      <c r="B46" s="15" t="s">
        <v>97</v>
      </c>
      <c r="C46" s="15" t="s">
        <v>103</v>
      </c>
    </row>
    <row r="47" spans="1:3" x14ac:dyDescent="0.15">
      <c r="A47" s="98"/>
      <c r="B47" s="15" t="s">
        <v>98</v>
      </c>
      <c r="C47" s="15" t="s">
        <v>104</v>
      </c>
    </row>
    <row r="48" spans="1:3" x14ac:dyDescent="0.15">
      <c r="A48" s="98"/>
      <c r="B48" s="15" t="s">
        <v>98</v>
      </c>
      <c r="C48" s="15" t="s">
        <v>105</v>
      </c>
    </row>
    <row r="49" spans="1:16" x14ac:dyDescent="0.15">
      <c r="A49" s="98"/>
      <c r="B49" s="15" t="s">
        <v>99</v>
      </c>
      <c r="C49" s="15" t="s">
        <v>106</v>
      </c>
    </row>
    <row r="50" spans="1:16" x14ac:dyDescent="0.15">
      <c r="A50" s="98"/>
      <c r="B50" s="15" t="s">
        <v>99</v>
      </c>
      <c r="C50" s="15" t="s">
        <v>107</v>
      </c>
    </row>
    <row r="51" spans="1:16" x14ac:dyDescent="0.15">
      <c r="A51" s="98"/>
      <c r="B51" s="15" t="s">
        <v>100</v>
      </c>
      <c r="C51" s="15" t="s">
        <v>108</v>
      </c>
    </row>
    <row r="52" spans="1:16" x14ac:dyDescent="0.15">
      <c r="A52" s="98"/>
      <c r="B52" s="15" t="s">
        <v>100</v>
      </c>
      <c r="C52" s="15" t="s">
        <v>109</v>
      </c>
    </row>
    <row r="53" spans="1:16" x14ac:dyDescent="0.15">
      <c r="A53" s="98"/>
      <c r="B53" s="15" t="s">
        <v>100</v>
      </c>
      <c r="C53" s="15" t="s">
        <v>110</v>
      </c>
    </row>
    <row r="54" spans="1:16" x14ac:dyDescent="0.15">
      <c r="A54" s="98"/>
      <c r="B54" s="15" t="s">
        <v>101</v>
      </c>
      <c r="C54" s="15" t="s">
        <v>111</v>
      </c>
    </row>
    <row r="56" spans="1:16" s="16" customFormat="1" x14ac:dyDescent="0.15"/>
    <row r="58" spans="1:16" x14ac:dyDescent="0.15">
      <c r="A58" s="94" t="s">
        <v>112</v>
      </c>
      <c r="B58" s="19" t="s">
        <v>113</v>
      </c>
      <c r="C58" s="19" t="s">
        <v>41</v>
      </c>
      <c r="D58" s="95" t="s">
        <v>118</v>
      </c>
      <c r="E58" s="95"/>
      <c r="I58" s="96" t="s">
        <v>188</v>
      </c>
      <c r="J58" s="97"/>
      <c r="K58" s="97"/>
    </row>
    <row r="59" spans="1:16" ht="30" x14ac:dyDescent="0.15">
      <c r="A59" s="94"/>
      <c r="B59" s="19" t="s">
        <v>114</v>
      </c>
      <c r="C59" s="23">
        <v>606588.63</v>
      </c>
      <c r="D59" s="20" t="s">
        <v>119</v>
      </c>
      <c r="E59" s="21">
        <v>0.1</v>
      </c>
      <c r="I59" s="97"/>
      <c r="J59" s="97"/>
      <c r="K59" s="97"/>
    </row>
    <row r="60" spans="1:16" ht="45" x14ac:dyDescent="0.15">
      <c r="A60" s="94"/>
      <c r="B60" s="19" t="s">
        <v>115</v>
      </c>
      <c r="C60" s="23">
        <v>862477.18</v>
      </c>
      <c r="D60" s="20" t="s">
        <v>126</v>
      </c>
      <c r="E60" s="21">
        <v>0.08</v>
      </c>
      <c r="I60" s="97"/>
      <c r="J60" s="97"/>
      <c r="K60" s="97"/>
    </row>
    <row r="61" spans="1:16" ht="30" x14ac:dyDescent="0.15">
      <c r="A61" s="94"/>
      <c r="B61" s="19" t="s">
        <v>116</v>
      </c>
      <c r="C61" s="23">
        <v>509060.05</v>
      </c>
      <c r="D61" s="1" t="s">
        <v>120</v>
      </c>
      <c r="E61" s="21">
        <f>1+E60</f>
        <v>1.08</v>
      </c>
    </row>
    <row r="62" spans="1:16" ht="30" x14ac:dyDescent="0.15">
      <c r="A62" s="94"/>
      <c r="B62" s="19" t="s">
        <v>117</v>
      </c>
      <c r="C62" s="23">
        <f>C60-C61</f>
        <v>353417.13000000006</v>
      </c>
      <c r="D62" s="1">
        <v>1</v>
      </c>
      <c r="E62" s="1" t="s">
        <v>121</v>
      </c>
      <c r="F62" s="1" t="s">
        <v>130</v>
      </c>
    </row>
    <row r="63" spans="1:16" ht="30" x14ac:dyDescent="0.15">
      <c r="A63" s="93" t="s">
        <v>122</v>
      </c>
      <c r="B63" s="18">
        <v>1</v>
      </c>
      <c r="C63" s="24">
        <f>C62*(1+E59)</f>
        <v>388758.84300000011</v>
      </c>
      <c r="D63" s="21">
        <f>D62*(1+E60)</f>
        <v>1.08</v>
      </c>
      <c r="E63" s="24">
        <f>C63/D63</f>
        <v>359961.89166666672</v>
      </c>
      <c r="F63">
        <f>E63/E74</f>
        <v>2.8429440726071058E-2</v>
      </c>
      <c r="G63">
        <f>F63*B63</f>
        <v>2.8429440726071058E-2</v>
      </c>
      <c r="I63" s="19" t="s">
        <v>190</v>
      </c>
      <c r="J63" s="19">
        <v>1.1599999999999999</v>
      </c>
      <c r="K63" s="90" t="s">
        <v>198</v>
      </c>
      <c r="L63" s="90"/>
      <c r="M63" s="90"/>
      <c r="N63" s="90"/>
      <c r="O63" s="90"/>
      <c r="P63" s="90"/>
    </row>
    <row r="64" spans="1:16" x14ac:dyDescent="0.15">
      <c r="A64" s="93"/>
      <c r="B64" s="18">
        <v>2</v>
      </c>
      <c r="C64" s="24">
        <f>C63*(1+E59)</f>
        <v>427634.72730000014</v>
      </c>
      <c r="D64" s="21">
        <f>D63*(1+E60)</f>
        <v>1.1664000000000001</v>
      </c>
      <c r="E64" s="24">
        <f t="shared" ref="E64:E71" si="26">C64/D64</f>
        <v>366627.85262345686</v>
      </c>
      <c r="F64">
        <f>E64/E74</f>
        <v>2.895591185062793E-2</v>
      </c>
      <c r="G64">
        <f>F64*B64</f>
        <v>5.791182370125586E-2</v>
      </c>
      <c r="I64" s="19" t="s">
        <v>191</v>
      </c>
      <c r="J64" s="19">
        <v>31.03</v>
      </c>
      <c r="K64" s="90"/>
      <c r="L64" s="90"/>
      <c r="M64" s="90"/>
      <c r="N64" s="90"/>
      <c r="O64" s="90"/>
      <c r="P64" s="90"/>
    </row>
    <row r="65" spans="1:36" x14ac:dyDescent="0.15">
      <c r="A65" s="93"/>
      <c r="B65" s="18">
        <v>3</v>
      </c>
      <c r="C65" s="24">
        <f>C64*(1+E59)</f>
        <v>470398.20003000018</v>
      </c>
      <c r="D65" s="21">
        <f>D64*(1+E60)</f>
        <v>1.2597120000000002</v>
      </c>
      <c r="E65" s="24">
        <f t="shared" si="26"/>
        <v>373417.25730166904</v>
      </c>
      <c r="F65">
        <f>E65/E74</f>
        <v>2.9492132440454375E-2</v>
      </c>
      <c r="G65">
        <f t="shared" ref="G65:G72" si="27">F65*B65</f>
        <v>8.8476397321363129E-2</v>
      </c>
      <c r="I65" s="19" t="s">
        <v>192</v>
      </c>
      <c r="J65" s="19">
        <v>26.8</v>
      </c>
      <c r="K65" s="1"/>
      <c r="L65" s="1" t="s">
        <v>204</v>
      </c>
      <c r="M65" s="1" t="s">
        <v>205</v>
      </c>
      <c r="N65" s="1" t="s">
        <v>206</v>
      </c>
      <c r="O65" s="1" t="s">
        <v>18</v>
      </c>
      <c r="P65" s="1" t="s">
        <v>207</v>
      </c>
    </row>
    <row r="66" spans="1:36" ht="30" x14ac:dyDescent="0.15">
      <c r="A66" s="93"/>
      <c r="B66" s="18">
        <v>4</v>
      </c>
      <c r="C66" s="24">
        <f>C65*(1+E59)</f>
        <v>517438.02003300027</v>
      </c>
      <c r="D66" s="21">
        <f>D65*(1+E60)</f>
        <v>1.3604889600000003</v>
      </c>
      <c r="E66" s="24">
        <f t="shared" si="26"/>
        <v>380332.39169614442</v>
      </c>
      <c r="F66">
        <f>E66/E74</f>
        <v>3.0038283041203529E-2</v>
      </c>
      <c r="G66">
        <f t="shared" si="27"/>
        <v>0.12015313216481412</v>
      </c>
      <c r="I66" s="19" t="s">
        <v>193</v>
      </c>
      <c r="J66" s="19">
        <v>24</v>
      </c>
      <c r="K66" s="1" t="s">
        <v>199</v>
      </c>
      <c r="L66" s="1">
        <f>$J$66-$J$127*2</f>
        <v>20</v>
      </c>
      <c r="M66" s="58">
        <f>$J$67-$J$128*2</f>
        <v>6.0000000000000005E-2</v>
      </c>
      <c r="N66" s="58">
        <f>$J$68-$J$128*2</f>
        <v>6.0000000000000005E-2</v>
      </c>
      <c r="O66" s="1">
        <f>$L$66*$J$63*(1+$M$66)*(1+$M$66)*(1+$N$66)*(1+$N$66)*(1+$N$66)</f>
        <v>31.046833400320001</v>
      </c>
      <c r="P66" s="22">
        <f>($O$66-$J$64)/$J$64</f>
        <v>5.424879252336278E-4</v>
      </c>
    </row>
    <row r="67" spans="1:36" ht="45" x14ac:dyDescent="0.15">
      <c r="A67" s="93"/>
      <c r="B67" s="18">
        <v>5</v>
      </c>
      <c r="C67" s="24">
        <f>C66*(1+E59)</f>
        <v>569181.82203630032</v>
      </c>
      <c r="D67" s="21">
        <f>D66*(1+E60)</f>
        <v>1.4693280768000003</v>
      </c>
      <c r="E67" s="24">
        <f t="shared" si="26"/>
        <v>387375.58413496194</v>
      </c>
      <c r="F67">
        <f>E67/E74</f>
        <v>3.0594547541966562E-2</v>
      </c>
      <c r="G67">
        <f t="shared" si="27"/>
        <v>0.1529727377098328</v>
      </c>
      <c r="I67" s="19" t="s">
        <v>194</v>
      </c>
      <c r="J67" s="59">
        <v>0.1</v>
      </c>
      <c r="K67" s="1" t="s">
        <v>200</v>
      </c>
      <c r="L67" s="1">
        <f>$J$66-$J$127*1</f>
        <v>22</v>
      </c>
      <c r="M67" s="58">
        <f>$J$67-$J$128*1</f>
        <v>0.08</v>
      </c>
      <c r="N67" s="58">
        <f>$J$68-$J$128*1</f>
        <v>0.08</v>
      </c>
      <c r="O67" s="1">
        <f>$L$67*$J$63*(1+$M$67)*(1+$M$67)*(1+$N$67)*(1+$N$67)*(1+$N$67)</f>
        <v>37.497252519936012</v>
      </c>
      <c r="P67" s="22">
        <f>($O$67-$J$64)/$J$64</f>
        <v>0.20841935288224334</v>
      </c>
    </row>
    <row r="68" spans="1:36" ht="45" x14ac:dyDescent="0.15">
      <c r="A68" s="93"/>
      <c r="B68" s="18">
        <v>6</v>
      </c>
      <c r="C68" s="24">
        <f>C67*(1+E59)</f>
        <v>626100.00423993042</v>
      </c>
      <c r="D68" s="21">
        <f>D67*(1+E60)</f>
        <v>1.5868743229440005</v>
      </c>
      <c r="E68" s="24">
        <f t="shared" si="26"/>
        <v>394549.20606338716</v>
      </c>
      <c r="F68">
        <f>E68/E74</f>
        <v>3.1161113237188166E-2</v>
      </c>
      <c r="G68">
        <f t="shared" si="27"/>
        <v>0.186966679423129</v>
      </c>
      <c r="I68" s="19" t="s">
        <v>195</v>
      </c>
      <c r="J68" s="59">
        <v>0.1</v>
      </c>
      <c r="K68" s="1" t="s">
        <v>201</v>
      </c>
      <c r="L68" s="1">
        <f>$J$66</f>
        <v>24</v>
      </c>
      <c r="M68" s="58">
        <f>$J$67</f>
        <v>0.1</v>
      </c>
      <c r="N68" s="58">
        <f>$J$68</f>
        <v>0.1</v>
      </c>
      <c r="O68" s="1">
        <f>$L$68*$J$63*(1+$M$68)*(1+$M$68)*(1+$N$68)*(1+$N$68)*(1+$N$68)</f>
        <v>44.836598400000014</v>
      </c>
      <c r="P68" s="22">
        <f>($O$68-$J$64)/$J$64</f>
        <v>0.44494355140186953</v>
      </c>
    </row>
    <row r="69" spans="1:36" x14ac:dyDescent="0.15">
      <c r="A69" s="93"/>
      <c r="B69" s="18">
        <v>7</v>
      </c>
      <c r="C69" s="24">
        <f>C68*(1+E59)</f>
        <v>688710.00466392352</v>
      </c>
      <c r="D69" s="21">
        <f>D68*(1+E60)</f>
        <v>1.7138242687795207</v>
      </c>
      <c r="E69" s="24">
        <f t="shared" si="26"/>
        <v>401855.6728423388</v>
      </c>
      <c r="F69">
        <f>E69/E74</f>
        <v>3.173817088972869E-2</v>
      </c>
      <c r="G69">
        <f t="shared" si="27"/>
        <v>0.22216719622810083</v>
      </c>
      <c r="I69" s="19" t="s">
        <v>196</v>
      </c>
      <c r="J69" s="60">
        <v>2</v>
      </c>
      <c r="K69" s="1" t="s">
        <v>202</v>
      </c>
      <c r="L69" s="1">
        <f>$J$66+$J$127*1</f>
        <v>26</v>
      </c>
      <c r="M69" s="58">
        <f>$J$67+$J$128*1</f>
        <v>0.12000000000000001</v>
      </c>
      <c r="N69" s="58">
        <f>$J$68+$J$128*1</f>
        <v>0.12000000000000001</v>
      </c>
      <c r="O69" s="1">
        <f>$L$69*$J$63*(1+$M$69)*(1+$M$69)*(1+$N$69)*(1+$N$69)*(1+$N$69)</f>
        <v>53.152225165312011</v>
      </c>
      <c r="P69" s="22">
        <f>($O$69-$J$64)/$J$64</f>
        <v>0.71293023413831802</v>
      </c>
    </row>
    <row r="70" spans="1:36" x14ac:dyDescent="0.15">
      <c r="A70" s="93"/>
      <c r="B70" s="18">
        <v>8</v>
      </c>
      <c r="C70" s="24">
        <f>C69*(1+E59)</f>
        <v>757581.0051303159</v>
      </c>
      <c r="D70" s="21">
        <f>D69*(1+E60)</f>
        <v>1.8509302102818825</v>
      </c>
      <c r="E70" s="24">
        <f t="shared" si="26"/>
        <v>409297.44456164131</v>
      </c>
      <c r="F70" s="37">
        <f>E70/E74</f>
        <v>3.232591479509403E-2</v>
      </c>
      <c r="G70">
        <f t="shared" si="27"/>
        <v>0.25860731836075224</v>
      </c>
      <c r="I70" s="19" t="s">
        <v>197</v>
      </c>
      <c r="J70" s="59">
        <v>0.02</v>
      </c>
      <c r="K70" s="1" t="s">
        <v>203</v>
      </c>
      <c r="L70" s="1">
        <f>$J$66+$J$127*2</f>
        <v>28</v>
      </c>
      <c r="M70" s="58">
        <f>$J$67+$J$128*2</f>
        <v>0.14000000000000001</v>
      </c>
      <c r="N70" s="58">
        <f>$J$68+$J$128*2</f>
        <v>0.14000000000000001</v>
      </c>
      <c r="O70" s="1">
        <f>$L$70*$J$63*(1+$M$70)*(1+$M$70)*(1+$N$70)*(1+$N$70)*(1+$N$70)</f>
        <v>62.537465636352039</v>
      </c>
      <c r="P70" s="22">
        <f>($O$70-$J$64)/$J$64</f>
        <v>1.0153872264373844</v>
      </c>
    </row>
    <row r="71" spans="1:36" x14ac:dyDescent="0.15">
      <c r="A71" s="93"/>
      <c r="B71" s="18">
        <v>9</v>
      </c>
      <c r="C71" s="24">
        <f>C70*(1+E59)</f>
        <v>833339.1056433476</v>
      </c>
      <c r="D71" s="21">
        <f>D70*(1+E60)</f>
        <v>1.9990046271044333</v>
      </c>
      <c r="E71" s="24">
        <f t="shared" si="26"/>
        <v>416877.02686833841</v>
      </c>
      <c r="F71">
        <f>E71/E74</f>
        <v>3.2924542846855032E-2</v>
      </c>
      <c r="G71">
        <f t="shared" si="27"/>
        <v>0.29632088562169528</v>
      </c>
    </row>
    <row r="72" spans="1:36" x14ac:dyDescent="0.15">
      <c r="A72" s="93"/>
      <c r="B72" s="18">
        <v>10</v>
      </c>
      <c r="C72" s="24">
        <f>C71*(1+E59)</f>
        <v>916673.01620768243</v>
      </c>
      <c r="D72" s="21">
        <f>D71*(1+E60)</f>
        <v>2.1589249972727882</v>
      </c>
      <c r="E72" s="24">
        <f>C72/D72</f>
        <v>424596.97181034466</v>
      </c>
      <c r="F72">
        <f>E72/E74</f>
        <v>3.3534256603278273E-2</v>
      </c>
      <c r="G72">
        <f t="shared" si="27"/>
        <v>0.33534256603278273</v>
      </c>
    </row>
    <row r="73" spans="1:36" x14ac:dyDescent="0.15">
      <c r="A73" t="s">
        <v>123</v>
      </c>
      <c r="B73" s="18" t="s">
        <v>124</v>
      </c>
      <c r="C73" s="24">
        <f>C72*(1+B74)/(E60-B74)</f>
        <v>18883464.133878257</v>
      </c>
      <c r="D73" s="21">
        <f>D72</f>
        <v>2.1589249972727882</v>
      </c>
      <c r="E73" s="24">
        <f>C73/D73</f>
        <v>8746697.6192930993</v>
      </c>
      <c r="F73">
        <f>E73/E74</f>
        <v>0.69080568602753234</v>
      </c>
      <c r="G73">
        <f>F73*11</f>
        <v>7.5988625463028558</v>
      </c>
    </row>
    <row r="74" spans="1:36" ht="60" x14ac:dyDescent="0.15">
      <c r="A74" s="11" t="s">
        <v>127</v>
      </c>
      <c r="B74" s="29">
        <v>0.03</v>
      </c>
      <c r="C74" s="28"/>
      <c r="D74" s="32" t="s">
        <v>125</v>
      </c>
      <c r="E74" s="33">
        <f>SUM(E63:E73)</f>
        <v>12661588.918862049</v>
      </c>
      <c r="G74">
        <f>SUM(G63:G73)</f>
        <v>9.3462107235926535</v>
      </c>
    </row>
    <row r="75" spans="1:36" x14ac:dyDescent="0.15">
      <c r="D75" s="26" t="s">
        <v>128</v>
      </c>
      <c r="E75" s="30">
        <f>E74/C59</f>
        <v>20.873435954218344</v>
      </c>
    </row>
    <row r="77" spans="1:36" x14ac:dyDescent="0.15">
      <c r="C77" s="31"/>
    </row>
    <row r="78" spans="1:36" s="17" customFormat="1" x14ac:dyDescent="0.15">
      <c r="A78" s="17" t="s">
        <v>41</v>
      </c>
    </row>
    <row r="79" spans="1:36" s="17" customFormat="1" x14ac:dyDescent="0.15">
      <c r="A79" s="17" t="s">
        <v>131</v>
      </c>
      <c r="B79" s="25">
        <v>0.1</v>
      </c>
      <c r="C79" s="17" t="s">
        <v>132</v>
      </c>
      <c r="D79" s="34">
        <v>7.8E-2</v>
      </c>
      <c r="E79" s="17">
        <v>1</v>
      </c>
      <c r="F79" s="17">
        <f>+E79+1</f>
        <v>2</v>
      </c>
      <c r="G79" s="17">
        <f t="shared" ref="G79:M79" si="28">+F79+1</f>
        <v>3</v>
      </c>
      <c r="H79" s="17">
        <f t="shared" si="28"/>
        <v>4</v>
      </c>
      <c r="I79" s="17">
        <f t="shared" si="28"/>
        <v>5</v>
      </c>
      <c r="J79" s="17">
        <f t="shared" si="28"/>
        <v>6</v>
      </c>
      <c r="K79" s="17">
        <f t="shared" si="28"/>
        <v>7</v>
      </c>
      <c r="L79" s="17">
        <f t="shared" si="28"/>
        <v>8</v>
      </c>
      <c r="M79" s="17">
        <f t="shared" si="28"/>
        <v>9</v>
      </c>
      <c r="N79" s="17">
        <f>+M79+1</f>
        <v>10</v>
      </c>
      <c r="O79" s="17">
        <f>+N79+1</f>
        <v>11</v>
      </c>
    </row>
    <row r="80" spans="1:36" s="17" customFormat="1" x14ac:dyDescent="0.15">
      <c r="A80" s="17" t="s">
        <v>133</v>
      </c>
      <c r="B80" s="25">
        <v>0.6</v>
      </c>
      <c r="C80" s="17" t="s">
        <v>134</v>
      </c>
      <c r="D80" s="31">
        <f>SUM(E81:Y81)</f>
        <v>25.678209996594845</v>
      </c>
      <c r="E80" s="17">
        <f>+B80*B81</f>
        <v>0.57599999999999996</v>
      </c>
      <c r="F80" s="35">
        <f>+E80*(1+$B$79)</f>
        <v>0.63360000000000005</v>
      </c>
      <c r="G80" s="35">
        <f t="shared" ref="G80:N80" si="29">+F80*(1+$B$79)</f>
        <v>0.69696000000000013</v>
      </c>
      <c r="H80" s="35">
        <f t="shared" si="29"/>
        <v>0.76665600000000023</v>
      </c>
      <c r="I80" s="35">
        <f t="shared" si="29"/>
        <v>0.84332160000000034</v>
      </c>
      <c r="J80" s="35">
        <f t="shared" si="29"/>
        <v>0.92765376000000044</v>
      </c>
      <c r="K80" s="35">
        <f t="shared" si="29"/>
        <v>1.0204191360000006</v>
      </c>
      <c r="L80" s="35">
        <f t="shared" si="29"/>
        <v>1.1224610496000007</v>
      </c>
      <c r="M80" s="35">
        <f t="shared" si="29"/>
        <v>1.2347071545600008</v>
      </c>
      <c r="N80" s="35">
        <f t="shared" si="29"/>
        <v>1.358177870016001</v>
      </c>
      <c r="O80" s="35">
        <f>N80*20*1/B80</f>
        <v>45.272595667200036</v>
      </c>
      <c r="P80" s="38"/>
      <c r="Q80" s="35"/>
      <c r="R80" s="35"/>
      <c r="S80" s="35"/>
      <c r="T80" s="35"/>
      <c r="U80" s="35"/>
      <c r="V80" s="35"/>
      <c r="W80" s="35"/>
      <c r="X80" s="35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</row>
    <row r="81" spans="1:36" s="17" customFormat="1" x14ac:dyDescent="0.15">
      <c r="A81" s="17" t="s">
        <v>135</v>
      </c>
      <c r="B81" s="17">
        <v>0.96</v>
      </c>
      <c r="E81" s="31">
        <f>-PV($D$79,E79,0,E80)</f>
        <v>0.53432282003710563</v>
      </c>
      <c r="F81" s="31">
        <f t="shared" ref="F81:M81" si="30">-PV($D$79,F79,0,F80)</f>
        <v>0.54522736738480182</v>
      </c>
      <c r="G81" s="31">
        <f t="shared" si="30"/>
        <v>0.55635445651510396</v>
      </c>
      <c r="H81" s="31">
        <f t="shared" si="30"/>
        <v>0.56770862909704478</v>
      </c>
      <c r="I81" s="31">
        <f t="shared" si="30"/>
        <v>0.57929451948678046</v>
      </c>
      <c r="J81" s="31">
        <f t="shared" si="30"/>
        <v>0.59111685661916369</v>
      </c>
      <c r="K81" s="31">
        <f t="shared" si="30"/>
        <v>0.60318046593792218</v>
      </c>
      <c r="L81" s="31">
        <f t="shared" si="30"/>
        <v>0.61549027136522672</v>
      </c>
      <c r="M81" s="31">
        <f t="shared" si="30"/>
        <v>0.62805129731145581</v>
      </c>
      <c r="N81" s="31">
        <f>-PV($D$79,N79,0,N80)</f>
        <v>0.64086867072597531</v>
      </c>
      <c r="O81" s="31">
        <f>-PV($D$79,O79,0,O80)</f>
        <v>19.816594642114264</v>
      </c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</row>
    <row r="82" spans="1:36" s="17" customFormat="1" x14ac:dyDescent="0.15">
      <c r="E82" s="17">
        <f>E81/$D$80</f>
        <v>2.0808413830557562E-2</v>
      </c>
      <c r="F82" s="17">
        <f t="shared" ref="F82:N82" si="31">F81/$D$80</f>
        <v>2.123307533730364E-2</v>
      </c>
      <c r="G82" s="17">
        <f t="shared" si="31"/>
        <v>2.1666403405411882E-2</v>
      </c>
      <c r="H82" s="17">
        <f t="shared" si="31"/>
        <v>2.2108574903481507E-2</v>
      </c>
      <c r="I82" s="17">
        <f t="shared" si="31"/>
        <v>2.2559770309675011E-2</v>
      </c>
      <c r="J82" s="17">
        <f t="shared" si="31"/>
        <v>2.3020173785382663E-2</v>
      </c>
      <c r="K82" s="17">
        <f t="shared" si="31"/>
        <v>2.3489973250390473E-2</v>
      </c>
      <c r="L82" s="17">
        <f t="shared" si="31"/>
        <v>2.3969360459582117E-2</v>
      </c>
      <c r="M82" s="17">
        <f t="shared" si="31"/>
        <v>2.4458531081206242E-2</v>
      </c>
      <c r="N82" s="17">
        <f t="shared" si="31"/>
        <v>2.4957684776741061E-2</v>
      </c>
      <c r="O82" s="17">
        <f>O81/$D$80</f>
        <v>0.77172803886026786</v>
      </c>
      <c r="P82" s="17" t="s">
        <v>160</v>
      </c>
    </row>
    <row r="83" spans="1:36" s="17" customFormat="1" x14ac:dyDescent="0.15">
      <c r="E83" s="17">
        <f>E82*E79</f>
        <v>2.0808413830557562E-2</v>
      </c>
      <c r="F83" s="17">
        <f>F82*F79</f>
        <v>4.2466150674607281E-2</v>
      </c>
      <c r="G83" s="17">
        <f t="shared" ref="G83:N83" si="32">G82*G79</f>
        <v>6.4999210216235642E-2</v>
      </c>
      <c r="H83" s="17">
        <f t="shared" si="32"/>
        <v>8.8434299613926029E-2</v>
      </c>
      <c r="I83" s="17">
        <f t="shared" si="32"/>
        <v>0.11279885154837506</v>
      </c>
      <c r="J83" s="17">
        <f t="shared" si="32"/>
        <v>0.13812104271229597</v>
      </c>
      <c r="K83" s="17">
        <f t="shared" si="32"/>
        <v>0.1644298127527333</v>
      </c>
      <c r="L83" s="17">
        <f t="shared" si="32"/>
        <v>0.19175488367665694</v>
      </c>
      <c r="M83" s="17">
        <f t="shared" si="32"/>
        <v>0.22012677973085618</v>
      </c>
      <c r="N83" s="17">
        <f t="shared" si="32"/>
        <v>0.24957684776741063</v>
      </c>
      <c r="O83" s="17">
        <f>O82*O79</f>
        <v>8.4890084274629469</v>
      </c>
      <c r="P83" s="17">
        <f>SUM(E83:O83)</f>
        <v>9.7825247199866006</v>
      </c>
    </row>
    <row r="85" spans="1:36" s="26" customFormat="1" x14ac:dyDescent="0.15"/>
    <row r="87" spans="1:36" x14ac:dyDescent="0.15">
      <c r="A87" s="94" t="s">
        <v>112</v>
      </c>
      <c r="B87" s="19" t="s">
        <v>113</v>
      </c>
      <c r="C87" s="19" t="s">
        <v>83</v>
      </c>
      <c r="D87" s="95" t="s">
        <v>118</v>
      </c>
      <c r="E87" s="95"/>
      <c r="I87" s="96" t="s">
        <v>188</v>
      </c>
      <c r="J87" s="97"/>
      <c r="K87" s="97"/>
    </row>
    <row r="88" spans="1:36" ht="30" customHeight="1" x14ac:dyDescent="0.15">
      <c r="A88" s="94"/>
      <c r="B88" s="19" t="s">
        <v>114</v>
      </c>
      <c r="C88" s="23">
        <v>92000</v>
      </c>
      <c r="D88" s="20" t="s">
        <v>119</v>
      </c>
      <c r="E88" s="21">
        <v>0.2</v>
      </c>
      <c r="I88" s="97"/>
      <c r="J88" s="97"/>
      <c r="K88" s="97"/>
    </row>
    <row r="89" spans="1:36" ht="45" x14ac:dyDescent="0.15">
      <c r="A89" s="94"/>
      <c r="B89" s="19" t="s">
        <v>115</v>
      </c>
      <c r="C89" s="23">
        <v>108200</v>
      </c>
      <c r="D89" s="20" t="s">
        <v>126</v>
      </c>
      <c r="E89" s="21">
        <v>0.08</v>
      </c>
      <c r="I89" s="97"/>
      <c r="J89" s="97"/>
      <c r="K89" s="97"/>
    </row>
    <row r="90" spans="1:36" ht="30" x14ac:dyDescent="0.15">
      <c r="A90" s="94"/>
      <c r="B90" s="19" t="s">
        <v>116</v>
      </c>
      <c r="C90" s="23">
        <v>37800</v>
      </c>
      <c r="D90" s="1" t="s">
        <v>120</v>
      </c>
      <c r="E90" s="21">
        <f>1+E89</f>
        <v>1.08</v>
      </c>
    </row>
    <row r="91" spans="1:36" ht="30" x14ac:dyDescent="0.15">
      <c r="A91" s="94"/>
      <c r="B91" s="19" t="s">
        <v>117</v>
      </c>
      <c r="C91" s="23">
        <f>C89-C90</f>
        <v>70400</v>
      </c>
      <c r="D91" s="1">
        <v>1</v>
      </c>
      <c r="E91" s="1" t="s">
        <v>121</v>
      </c>
      <c r="F91" s="1" t="s">
        <v>130</v>
      </c>
    </row>
    <row r="92" spans="1:36" ht="30" x14ac:dyDescent="0.15">
      <c r="A92" s="93" t="s">
        <v>122</v>
      </c>
      <c r="B92" s="18">
        <v>1</v>
      </c>
      <c r="C92" s="24">
        <f>C91*(1+E88)</f>
        <v>84480</v>
      </c>
      <c r="D92" s="21">
        <f>D91*(1+E89)</f>
        <v>1.08</v>
      </c>
      <c r="E92" s="24">
        <f>C92/D92</f>
        <v>78222.222222222219</v>
      </c>
      <c r="F92">
        <f>E92/E103</f>
        <v>1.4288990827568578E-2</v>
      </c>
      <c r="G92">
        <f>F92*B92</f>
        <v>1.4288990827568578E-2</v>
      </c>
      <c r="I92" s="19" t="s">
        <v>190</v>
      </c>
      <c r="J92" s="19">
        <v>1.1499999999999999</v>
      </c>
      <c r="K92" s="90" t="s">
        <v>198</v>
      </c>
      <c r="L92" s="90"/>
      <c r="M92" s="90"/>
      <c r="N92" s="90"/>
      <c r="O92" s="90"/>
      <c r="P92" s="90"/>
    </row>
    <row r="93" spans="1:36" x14ac:dyDescent="0.15">
      <c r="A93" s="93"/>
      <c r="B93" s="18">
        <v>2</v>
      </c>
      <c r="C93" s="24">
        <f>C92*(1+E88)</f>
        <v>101376</v>
      </c>
      <c r="D93" s="21">
        <f>D92*(1+E89)</f>
        <v>1.1664000000000001</v>
      </c>
      <c r="E93" s="24">
        <f t="shared" ref="E93:E100" si="33">C93/D93</f>
        <v>86913.580246913567</v>
      </c>
      <c r="F93">
        <f>E93/E103</f>
        <v>1.5876656475076197E-2</v>
      </c>
      <c r="G93">
        <f>F93*B93</f>
        <v>3.1753312950152393E-2</v>
      </c>
      <c r="I93" s="19" t="s">
        <v>191</v>
      </c>
      <c r="J93" s="19">
        <v>54</v>
      </c>
      <c r="K93" s="90"/>
      <c r="L93" s="90"/>
      <c r="M93" s="90"/>
      <c r="N93" s="90"/>
      <c r="O93" s="90"/>
      <c r="P93" s="90"/>
    </row>
    <row r="94" spans="1:36" x14ac:dyDescent="0.15">
      <c r="A94" s="93"/>
      <c r="B94" s="18">
        <v>3</v>
      </c>
      <c r="C94" s="24">
        <f>C93*(1+E88)</f>
        <v>121651.2</v>
      </c>
      <c r="D94" s="21">
        <f>D93*(1+E89)</f>
        <v>1.2597120000000002</v>
      </c>
      <c r="E94" s="24">
        <f t="shared" si="33"/>
        <v>96570.644718792857</v>
      </c>
      <c r="F94">
        <f>E94/E103</f>
        <v>1.7640729416751329E-2</v>
      </c>
      <c r="G94">
        <f t="shared" ref="G94:G101" si="34">F94*B94</f>
        <v>5.2922188250253986E-2</v>
      </c>
      <c r="I94" s="19" t="s">
        <v>192</v>
      </c>
      <c r="J94" s="19">
        <v>46.86</v>
      </c>
      <c r="K94" s="1"/>
      <c r="L94" s="1" t="s">
        <v>204</v>
      </c>
      <c r="M94" s="1" t="s">
        <v>205</v>
      </c>
      <c r="N94" s="1" t="s">
        <v>206</v>
      </c>
      <c r="O94" s="1" t="s">
        <v>18</v>
      </c>
      <c r="P94" s="1" t="s">
        <v>207</v>
      </c>
    </row>
    <row r="95" spans="1:36" ht="30" x14ac:dyDescent="0.15">
      <c r="A95" s="93"/>
      <c r="B95" s="18">
        <v>4</v>
      </c>
      <c r="C95" s="24">
        <f>C94*(1+E88)</f>
        <v>145981.44</v>
      </c>
      <c r="D95" s="21">
        <f>D94*(1+E89)</f>
        <v>1.3604889600000003</v>
      </c>
      <c r="E95" s="24">
        <f t="shared" si="33"/>
        <v>107300.71635421428</v>
      </c>
      <c r="F95">
        <f>E95/E103</f>
        <v>1.9600810463057033E-2</v>
      </c>
      <c r="G95">
        <f t="shared" si="34"/>
        <v>7.8403241852228134E-2</v>
      </c>
      <c r="I95" s="19" t="s">
        <v>193</v>
      </c>
      <c r="J95" s="19">
        <v>40</v>
      </c>
      <c r="K95" s="1" t="s">
        <v>199</v>
      </c>
      <c r="L95" s="1">
        <f>$J$95-$J$98*2</f>
        <v>36</v>
      </c>
      <c r="M95" s="58">
        <f>$J$96-$J$99*2</f>
        <v>0.16</v>
      </c>
      <c r="N95" s="58">
        <f>$J$97-$J$128*2</f>
        <v>0.10999999999999999</v>
      </c>
      <c r="O95" s="1">
        <f>$L$95*$J$92*(1+$M$95)*(1+$M$95)*(1+$N$95)*(1+$N$95)*(1+$N$95)</f>
        <v>76.187768927039969</v>
      </c>
      <c r="P95" s="22">
        <f>($O$95-$J$93)/$J$93</f>
        <v>0.41088460975999941</v>
      </c>
    </row>
    <row r="96" spans="1:36" ht="45" x14ac:dyDescent="0.15">
      <c r="A96" s="93"/>
      <c r="B96" s="18">
        <v>5</v>
      </c>
      <c r="C96" s="24">
        <f>C95*(1+E88)</f>
        <v>175177.728</v>
      </c>
      <c r="D96" s="21">
        <f>D95*(1+E89)</f>
        <v>1.4693280768000003</v>
      </c>
      <c r="E96" s="24">
        <f t="shared" si="33"/>
        <v>119223.01817134919</v>
      </c>
      <c r="F96">
        <f>E96/E103</f>
        <v>2.1778678292285591E-2</v>
      </c>
      <c r="G96">
        <f t="shared" si="34"/>
        <v>0.10889339146142796</v>
      </c>
      <c r="I96" s="19" t="s">
        <v>194</v>
      </c>
      <c r="J96" s="59">
        <v>0.2</v>
      </c>
      <c r="K96" s="1" t="s">
        <v>200</v>
      </c>
      <c r="L96" s="1">
        <f>$J$95-$J$98*1</f>
        <v>38</v>
      </c>
      <c r="M96" s="58">
        <f>$J$96-$J$99*1</f>
        <v>0.18000000000000002</v>
      </c>
      <c r="N96" s="58">
        <f>$J$97-$J$128*1</f>
        <v>0.13</v>
      </c>
      <c r="O96" s="1">
        <f>$L$96*$J$92*(1+$M$96)*(1+$M$96)*(1+$N$96)*(1+$N$96)*(1+$N$96)</f>
        <v>87.797223508359963</v>
      </c>
      <c r="P96" s="22">
        <f>($O$96-$J$93)/$J$93</f>
        <v>0.62587450941407341</v>
      </c>
    </row>
    <row r="97" spans="1:36" ht="45" x14ac:dyDescent="0.15">
      <c r="A97" s="93"/>
      <c r="B97" s="18">
        <v>6</v>
      </c>
      <c r="C97" s="24">
        <f>C96*(1+E88)</f>
        <v>210213.27359999999</v>
      </c>
      <c r="D97" s="21">
        <f>D96*(1+E89)</f>
        <v>1.5868743229440005</v>
      </c>
      <c r="E97" s="24">
        <f t="shared" si="33"/>
        <v>132470.02019038796</v>
      </c>
      <c r="F97">
        <f>E97/E103</f>
        <v>2.4198531435872875E-2</v>
      </c>
      <c r="G97">
        <f t="shared" si="34"/>
        <v>0.14519118861523725</v>
      </c>
      <c r="I97" s="19" t="s">
        <v>195</v>
      </c>
      <c r="J97" s="59">
        <v>0.15</v>
      </c>
      <c r="K97" s="1" t="s">
        <v>201</v>
      </c>
      <c r="L97" s="1">
        <f>$J$95</f>
        <v>40</v>
      </c>
      <c r="M97" s="58">
        <f>$J$96</f>
        <v>0.2</v>
      </c>
      <c r="N97" s="58">
        <f>$J$97</f>
        <v>0.15</v>
      </c>
      <c r="O97" s="1">
        <f>$L$97*$J$92*(1+$M$97)*(1+$M$97)*(1+$N$97)*(1+$N$97)*(1+$N$97)</f>
        <v>100.74275999999996</v>
      </c>
      <c r="P97" s="22">
        <f>($O$97-$J$93)/$J$93</f>
        <v>0.86560666666666597</v>
      </c>
    </row>
    <row r="98" spans="1:36" x14ac:dyDescent="0.15">
      <c r="A98" s="93"/>
      <c r="B98" s="18">
        <v>7</v>
      </c>
      <c r="C98" s="24">
        <f>C97*(1+E88)</f>
        <v>252255.92831999998</v>
      </c>
      <c r="D98" s="21">
        <f>D97*(1+E89)</f>
        <v>1.7138242687795207</v>
      </c>
      <c r="E98" s="24">
        <f t="shared" si="33"/>
        <v>147188.91132265329</v>
      </c>
      <c r="F98">
        <f>E98/E103</f>
        <v>2.6887257150969859E-2</v>
      </c>
      <c r="G98">
        <f t="shared" si="34"/>
        <v>0.18821080005678903</v>
      </c>
      <c r="I98" s="19" t="s">
        <v>196</v>
      </c>
      <c r="J98" s="60">
        <v>2</v>
      </c>
      <c r="K98" s="1" t="s">
        <v>202</v>
      </c>
      <c r="L98" s="1">
        <f>$J$95+$J$98*1</f>
        <v>42</v>
      </c>
      <c r="M98" s="58">
        <f>$J$96+$J$99*1</f>
        <v>0.22</v>
      </c>
      <c r="N98" s="58">
        <f>$J$97+$J$128*1</f>
        <v>0.16999999999999998</v>
      </c>
      <c r="O98" s="1">
        <f>$L$98*$J$92*(1+$M$98)*(1+$M$98)*(1+$N$98)*(1+$N$98)*(1+$N$98)</f>
        <v>115.13951011835998</v>
      </c>
      <c r="P98" s="22">
        <f>($O$98-$J$93)/$J$93</f>
        <v>1.1322131503399997</v>
      </c>
    </row>
    <row r="99" spans="1:36" x14ac:dyDescent="0.15">
      <c r="A99" s="93"/>
      <c r="B99" s="18">
        <v>8</v>
      </c>
      <c r="C99" s="24">
        <f>C98*(1+E88)</f>
        <v>302707.11398399994</v>
      </c>
      <c r="D99" s="21">
        <f>D98*(1+E89)</f>
        <v>1.8509302102818825</v>
      </c>
      <c r="E99" s="24">
        <f t="shared" si="33"/>
        <v>163543.23480294805</v>
      </c>
      <c r="F99" s="37">
        <f>E99/E103</f>
        <v>2.9874730167744279E-2</v>
      </c>
      <c r="G99">
        <f t="shared" si="34"/>
        <v>0.23899784134195423</v>
      </c>
      <c r="I99" s="19" t="s">
        <v>197</v>
      </c>
      <c r="J99" s="59">
        <v>0.02</v>
      </c>
      <c r="K99" s="1" t="s">
        <v>203</v>
      </c>
      <c r="L99" s="1">
        <f>$J$95+$J$98*2</f>
        <v>44</v>
      </c>
      <c r="M99" s="58">
        <f>$J$96+$J$99*2</f>
        <v>0.24000000000000002</v>
      </c>
      <c r="N99" s="58">
        <f>$J$97+$J$128*2</f>
        <v>0.19</v>
      </c>
      <c r="O99" s="1">
        <f>$L$99*$J$92*(1+$M$99)*(1+$M$99)*(1+$N$99)*(1+$N$99)*(1+$N$99)</f>
        <v>131.10968420703995</v>
      </c>
      <c r="P99" s="22">
        <f>($O$99-$J$93)/$J$93</f>
        <v>1.4279571149451842</v>
      </c>
    </row>
    <row r="100" spans="1:36" x14ac:dyDescent="0.15">
      <c r="A100" s="93"/>
      <c r="B100" s="18">
        <v>9</v>
      </c>
      <c r="C100" s="24">
        <f>C99*(1+E88)</f>
        <v>363248.53678079991</v>
      </c>
      <c r="D100" s="21">
        <f>D99*(1+E89)</f>
        <v>1.9990046271044333</v>
      </c>
      <c r="E100" s="24">
        <f t="shared" si="33"/>
        <v>181714.70533660892</v>
      </c>
      <c r="F100">
        <f>E100/E103</f>
        <v>3.3194144630826969E-2</v>
      </c>
      <c r="G100">
        <f t="shared" si="34"/>
        <v>0.29874730167744273</v>
      </c>
    </row>
    <row r="101" spans="1:36" x14ac:dyDescent="0.15">
      <c r="A101" s="93"/>
      <c r="B101" s="18">
        <v>10</v>
      </c>
      <c r="C101" s="24">
        <f>C100*(1+E88)</f>
        <v>435898.2441369599</v>
      </c>
      <c r="D101" s="21">
        <f>D100*(1+E89)</f>
        <v>2.1589249972727882</v>
      </c>
      <c r="E101" s="24">
        <f>C101/D101</f>
        <v>201905.22815178768</v>
      </c>
      <c r="F101">
        <f>E101/E103</f>
        <v>3.6882382923141076E-2</v>
      </c>
      <c r="G101">
        <f t="shared" si="34"/>
        <v>0.36882382923141077</v>
      </c>
    </row>
    <row r="102" spans="1:36" x14ac:dyDescent="0.15">
      <c r="A102" t="s">
        <v>123</v>
      </c>
      <c r="B102" s="18" t="s">
        <v>124</v>
      </c>
      <c r="C102" s="24">
        <f>C101*(1+B103)/(E89-B103)</f>
        <v>8979503.8292213734</v>
      </c>
      <c r="D102" s="21">
        <f>D101</f>
        <v>2.1589249972727882</v>
      </c>
      <c r="E102" s="24">
        <f>C102/D102</f>
        <v>4159247.6999268262</v>
      </c>
      <c r="F102">
        <f>E102/E103</f>
        <v>0.7597770882167062</v>
      </c>
      <c r="G102">
        <f>F102*11</f>
        <v>8.3575479703837683</v>
      </c>
    </row>
    <row r="103" spans="1:36" ht="60" x14ac:dyDescent="0.15">
      <c r="A103" s="11" t="s">
        <v>127</v>
      </c>
      <c r="B103" s="29">
        <v>0.03</v>
      </c>
      <c r="C103" s="28"/>
      <c r="D103" s="32" t="s">
        <v>125</v>
      </c>
      <c r="E103" s="33">
        <f>SUM(E92:E102)</f>
        <v>5474299.9814447043</v>
      </c>
      <c r="G103">
        <f>SUM(G92:G102)</f>
        <v>9.8837800566482343</v>
      </c>
    </row>
    <row r="104" spans="1:36" x14ac:dyDescent="0.15">
      <c r="D104" s="26" t="s">
        <v>128</v>
      </c>
      <c r="E104" s="30">
        <f>E103/C88</f>
        <v>59.503260667877221</v>
      </c>
    </row>
    <row r="106" spans="1:36" x14ac:dyDescent="0.15">
      <c r="C106" s="31"/>
    </row>
    <row r="107" spans="1:36" s="17" customFormat="1" x14ac:dyDescent="0.15">
      <c r="A107" s="17" t="s">
        <v>83</v>
      </c>
    </row>
    <row r="108" spans="1:36" s="17" customFormat="1" x14ac:dyDescent="0.15">
      <c r="A108" s="17" t="s">
        <v>131</v>
      </c>
      <c r="B108" s="25">
        <v>0.15</v>
      </c>
      <c r="C108" s="17" t="s">
        <v>132</v>
      </c>
      <c r="D108" s="34">
        <v>8.5000000000000006E-2</v>
      </c>
      <c r="E108" s="17">
        <v>1</v>
      </c>
      <c r="F108" s="17">
        <f>+E108+1</f>
        <v>2</v>
      </c>
      <c r="G108" s="17">
        <f t="shared" ref="G108" si="35">+F108+1</f>
        <v>3</v>
      </c>
      <c r="H108" s="17">
        <f t="shared" ref="H108" si="36">+G108+1</f>
        <v>4</v>
      </c>
      <c r="I108" s="17">
        <f t="shared" ref="I108" si="37">+H108+1</f>
        <v>5</v>
      </c>
      <c r="J108" s="17">
        <f t="shared" ref="J108" si="38">+I108+1</f>
        <v>6</v>
      </c>
      <c r="K108" s="17">
        <f t="shared" ref="K108" si="39">+J108+1</f>
        <v>7</v>
      </c>
      <c r="L108" s="17">
        <f t="shared" ref="L108" si="40">+K108+1</f>
        <v>8</v>
      </c>
      <c r="M108" s="17">
        <f t="shared" ref="M108" si="41">+L108+1</f>
        <v>9</v>
      </c>
      <c r="N108" s="17">
        <f>+M108+1</f>
        <v>10</v>
      </c>
      <c r="O108" s="17">
        <f>+N108+1</f>
        <v>11</v>
      </c>
    </row>
    <row r="109" spans="1:36" s="17" customFormat="1" x14ac:dyDescent="0.15">
      <c r="A109" s="17" t="s">
        <v>133</v>
      </c>
      <c r="B109" s="25">
        <v>0.4</v>
      </c>
      <c r="C109" s="17" t="s">
        <v>134</v>
      </c>
      <c r="D109" s="31">
        <f>SUM(E110:Y110)</f>
        <v>53.622913840935205</v>
      </c>
      <c r="E109" s="17">
        <f>+B109*B110</f>
        <v>0.44800000000000006</v>
      </c>
      <c r="F109" s="35">
        <f>+E109*(1+$B$108)</f>
        <v>0.51519999999999999</v>
      </c>
      <c r="G109" s="35">
        <f t="shared" ref="G109:M109" si="42">+F109*(1+$B$108)</f>
        <v>0.5924799999999999</v>
      </c>
      <c r="H109" s="35">
        <f t="shared" si="42"/>
        <v>0.68135199999999985</v>
      </c>
      <c r="I109" s="35">
        <f t="shared" si="42"/>
        <v>0.78355479999999977</v>
      </c>
      <c r="J109" s="35">
        <f t="shared" si="42"/>
        <v>0.90108801999999966</v>
      </c>
      <c r="K109" s="35">
        <f t="shared" si="42"/>
        <v>1.0362512229999996</v>
      </c>
      <c r="L109" s="35">
        <f t="shared" si="42"/>
        <v>1.1916889064499994</v>
      </c>
      <c r="M109" s="35">
        <f t="shared" si="42"/>
        <v>1.3704422424174991</v>
      </c>
      <c r="N109" s="35">
        <f>+M109*(1+$B$108)</f>
        <v>1.5760085787801239</v>
      </c>
      <c r="O109" s="35">
        <f>N109*30*1/B109</f>
        <v>118.20064340850929</v>
      </c>
      <c r="P109" s="38"/>
      <c r="Q109" s="35"/>
      <c r="R109" s="35"/>
      <c r="S109" s="35"/>
      <c r="T109" s="35"/>
      <c r="U109" s="35"/>
      <c r="V109" s="35"/>
      <c r="W109" s="35"/>
      <c r="X109" s="35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</row>
    <row r="110" spans="1:36" s="17" customFormat="1" x14ac:dyDescent="0.15">
      <c r="A110" s="17" t="s">
        <v>135</v>
      </c>
      <c r="B110" s="17">
        <v>1.1200000000000001</v>
      </c>
      <c r="E110" s="31">
        <f>-PV($D$108,E108,0,E109)</f>
        <v>0.41290322580645167</v>
      </c>
      <c r="F110" s="31">
        <f>-PV($D$108,F108,0,F109)</f>
        <v>0.43763936375799017</v>
      </c>
      <c r="G110" s="31">
        <f>-PV($D$108,G108,0,G109)</f>
        <v>0.46385739015823835</v>
      </c>
      <c r="H110" s="31">
        <f t="shared" ref="H110:O110" si="43">-PV($D$108,H108,0,H109)</f>
        <v>0.49164608173453839</v>
      </c>
      <c r="I110" s="31">
        <f t="shared" si="43"/>
        <v>0.52109953363568584</v>
      </c>
      <c r="J110" s="31">
        <f t="shared" si="43"/>
        <v>0.55231747804704023</v>
      </c>
      <c r="K110" s="31">
        <f>-PV($D$108,K108,0,K109)</f>
        <v>0.58540562189317624</v>
      </c>
      <c r="L110" s="31">
        <f t="shared" si="43"/>
        <v>0.62047600477156928</v>
      </c>
      <c r="M110" s="31">
        <f t="shared" si="43"/>
        <v>0.65764737832931308</v>
      </c>
      <c r="N110" s="31">
        <f t="shared" si="43"/>
        <v>0.69704560836747453</v>
      </c>
      <c r="O110" s="31">
        <f t="shared" si="43"/>
        <v>48.182876154433728</v>
      </c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</row>
    <row r="111" spans="1:36" s="17" customFormat="1" x14ac:dyDescent="0.15">
      <c r="E111" s="17">
        <f>E110/$D$80</f>
        <v>1.6079906888416529E-2</v>
      </c>
      <c r="F111" s="17">
        <f t="shared" ref="F111" si="44">F110/$D$80</f>
        <v>1.7043219282653461E-2</v>
      </c>
      <c r="G111" s="17">
        <f t="shared" ref="G111" si="45">G110/$D$80</f>
        <v>1.8064241635992146E-2</v>
      </c>
      <c r="H111" s="17">
        <f t="shared" ref="H111" si="46">H110/$D$80</f>
        <v>1.9146431227088451E-2</v>
      </c>
      <c r="I111" s="17">
        <f t="shared" ref="I111" si="47">I110/$D$80</f>
        <v>2.0293452452674395E-2</v>
      </c>
      <c r="J111" s="17">
        <f t="shared" ref="J111" si="48">J110/$D$80</f>
        <v>2.1509189235553505E-2</v>
      </c>
      <c r="K111" s="17">
        <f t="shared" ref="K111" si="49">K110/$D$80</f>
        <v>2.2797758175932284E-2</v>
      </c>
      <c r="L111" s="17">
        <f t="shared" ref="L111" si="50">L110/$D$80</f>
        <v>2.4163522490619472E-2</v>
      </c>
      <c r="M111" s="17">
        <f t="shared" ref="M111" si="51">M110/$D$80</f>
        <v>2.5611106787292528E-2</v>
      </c>
      <c r="N111" s="17">
        <f t="shared" ref="N111" si="52">N110/$D$80</f>
        <v>2.7145412723858436E-2</v>
      </c>
      <c r="O111" s="17">
        <f>O110/$D$80</f>
        <v>1.8764110177782329</v>
      </c>
      <c r="P111" s="17" t="s">
        <v>160</v>
      </c>
    </row>
    <row r="112" spans="1:36" s="17" customFormat="1" x14ac:dyDescent="0.15">
      <c r="E112" s="17">
        <f>E111*E108</f>
        <v>1.6079906888416529E-2</v>
      </c>
      <c r="F112" s="17">
        <f>F111*F108</f>
        <v>3.4086438565306923E-2</v>
      </c>
      <c r="G112" s="17">
        <f t="shared" ref="G112" si="53">G111*G108</f>
        <v>5.4192724907976442E-2</v>
      </c>
      <c r="H112" s="17">
        <f t="shared" ref="H112" si="54">H111*H108</f>
        <v>7.6585724908353803E-2</v>
      </c>
      <c r="I112" s="17">
        <f t="shared" ref="I112" si="55">I111*I108</f>
        <v>0.10146726226337197</v>
      </c>
      <c r="J112" s="17">
        <f t="shared" ref="J112" si="56">J111*J108</f>
        <v>0.12905513541332103</v>
      </c>
      <c r="K112" s="17">
        <f t="shared" ref="K112" si="57">K111*K108</f>
        <v>0.159584307231526</v>
      </c>
      <c r="L112" s="17">
        <f t="shared" ref="L112" si="58">L111*L108</f>
        <v>0.19330817992495578</v>
      </c>
      <c r="M112" s="17">
        <f t="shared" ref="M112" si="59">M111*M108</f>
        <v>0.23049996108563275</v>
      </c>
      <c r="N112" s="17">
        <f t="shared" ref="N112" si="60">N111*N108</f>
        <v>0.27145412723858436</v>
      </c>
      <c r="O112" s="17">
        <f>O111*O108</f>
        <v>20.640521195560563</v>
      </c>
      <c r="P112" s="17">
        <f>SUM(E112:O112)</f>
        <v>21.906834963988008</v>
      </c>
    </row>
    <row r="114" spans="1:16" s="26" customFormat="1" x14ac:dyDescent="0.15"/>
    <row r="116" spans="1:16" ht="15" customHeight="1" x14ac:dyDescent="0.15">
      <c r="A116" s="94" t="s">
        <v>112</v>
      </c>
      <c r="B116" s="19" t="s">
        <v>113</v>
      </c>
      <c r="C116" s="19" t="s">
        <v>42</v>
      </c>
      <c r="D116" s="95" t="s">
        <v>118</v>
      </c>
      <c r="E116" s="95"/>
      <c r="I116" s="96" t="s">
        <v>189</v>
      </c>
      <c r="J116" s="97"/>
      <c r="K116" s="97"/>
    </row>
    <row r="117" spans="1:16" ht="45" x14ac:dyDescent="0.15">
      <c r="A117" s="94"/>
      <c r="B117" s="19" t="s">
        <v>114</v>
      </c>
      <c r="C117" s="23">
        <v>270036.93</v>
      </c>
      <c r="D117" s="20" t="s">
        <v>186</v>
      </c>
      <c r="E117" s="21">
        <v>0.15</v>
      </c>
      <c r="I117" s="97"/>
      <c r="J117" s="97"/>
      <c r="K117" s="97"/>
    </row>
    <row r="118" spans="1:16" ht="45" x14ac:dyDescent="0.15">
      <c r="A118" s="94"/>
      <c r="B118" s="19" t="s">
        <v>115</v>
      </c>
      <c r="C118" s="23">
        <v>656756.94999999995</v>
      </c>
      <c r="D118" s="20" t="s">
        <v>187</v>
      </c>
      <c r="E118" s="21">
        <v>0.1</v>
      </c>
      <c r="I118" s="97"/>
      <c r="J118" s="97"/>
      <c r="K118" s="97"/>
    </row>
    <row r="119" spans="1:16" ht="30" x14ac:dyDescent="0.15">
      <c r="A119" s="94"/>
      <c r="B119" s="19" t="s">
        <v>116</v>
      </c>
      <c r="C119" s="23">
        <v>58263.21</v>
      </c>
      <c r="D119" s="20" t="s">
        <v>126</v>
      </c>
      <c r="E119" s="21">
        <v>7.0000000000000007E-2</v>
      </c>
    </row>
    <row r="120" spans="1:16" ht="30" x14ac:dyDescent="0.15">
      <c r="A120" s="94"/>
      <c r="B120" s="19" t="s">
        <v>117</v>
      </c>
      <c r="C120" s="23">
        <f>C118-C119</f>
        <v>598493.74</v>
      </c>
      <c r="D120" s="1">
        <v>1</v>
      </c>
      <c r="E120" s="1" t="s">
        <v>121</v>
      </c>
      <c r="F120" s="1" t="s">
        <v>130</v>
      </c>
    </row>
    <row r="121" spans="1:16" ht="30" x14ac:dyDescent="0.15">
      <c r="A121" s="93" t="s">
        <v>122</v>
      </c>
      <c r="B121" s="18">
        <v>1</v>
      </c>
      <c r="C121" s="24">
        <f>C120*(1+E117)</f>
        <v>688267.80099999998</v>
      </c>
      <c r="D121" s="21">
        <f>D120*(1+E119)</f>
        <v>1.07</v>
      </c>
      <c r="E121" s="24">
        <f>C121/D121</f>
        <v>643240.93551401864</v>
      </c>
      <c r="F121">
        <f>E121/E132</f>
        <v>1.9043039247532211E-2</v>
      </c>
      <c r="G121">
        <f>F121*B121</f>
        <v>1.9043039247532211E-2</v>
      </c>
      <c r="I121" s="19" t="s">
        <v>190</v>
      </c>
      <c r="J121" s="19">
        <v>2.0299999999999998</v>
      </c>
      <c r="K121" s="90" t="s">
        <v>198</v>
      </c>
      <c r="L121" s="90"/>
      <c r="M121" s="90"/>
      <c r="N121" s="90"/>
      <c r="O121" s="90"/>
      <c r="P121" s="90"/>
    </row>
    <row r="122" spans="1:16" x14ac:dyDescent="0.15">
      <c r="A122" s="93"/>
      <c r="B122" s="18">
        <v>2</v>
      </c>
      <c r="C122" s="24">
        <f>C121*(1+E117)</f>
        <v>791507.97114999988</v>
      </c>
      <c r="D122" s="21">
        <f>D121*(1+E119)</f>
        <v>1.1449</v>
      </c>
      <c r="E122" s="24">
        <f>C122/D122</f>
        <v>691333.71573936578</v>
      </c>
      <c r="F122">
        <f>E122/E132</f>
        <v>2.0466817882861719E-2</v>
      </c>
      <c r="G122">
        <f>F122*B122</f>
        <v>4.0933635765723439E-2</v>
      </c>
      <c r="I122" s="19" t="s">
        <v>191</v>
      </c>
      <c r="J122" s="19">
        <v>125.65</v>
      </c>
      <c r="K122" s="90"/>
      <c r="L122" s="90"/>
      <c r="M122" s="90"/>
      <c r="N122" s="90"/>
      <c r="O122" s="90"/>
      <c r="P122" s="90"/>
    </row>
    <row r="123" spans="1:16" x14ac:dyDescent="0.15">
      <c r="A123" s="93"/>
      <c r="B123" s="18">
        <v>3</v>
      </c>
      <c r="C123" s="24">
        <f>C122*(1+E117)</f>
        <v>910234.16682249983</v>
      </c>
      <c r="D123" s="21">
        <f>D122*(1+E119)</f>
        <v>1.2250430000000001</v>
      </c>
      <c r="E123" s="24">
        <f>C123/D123</f>
        <v>743022.21785072016</v>
      </c>
      <c r="F123">
        <f>E123/E132</f>
        <v>2.1997047257281285E-2</v>
      </c>
      <c r="G123">
        <f t="shared" ref="G123:G130" si="61">F123*B123</f>
        <v>6.5991141771843856E-2</v>
      </c>
      <c r="I123" s="19" t="s">
        <v>192</v>
      </c>
      <c r="J123" s="19">
        <v>61.82</v>
      </c>
      <c r="K123" s="1"/>
      <c r="L123" s="1" t="s">
        <v>204</v>
      </c>
      <c r="M123" s="1" t="s">
        <v>205</v>
      </c>
      <c r="N123" s="1" t="s">
        <v>206</v>
      </c>
      <c r="O123" s="1" t="s">
        <v>18</v>
      </c>
      <c r="P123" s="1" t="s">
        <v>207</v>
      </c>
    </row>
    <row r="124" spans="1:16" ht="30" x14ac:dyDescent="0.15">
      <c r="A124" s="93"/>
      <c r="B124" s="18">
        <v>4</v>
      </c>
      <c r="C124" s="24">
        <f>C123*(1+E117)</f>
        <v>1046769.2918458747</v>
      </c>
      <c r="D124" s="21">
        <f>D123*(1+E119)</f>
        <v>1.3107960100000002</v>
      </c>
      <c r="E124" s="24">
        <f t="shared" ref="E124:E129" si="62">C124/D124</f>
        <v>798575.28086759627</v>
      </c>
      <c r="F124">
        <f>E124/E132</f>
        <v>2.3641686304554647E-2</v>
      </c>
      <c r="G124">
        <f t="shared" si="61"/>
        <v>9.456674521821859E-2</v>
      </c>
      <c r="I124" s="19" t="s">
        <v>193</v>
      </c>
      <c r="J124" s="19">
        <v>50</v>
      </c>
      <c r="K124" s="1" t="s">
        <v>199</v>
      </c>
      <c r="L124" s="1">
        <f>$J$124-$J$127*2</f>
        <v>46</v>
      </c>
      <c r="M124" s="58">
        <f>$J$125-$J$128*2</f>
        <v>0.16</v>
      </c>
      <c r="N124" s="58">
        <f>$J$126-$J$128*2</f>
        <v>0.10999999999999999</v>
      </c>
      <c r="O124" s="1">
        <f>$L$124*$J$121*(1+$M$124)*(1+$M$124)*(1+$N$124)*(1+$N$124)*(1+$N$124)</f>
        <v>171.84574546876789</v>
      </c>
      <c r="P124" s="22">
        <f>($O$124-$J$122)/$J$122</f>
        <v>0.36765416210718566</v>
      </c>
    </row>
    <row r="125" spans="1:16" ht="45" x14ac:dyDescent="0.15">
      <c r="A125" s="93"/>
      <c r="B125" s="18">
        <v>5</v>
      </c>
      <c r="C125" s="24">
        <f>C124*(1+E117)</f>
        <v>1203784.6856227559</v>
      </c>
      <c r="D125" s="21">
        <f>D124*(1+E119)</f>
        <v>1.4025517307000004</v>
      </c>
      <c r="E125" s="24">
        <f t="shared" si="62"/>
        <v>858281.84392311738</v>
      </c>
      <c r="F125">
        <f>E125/E132</f>
        <v>2.5409289018913872E-2</v>
      </c>
      <c r="G125">
        <f t="shared" si="61"/>
        <v>0.12704644509456936</v>
      </c>
      <c r="I125" s="19" t="s">
        <v>194</v>
      </c>
      <c r="J125" s="59">
        <v>0.2</v>
      </c>
      <c r="K125" s="1" t="s">
        <v>200</v>
      </c>
      <c r="L125" s="1">
        <f>$J$124-$J$127*1</f>
        <v>48</v>
      </c>
      <c r="M125" s="22">
        <f>$J$125-$J$128*1</f>
        <v>0.18000000000000002</v>
      </c>
      <c r="N125" s="22">
        <f>$J$126-$J$128*1</f>
        <v>0.13</v>
      </c>
      <c r="O125" s="1">
        <f>$L$125*$J$121*(1+$M$125)*(1+$M$125)*(1+$N$125)*(1+$N$125)*(1+$N$125)</f>
        <v>195.76570843603196</v>
      </c>
      <c r="P125" s="22">
        <f>($O$125-$J$122)/$J$122</f>
        <v>0.55802394298473501</v>
      </c>
    </row>
    <row r="126" spans="1:16" ht="45" x14ac:dyDescent="0.15">
      <c r="A126" s="93"/>
      <c r="B126" s="18">
        <v>6</v>
      </c>
      <c r="C126" s="24">
        <f>C125*(1+E118)</f>
        <v>1324163.1541850315</v>
      </c>
      <c r="D126" s="21">
        <f>D125*(1+E119)</f>
        <v>1.5007303518490005</v>
      </c>
      <c r="E126" s="24">
        <f t="shared" si="62"/>
        <v>882345.82085554127</v>
      </c>
      <c r="F126">
        <f>E126/E132</f>
        <v>2.6121698991406785E-2</v>
      </c>
      <c r="G126">
        <f t="shared" si="61"/>
        <v>0.1567301939484407</v>
      </c>
      <c r="I126" s="19" t="s">
        <v>195</v>
      </c>
      <c r="J126" s="59">
        <v>0.15</v>
      </c>
      <c r="K126" s="1" t="s">
        <v>201</v>
      </c>
      <c r="L126" s="1">
        <f>$J$124</f>
        <v>50</v>
      </c>
      <c r="M126" s="27">
        <f>$J$125</f>
        <v>0.2</v>
      </c>
      <c r="N126" s="27">
        <f>$J$126</f>
        <v>0.15</v>
      </c>
      <c r="O126" s="1">
        <f>$L$126*$J$121*(1+$M$126)*(1+$M$126)*(1+$N$126)*(1+$N$126)*(1+$N$126)</f>
        <v>222.29108999999991</v>
      </c>
      <c r="P126" s="22">
        <f>($O$126-$J$122)/$J$122</f>
        <v>0.76912924791086268</v>
      </c>
    </row>
    <row r="127" spans="1:16" x14ac:dyDescent="0.15">
      <c r="A127" s="93"/>
      <c r="B127" s="18">
        <v>7</v>
      </c>
      <c r="C127" s="24">
        <f>C126*(1+E118)</f>
        <v>1456579.4696035348</v>
      </c>
      <c r="D127" s="21">
        <f>D126*(1+E119)</f>
        <v>1.6057814764784306</v>
      </c>
      <c r="E127" s="24">
        <f t="shared" si="62"/>
        <v>907084.48872999568</v>
      </c>
      <c r="F127">
        <f>E127/E132</f>
        <v>2.6854083075278003E-2</v>
      </c>
      <c r="G127">
        <f t="shared" si="61"/>
        <v>0.18797858152694602</v>
      </c>
      <c r="I127" s="19" t="s">
        <v>196</v>
      </c>
      <c r="J127" s="60">
        <v>2</v>
      </c>
      <c r="K127" s="1" t="s">
        <v>202</v>
      </c>
      <c r="L127" s="1">
        <f>$J$124+$J$127*1</f>
        <v>52</v>
      </c>
      <c r="M127" s="22">
        <f>$J$125+$J$128*1</f>
        <v>0.22</v>
      </c>
      <c r="N127" s="22">
        <f>$J$126+$J$128*1</f>
        <v>0.16999999999999998</v>
      </c>
      <c r="O127" s="1">
        <f>$L$127*$J$121*(1+$M$127)*(1+$M$127)*(1+$N$127)*(1+$N$127)*(1+$N$127)</f>
        <v>251.63823370795191</v>
      </c>
      <c r="P127" s="22">
        <f>($O$127-$J$122)/$J$122</f>
        <v>1.0026918719295814</v>
      </c>
    </row>
    <row r="128" spans="1:16" x14ac:dyDescent="0.15">
      <c r="A128" s="93"/>
      <c r="B128" s="18">
        <v>8</v>
      </c>
      <c r="C128" s="24">
        <f>C127*(1+E118)</f>
        <v>1602237.4165638883</v>
      </c>
      <c r="D128" s="21">
        <f>D127*(1+E119)</f>
        <v>1.7181861798319209</v>
      </c>
      <c r="E128" s="24">
        <f t="shared" si="62"/>
        <v>932516.7641149488</v>
      </c>
      <c r="F128" s="37">
        <f>E128/E132</f>
        <v>2.7607001292341872E-2</v>
      </c>
      <c r="G128">
        <f t="shared" si="61"/>
        <v>0.22085601033873498</v>
      </c>
      <c r="I128" s="19" t="s">
        <v>197</v>
      </c>
      <c r="J128" s="59">
        <v>0.02</v>
      </c>
      <c r="K128" s="1" t="s">
        <v>203</v>
      </c>
      <c r="L128" s="1">
        <f>$J$124+$J$127*2</f>
        <v>54</v>
      </c>
      <c r="M128" s="22">
        <f>$J$125+$J$128*2</f>
        <v>0.24000000000000002</v>
      </c>
      <c r="N128" s="22">
        <f>$J$126+$J$128*2</f>
        <v>0.19</v>
      </c>
      <c r="O128" s="1">
        <f>$L$128*$J$121*(1+$M$128)*(1+$M$128)*(1+$N$128)*(1+$N$128)*(1+$N$128)</f>
        <v>284.03643444220791</v>
      </c>
      <c r="P128" s="22">
        <f>($O$128-$J$122)/$J$122</f>
        <v>1.2605366847768236</v>
      </c>
    </row>
    <row r="129" spans="1:36" x14ac:dyDescent="0.15">
      <c r="A129" s="93"/>
      <c r="B129" s="18">
        <v>9</v>
      </c>
      <c r="C129" s="24">
        <f>C128*(1+E118)</f>
        <v>1762461.1582202774</v>
      </c>
      <c r="D129" s="21">
        <f>D128*(1+E119)</f>
        <v>1.8384592124201555</v>
      </c>
      <c r="E129" s="24">
        <f t="shared" si="62"/>
        <v>958662.09394994739</v>
      </c>
      <c r="F129">
        <f>E129/E132</f>
        <v>2.8381029365958932E-2</v>
      </c>
      <c r="G129">
        <f t="shared" si="61"/>
        <v>0.25542926429363039</v>
      </c>
    </row>
    <row r="130" spans="1:36" x14ac:dyDescent="0.15">
      <c r="A130" s="93"/>
      <c r="B130" s="18">
        <v>10</v>
      </c>
      <c r="C130" s="24">
        <f>C129*(1+E118)</f>
        <v>1938707.2740423053</v>
      </c>
      <c r="D130" s="21">
        <f>D129*(1+E119)</f>
        <v>1.9671513572895665</v>
      </c>
      <c r="E130" s="24">
        <f>C130/D130</f>
        <v>985540.47041583376</v>
      </c>
      <c r="F130">
        <f>E130/E132</f>
        <v>2.9176759161266191E-2</v>
      </c>
      <c r="G130">
        <f t="shared" si="61"/>
        <v>0.29176759161266191</v>
      </c>
    </row>
    <row r="131" spans="1:36" x14ac:dyDescent="0.15">
      <c r="A131" t="s">
        <v>123</v>
      </c>
      <c r="B131" s="18" t="s">
        <v>124</v>
      </c>
      <c r="C131" s="24">
        <f>C130*(1+B132)/(E119-B132)</f>
        <v>49921712.306589358</v>
      </c>
      <c r="D131" s="21">
        <f>D130</f>
        <v>1.9671513572895665</v>
      </c>
      <c r="E131" s="24">
        <f>C131/D131</f>
        <v>25377667.11320772</v>
      </c>
      <c r="F131">
        <f>E131/E132</f>
        <v>0.75130154840260444</v>
      </c>
      <c r="G131">
        <f>F131*11</f>
        <v>8.2643170324286483</v>
      </c>
    </row>
    <row r="132" spans="1:36" ht="60" x14ac:dyDescent="0.15">
      <c r="A132" s="11" t="s">
        <v>127</v>
      </c>
      <c r="B132" s="29">
        <v>0.03</v>
      </c>
      <c r="C132" s="28"/>
      <c r="D132" s="32" t="s">
        <v>125</v>
      </c>
      <c r="E132" s="33">
        <f>SUM(E121:E131)</f>
        <v>33778270.745168805</v>
      </c>
      <c r="G132">
        <f>SUM(G121:G131)</f>
        <v>9.7246596812469495</v>
      </c>
    </row>
    <row r="133" spans="1:36" x14ac:dyDescent="0.15">
      <c r="D133" s="26" t="s">
        <v>128</v>
      </c>
      <c r="E133" s="30">
        <f>E132/C117</f>
        <v>125.08759726000739</v>
      </c>
    </row>
    <row r="135" spans="1:36" x14ac:dyDescent="0.15">
      <c r="C135" s="31"/>
    </row>
    <row r="136" spans="1:36" s="17" customFormat="1" x14ac:dyDescent="0.15">
      <c r="A136" s="17" t="s">
        <v>42</v>
      </c>
    </row>
    <row r="137" spans="1:36" s="17" customFormat="1" x14ac:dyDescent="0.15">
      <c r="A137" s="17" t="s">
        <v>131</v>
      </c>
      <c r="B137" s="25">
        <v>0.15</v>
      </c>
      <c r="C137" s="17" t="s">
        <v>132</v>
      </c>
      <c r="D137" s="34">
        <v>5.8000000000000003E-2</v>
      </c>
      <c r="E137" s="17">
        <v>1</v>
      </c>
      <c r="F137" s="17">
        <f>+E137+1</f>
        <v>2</v>
      </c>
      <c r="G137" s="17">
        <f t="shared" ref="G137" si="63">+F137+1</f>
        <v>3</v>
      </c>
      <c r="H137" s="17">
        <f t="shared" ref="H137" si="64">+G137+1</f>
        <v>4</v>
      </c>
      <c r="I137" s="17">
        <f t="shared" ref="I137" si="65">+H137+1</f>
        <v>5</v>
      </c>
      <c r="J137" s="17">
        <f t="shared" ref="J137" si="66">+I137+1</f>
        <v>6</v>
      </c>
      <c r="K137" s="17">
        <f t="shared" ref="K137" si="67">+J137+1</f>
        <v>7</v>
      </c>
      <c r="L137" s="17">
        <f t="shared" ref="L137" si="68">+K137+1</f>
        <v>8</v>
      </c>
      <c r="M137" s="17">
        <f t="shared" ref="M137" si="69">+L137+1</f>
        <v>9</v>
      </c>
      <c r="N137" s="17">
        <f>+M137+1</f>
        <v>10</v>
      </c>
      <c r="O137" s="17">
        <f>+N137+1</f>
        <v>11</v>
      </c>
    </row>
    <row r="138" spans="1:36" s="17" customFormat="1" x14ac:dyDescent="0.15">
      <c r="A138" s="17" t="s">
        <v>133</v>
      </c>
      <c r="B138" s="25">
        <v>0.6</v>
      </c>
      <c r="C138" s="17" t="s">
        <v>134</v>
      </c>
      <c r="D138" s="31">
        <f>SUM(E139:Y139)</f>
        <v>110.27943692173801</v>
      </c>
      <c r="E138" s="17">
        <f>+B138*B139</f>
        <v>1.014</v>
      </c>
      <c r="F138" s="35">
        <f>+E138*(1+$B$137)</f>
        <v>1.1660999999999999</v>
      </c>
      <c r="G138" s="35">
        <f t="shared" ref="G138:M138" si="70">+F138*(1+$B$137)</f>
        <v>1.3410149999999998</v>
      </c>
      <c r="H138" s="35">
        <f t="shared" si="70"/>
        <v>1.5421672499999997</v>
      </c>
      <c r="I138" s="35">
        <f t="shared" si="70"/>
        <v>1.7734923374999996</v>
      </c>
      <c r="J138" s="35">
        <f t="shared" si="70"/>
        <v>2.0395161881249995</v>
      </c>
      <c r="K138" s="35">
        <f t="shared" si="70"/>
        <v>2.3454436163437493</v>
      </c>
      <c r="L138" s="35">
        <f t="shared" si="70"/>
        <v>2.6972601587953116</v>
      </c>
      <c r="M138" s="35">
        <f t="shared" si="70"/>
        <v>3.101849182614608</v>
      </c>
      <c r="N138" s="35">
        <f>+M138*(1+$B$137)</f>
        <v>3.5671265600067987</v>
      </c>
      <c r="O138" s="35">
        <f>N138*30*1/B138</f>
        <v>178.35632800033994</v>
      </c>
      <c r="P138" s="38"/>
      <c r="Q138" s="35"/>
      <c r="R138" s="35"/>
      <c r="S138" s="35"/>
      <c r="T138" s="35"/>
      <c r="U138" s="35"/>
      <c r="V138" s="35"/>
      <c r="W138" s="35"/>
      <c r="X138" s="35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</row>
    <row r="139" spans="1:36" s="17" customFormat="1" x14ac:dyDescent="0.15">
      <c r="A139" s="17" t="s">
        <v>135</v>
      </c>
      <c r="B139" s="17">
        <v>1.69</v>
      </c>
      <c r="E139" s="31">
        <f>-PV($D$137,E137,0,E138)</f>
        <v>0.95841209829867668</v>
      </c>
      <c r="F139" s="31">
        <f>-PV($D$137,F137,0,F138)</f>
        <v>1.041752280759431</v>
      </c>
      <c r="G139" s="31">
        <f>-PV($D$137,G137,0,G138)</f>
        <v>1.1323394356080774</v>
      </c>
      <c r="H139" s="31">
        <f t="shared" ref="H139:O139" si="71">-PV($D$137,H137,0,H138)</f>
        <v>1.2308037343566056</v>
      </c>
      <c r="I139" s="31">
        <f t="shared" si="71"/>
        <v>1.3378301460397888</v>
      </c>
      <c r="J139" s="31">
        <f t="shared" si="71"/>
        <v>1.4541632022171616</v>
      </c>
      <c r="K139" s="31">
        <f t="shared" si="71"/>
        <v>1.5806121763230017</v>
      </c>
      <c r="L139" s="31">
        <f t="shared" si="71"/>
        <v>1.718056713394567</v>
      </c>
      <c r="M139" s="31">
        <f t="shared" si="71"/>
        <v>1.8674529493419203</v>
      </c>
      <c r="N139" s="31">
        <f t="shared" si="71"/>
        <v>2.0298401623281741</v>
      </c>
      <c r="O139" s="31">
        <f t="shared" si="71"/>
        <v>95.928174023070611</v>
      </c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</row>
    <row r="140" spans="1:36" s="17" customFormat="1" x14ac:dyDescent="0.15">
      <c r="E140" s="17">
        <f>E139/$D$80</f>
        <v>3.7323945026766683E-2</v>
      </c>
      <c r="F140" s="17">
        <f t="shared" ref="F140" si="72">F139/$D$80</f>
        <v>4.0569505463876825E-2</v>
      </c>
      <c r="G140" s="17">
        <f t="shared" ref="G140" si="73">G139/$D$80</f>
        <v>4.4097288547692209E-2</v>
      </c>
      <c r="H140" s="17">
        <f t="shared" ref="H140" si="74">H139/$D$80</f>
        <v>4.79318353779263E-2</v>
      </c>
      <c r="I140" s="17">
        <f t="shared" ref="I140" si="75">I139/$D$80</f>
        <v>5.2099821062963375E-2</v>
      </c>
      <c r="J140" s="17">
        <f t="shared" ref="J140" si="76">J139/$D$80</f>
        <v>5.6630240285829747E-2</v>
      </c>
      <c r="K140" s="17">
        <f t="shared" ref="K140" si="77">K139/$D$80</f>
        <v>6.1554609006336684E-2</v>
      </c>
      <c r="L140" s="17">
        <f t="shared" ref="L140" si="78">L139/$D$80</f>
        <v>6.6907183702539869E-2</v>
      </c>
      <c r="M140" s="17">
        <f t="shared" ref="M140" si="79">M139/$D$80</f>
        <v>7.2725199676673763E-2</v>
      </c>
      <c r="N140" s="17">
        <f t="shared" ref="N140" si="80">N139/$D$80</f>
        <v>7.9049130083341038E-2</v>
      </c>
      <c r="O140" s="17">
        <f>O139/$D$80</f>
        <v>3.7357811948648885</v>
      </c>
      <c r="P140" s="17" t="s">
        <v>160</v>
      </c>
    </row>
    <row r="141" spans="1:36" s="17" customFormat="1" x14ac:dyDescent="0.15">
      <c r="E141" s="17">
        <f>E140*E137</f>
        <v>3.7323945026766683E-2</v>
      </c>
      <c r="F141" s="17">
        <f>F140*F137</f>
        <v>8.1139010927753649E-2</v>
      </c>
      <c r="G141" s="17">
        <f t="shared" ref="G141" si="81">G140*G137</f>
        <v>0.13229186564307663</v>
      </c>
      <c r="H141" s="17">
        <f t="shared" ref="H141" si="82">H140*H137</f>
        <v>0.1917273415117052</v>
      </c>
      <c r="I141" s="17">
        <f t="shared" ref="I141" si="83">I140*I137</f>
        <v>0.2604991053148169</v>
      </c>
      <c r="J141" s="17">
        <f t="shared" ref="J141" si="84">J140*J137</f>
        <v>0.33978144171497848</v>
      </c>
      <c r="K141" s="17">
        <f t="shared" ref="K141" si="85">K140*K137</f>
        <v>0.43088226304435678</v>
      </c>
      <c r="L141" s="17">
        <f t="shared" ref="L141" si="86">L140*L137</f>
        <v>0.53525746962031895</v>
      </c>
      <c r="M141" s="17">
        <f t="shared" ref="M141" si="87">M140*M137</f>
        <v>0.65452679709006389</v>
      </c>
      <c r="N141" s="17">
        <f t="shared" ref="N141" si="88">N140*N137</f>
        <v>0.79049130083341035</v>
      </c>
      <c r="O141" s="17">
        <f>O140*O137</f>
        <v>41.093593143513772</v>
      </c>
      <c r="P141" s="17">
        <f>SUM(E141:O141)</f>
        <v>44.547513684241018</v>
      </c>
    </row>
    <row r="143" spans="1:36" s="26" customFormat="1" x14ac:dyDescent="0.15"/>
    <row r="145" spans="1:16" ht="15" customHeight="1" x14ac:dyDescent="0.15">
      <c r="A145" s="94" t="s">
        <v>112</v>
      </c>
      <c r="B145" s="55" t="s">
        <v>113</v>
      </c>
      <c r="C145" s="55" t="s">
        <v>63</v>
      </c>
      <c r="D145" s="95" t="s">
        <v>118</v>
      </c>
      <c r="E145" s="95"/>
      <c r="I145" s="96" t="s">
        <v>188</v>
      </c>
      <c r="J145" s="97"/>
      <c r="K145" s="97"/>
    </row>
    <row r="146" spans="1:16" ht="45" x14ac:dyDescent="0.15">
      <c r="A146" s="94"/>
      <c r="B146" s="55" t="s">
        <v>114</v>
      </c>
      <c r="C146" s="23">
        <v>60331.720999999998</v>
      </c>
      <c r="D146" s="20" t="s">
        <v>186</v>
      </c>
      <c r="E146" s="21">
        <v>0.2</v>
      </c>
      <c r="I146" s="97"/>
      <c r="J146" s="97"/>
      <c r="K146" s="97"/>
    </row>
    <row r="147" spans="1:16" ht="45" x14ac:dyDescent="0.15">
      <c r="A147" s="94"/>
      <c r="B147" s="55" t="s">
        <v>115</v>
      </c>
      <c r="C147" s="23">
        <v>104468.08</v>
      </c>
      <c r="D147" s="20" t="s">
        <v>187</v>
      </c>
      <c r="E147" s="21">
        <v>0.15</v>
      </c>
      <c r="I147" s="97"/>
      <c r="J147" s="97"/>
      <c r="K147" s="97"/>
    </row>
    <row r="148" spans="1:16" ht="30" x14ac:dyDescent="0.15">
      <c r="A148" s="94"/>
      <c r="B148" s="55" t="s">
        <v>116</v>
      </c>
      <c r="C148" s="23">
        <v>6783</v>
      </c>
      <c r="D148" s="20" t="s">
        <v>126</v>
      </c>
      <c r="E148" s="21">
        <v>7.0000000000000007E-2</v>
      </c>
    </row>
    <row r="149" spans="1:16" ht="30" x14ac:dyDescent="0.15">
      <c r="A149" s="94"/>
      <c r="B149" s="55" t="s">
        <v>117</v>
      </c>
      <c r="C149" s="23">
        <f>C147-C148</f>
        <v>97685.08</v>
      </c>
      <c r="D149" s="57">
        <v>1</v>
      </c>
      <c r="E149" s="57" t="s">
        <v>121</v>
      </c>
      <c r="F149" s="57" t="s">
        <v>130</v>
      </c>
    </row>
    <row r="150" spans="1:16" ht="30" x14ac:dyDescent="0.15">
      <c r="A150" s="93" t="s">
        <v>122</v>
      </c>
      <c r="B150" s="18">
        <v>1</v>
      </c>
      <c r="C150" s="24">
        <f>C149*(1+E146)</f>
        <v>117222.09600000001</v>
      </c>
      <c r="D150" s="21">
        <f>D149*(1+E148)</f>
        <v>1.07</v>
      </c>
      <c r="E150" s="24">
        <f>C150/D150</f>
        <v>109553.36074766355</v>
      </c>
      <c r="F150">
        <f>E150/E161</f>
        <v>1.3394157568630339E-2</v>
      </c>
      <c r="G150">
        <f>F150*B150</f>
        <v>1.3394157568630339E-2</v>
      </c>
      <c r="I150" s="55" t="s">
        <v>190</v>
      </c>
      <c r="J150" s="55">
        <v>2.38</v>
      </c>
      <c r="K150" s="90" t="s">
        <v>198</v>
      </c>
      <c r="L150" s="90"/>
      <c r="M150" s="90"/>
      <c r="N150" s="90"/>
      <c r="O150" s="90"/>
      <c r="P150" s="90"/>
    </row>
    <row r="151" spans="1:16" x14ac:dyDescent="0.15">
      <c r="A151" s="93"/>
      <c r="B151" s="18">
        <v>2</v>
      </c>
      <c r="C151" s="24">
        <f>C150*(1+E146)</f>
        <v>140666.51519999999</v>
      </c>
      <c r="D151" s="21">
        <f>D150*(1+E148)</f>
        <v>1.1449</v>
      </c>
      <c r="E151" s="24">
        <f>C151/D151</f>
        <v>122863.58214691239</v>
      </c>
      <c r="F151">
        <f>E151/E161</f>
        <v>1.5021485123697576E-2</v>
      </c>
      <c r="G151">
        <f>F151*B151</f>
        <v>3.0042970247395152E-2</v>
      </c>
      <c r="I151" s="55" t="s">
        <v>191</v>
      </c>
      <c r="J151" s="55">
        <v>140.65</v>
      </c>
      <c r="K151" s="90"/>
      <c r="L151" s="90"/>
      <c r="M151" s="90"/>
      <c r="N151" s="90"/>
      <c r="O151" s="90"/>
      <c r="P151" s="90"/>
    </row>
    <row r="152" spans="1:16" x14ac:dyDescent="0.15">
      <c r="A152" s="93"/>
      <c r="B152" s="18">
        <v>3</v>
      </c>
      <c r="C152" s="24">
        <f>C151*(1+E146)</f>
        <v>168799.81823999999</v>
      </c>
      <c r="D152" s="21">
        <f>D151*(1+E148)</f>
        <v>1.2250430000000001</v>
      </c>
      <c r="E152" s="24">
        <f>C152/D152</f>
        <v>137790.93324887368</v>
      </c>
      <c r="F152">
        <f>E152/E161</f>
        <v>1.6846525372371111E-2</v>
      </c>
      <c r="G152">
        <f t="shared" ref="G152:G159" si="89">F152*B152</f>
        <v>5.0539576117113336E-2</v>
      </c>
      <c r="I152" s="55" t="s">
        <v>192</v>
      </c>
      <c r="J152" s="55">
        <v>58.85</v>
      </c>
      <c r="K152" s="57"/>
      <c r="L152" s="57" t="s">
        <v>204</v>
      </c>
      <c r="M152" s="57" t="s">
        <v>205</v>
      </c>
      <c r="N152" s="57" t="s">
        <v>206</v>
      </c>
      <c r="O152" s="57" t="s">
        <v>18</v>
      </c>
      <c r="P152" s="57" t="s">
        <v>207</v>
      </c>
    </row>
    <row r="153" spans="1:16" ht="30" x14ac:dyDescent="0.15">
      <c r="A153" s="93"/>
      <c r="B153" s="18">
        <v>4</v>
      </c>
      <c r="C153" s="24">
        <f>C152*(1+E146)</f>
        <v>202559.781888</v>
      </c>
      <c r="D153" s="21">
        <f>D152*(1+E148)</f>
        <v>1.3107960100000002</v>
      </c>
      <c r="E153" s="24">
        <f t="shared" ref="E153:E158" si="90">C153/D153</f>
        <v>154531.8877557462</v>
      </c>
      <c r="F153">
        <f>E153/E161</f>
        <v>1.8893299483033022E-2</v>
      </c>
      <c r="G153">
        <f t="shared" si="89"/>
        <v>7.5573197932132088E-2</v>
      </c>
      <c r="I153" s="55" t="s">
        <v>193</v>
      </c>
      <c r="J153" s="55">
        <v>50</v>
      </c>
      <c r="K153" s="57" t="s">
        <v>199</v>
      </c>
      <c r="L153" s="57">
        <f>$J$153-$J$156*2</f>
        <v>46</v>
      </c>
      <c r="M153" s="58">
        <f>$J$154-$J$157*2</f>
        <v>0.16</v>
      </c>
      <c r="N153" s="58">
        <f>$J$155-$J$157*2</f>
        <v>0.10999999999999999</v>
      </c>
      <c r="O153" s="57">
        <f>$L$153*$J$150*(1+$M$153)*(1+$M$153)*(1+$N$153)*(1+$N$153)*(1+$N$153)</f>
        <v>201.47432227372786</v>
      </c>
      <c r="P153" s="22">
        <f>($O$153-$J$151)/$J$151</f>
        <v>0.43245163365608147</v>
      </c>
    </row>
    <row r="154" spans="1:16" ht="45" x14ac:dyDescent="0.15">
      <c r="A154" s="93"/>
      <c r="B154" s="18">
        <v>5</v>
      </c>
      <c r="C154" s="24">
        <f>C153*(1+E146)</f>
        <v>243071.7382656</v>
      </c>
      <c r="D154" s="21">
        <f>D153*(1+E148)</f>
        <v>1.4025517307000004</v>
      </c>
      <c r="E154" s="24">
        <f t="shared" si="90"/>
        <v>173306.79000644429</v>
      </c>
      <c r="F154">
        <f>E154/E161</f>
        <v>2.1188747083775349E-2</v>
      </c>
      <c r="G154">
        <f t="shared" si="89"/>
        <v>0.10594373541887675</v>
      </c>
      <c r="I154" s="55" t="s">
        <v>194</v>
      </c>
      <c r="J154" s="59">
        <v>0.2</v>
      </c>
      <c r="K154" s="57" t="s">
        <v>200</v>
      </c>
      <c r="L154" s="57">
        <f>$J$153-$J$156*1</f>
        <v>48</v>
      </c>
      <c r="M154" s="58">
        <f>$J$154-$J$157*1</f>
        <v>0.18000000000000002</v>
      </c>
      <c r="N154" s="58">
        <f>$J$155-$J$157*1</f>
        <v>0.13</v>
      </c>
      <c r="O154" s="57">
        <f>$L$154*$J$150*(1+$M$154)*(1+$M$154)*(1+$N$154)*(1+$N$154)*(1+$N$154)</f>
        <v>229.51841678707189</v>
      </c>
      <c r="P154" s="22">
        <f>($O$154-$J$151)/$J$151</f>
        <v>0.63184085877761731</v>
      </c>
    </row>
    <row r="155" spans="1:16" ht="45" x14ac:dyDescent="0.15">
      <c r="A155" s="93"/>
      <c r="B155" s="18">
        <v>6</v>
      </c>
      <c r="C155" s="24">
        <f>C154*(1+E147)</f>
        <v>279532.49900543998</v>
      </c>
      <c r="D155" s="21">
        <f>D154*(1+E148)</f>
        <v>1.5007303518490005</v>
      </c>
      <c r="E155" s="24">
        <f>C155/D155</f>
        <v>186264.30701627189</v>
      </c>
      <c r="F155">
        <f>E155/E161</f>
        <v>2.2772952473216493E-2</v>
      </c>
      <c r="G155">
        <f t="shared" si="89"/>
        <v>0.13663771483929896</v>
      </c>
      <c r="I155" s="55" t="s">
        <v>195</v>
      </c>
      <c r="J155" s="59">
        <v>0.15</v>
      </c>
      <c r="K155" s="57" t="s">
        <v>201</v>
      </c>
      <c r="L155" s="67">
        <f>$J$153</f>
        <v>50</v>
      </c>
      <c r="M155" s="58">
        <f>$J$154</f>
        <v>0.2</v>
      </c>
      <c r="N155" s="58">
        <f>$J$155</f>
        <v>0.15</v>
      </c>
      <c r="O155" s="57">
        <f>$L$155*$J$150*(1+$M$155)*(1+$M$155)*(1+$N$155)*(1+$N$155)*(1+$N$155)</f>
        <v>260.61713999999995</v>
      </c>
      <c r="P155" s="22">
        <f>($O$155-$J$151)/$J$151</f>
        <v>0.85294802701741868</v>
      </c>
    </row>
    <row r="156" spans="1:16" x14ac:dyDescent="0.15">
      <c r="A156" s="93"/>
      <c r="B156" s="18">
        <v>7</v>
      </c>
      <c r="C156" s="24">
        <f>C155*(1+E147)</f>
        <v>321462.37385625596</v>
      </c>
      <c r="D156" s="21">
        <f>D155*(1+E148)</f>
        <v>1.6057814764784306</v>
      </c>
      <c r="E156" s="24">
        <f t="shared" si="90"/>
        <v>200190.61034459126</v>
      </c>
      <c r="F156">
        <f>E156/E161</f>
        <v>2.4475603125419593E-2</v>
      </c>
      <c r="G156">
        <f t="shared" si="89"/>
        <v>0.17132922187793714</v>
      </c>
      <c r="I156" s="55" t="s">
        <v>196</v>
      </c>
      <c r="J156" s="60">
        <v>2</v>
      </c>
      <c r="K156" s="57" t="s">
        <v>202</v>
      </c>
      <c r="L156" s="57">
        <f>$J$153+$J$156*1</f>
        <v>52</v>
      </c>
      <c r="M156" s="58">
        <f>$J$154+$J$157*1</f>
        <v>0.22</v>
      </c>
      <c r="N156" s="58">
        <f>$J$155+$J$157*1</f>
        <v>0.16999999999999998</v>
      </c>
      <c r="O156" s="57">
        <f>$L$156*$J$150*(1+$M$156)*(1+$M$156)*(1+$N$156)*(1+$N$156)*(1+$N$156)</f>
        <v>295.02413607139187</v>
      </c>
      <c r="P156" s="22">
        <f>($O$156-$J$151)/$J$151</f>
        <v>1.0975765095726402</v>
      </c>
    </row>
    <row r="157" spans="1:16" x14ac:dyDescent="0.15">
      <c r="A157" s="93"/>
      <c r="B157" s="18">
        <v>8</v>
      </c>
      <c r="C157" s="24">
        <f>C156*(1+E147)</f>
        <v>369681.7299346943</v>
      </c>
      <c r="D157" s="21">
        <f>D156*(1+E148)</f>
        <v>1.7181861798319209</v>
      </c>
      <c r="E157" s="24">
        <f t="shared" si="90"/>
        <v>215158.13261334572</v>
      </c>
      <c r="F157" s="37">
        <f>E157/E161</f>
        <v>2.630555476096498E-2</v>
      </c>
      <c r="G157">
        <f t="shared" si="89"/>
        <v>0.21044443808771984</v>
      </c>
      <c r="I157" s="55" t="s">
        <v>197</v>
      </c>
      <c r="J157" s="59">
        <v>0.02</v>
      </c>
      <c r="K157" s="57" t="s">
        <v>203</v>
      </c>
      <c r="L157" s="57">
        <f>$J$153+$J$156*2</f>
        <v>54</v>
      </c>
      <c r="M157" s="58">
        <f>$J$154+$J$157*2</f>
        <v>0.24000000000000002</v>
      </c>
      <c r="N157" s="58">
        <f>$J$155+$J$157*2</f>
        <v>0.19</v>
      </c>
      <c r="O157" s="57">
        <f>$L$157*$J$150*(1+$M$157)*(1+$M$157)*(1+$N$157)*(1+$N$157)*(1+$N$157)</f>
        <v>333.0082334839679</v>
      </c>
      <c r="P157" s="22">
        <f>($O$157-$J$151)/$J$151</f>
        <v>1.3676376358618407</v>
      </c>
    </row>
    <row r="158" spans="1:16" x14ac:dyDescent="0.15">
      <c r="A158" s="93"/>
      <c r="B158" s="18">
        <v>9</v>
      </c>
      <c r="C158" s="24">
        <f>C157*(1+E147)</f>
        <v>425133.98942489841</v>
      </c>
      <c r="D158" s="21">
        <f>D157*(1+E148)</f>
        <v>1.8384592124201555</v>
      </c>
      <c r="E158" s="24">
        <f t="shared" si="90"/>
        <v>231244.72196761452</v>
      </c>
      <c r="F158">
        <f>E158/E161</f>
        <v>2.8272325210382917E-2</v>
      </c>
      <c r="G158">
        <f t="shared" si="89"/>
        <v>0.25445092689344623</v>
      </c>
    </row>
    <row r="159" spans="1:16" x14ac:dyDescent="0.15">
      <c r="A159" s="93"/>
      <c r="B159" s="18">
        <v>10</v>
      </c>
      <c r="C159" s="24">
        <f>C158*(1+E147)</f>
        <v>488904.0878386331</v>
      </c>
      <c r="D159" s="21">
        <f>D158*(1+E148)</f>
        <v>1.9671513572895665</v>
      </c>
      <c r="E159" s="24">
        <f>C159/D159</f>
        <v>248534.04697453891</v>
      </c>
      <c r="F159">
        <f>E159/E161</f>
        <v>3.038614391770126E-2</v>
      </c>
      <c r="G159">
        <f t="shared" si="89"/>
        <v>0.30386143917701258</v>
      </c>
    </row>
    <row r="160" spans="1:16" x14ac:dyDescent="0.15">
      <c r="A160" t="s">
        <v>123</v>
      </c>
      <c r="B160" s="18" t="s">
        <v>124</v>
      </c>
      <c r="C160" s="24">
        <f>C159*(1+B161)/(E148-B161)</f>
        <v>12589280.261844801</v>
      </c>
      <c r="D160" s="21">
        <f>D159</f>
        <v>1.9671513572895665</v>
      </c>
      <c r="E160" s="24">
        <f>C160/D160</f>
        <v>6399751.7095943764</v>
      </c>
      <c r="F160">
        <f>E160/E161</f>
        <v>0.7824432058808074</v>
      </c>
      <c r="G160">
        <f>F160*11</f>
        <v>8.6068752646888811</v>
      </c>
    </row>
    <row r="161" spans="1:36" ht="60" x14ac:dyDescent="0.15">
      <c r="A161" s="56" t="s">
        <v>127</v>
      </c>
      <c r="B161" s="29">
        <v>0.03</v>
      </c>
      <c r="C161" s="28"/>
      <c r="D161" s="32" t="s">
        <v>125</v>
      </c>
      <c r="E161" s="33">
        <f>SUM(E150:E160)</f>
        <v>8179190.0824163789</v>
      </c>
      <c r="G161">
        <f>SUM(G150:G160)</f>
        <v>9.959092642848443</v>
      </c>
    </row>
    <row r="162" spans="1:36" x14ac:dyDescent="0.15">
      <c r="D162" s="26" t="s">
        <v>128</v>
      </c>
      <c r="E162" s="30">
        <f>E161/C146</f>
        <v>135.57030939688227</v>
      </c>
    </row>
    <row r="164" spans="1:36" x14ac:dyDescent="0.15">
      <c r="C164" s="31"/>
    </row>
    <row r="165" spans="1:36" s="17" customFormat="1" x14ac:dyDescent="0.15">
      <c r="A165" s="17" t="s">
        <v>63</v>
      </c>
    </row>
    <row r="166" spans="1:36" s="17" customFormat="1" x14ac:dyDescent="0.15">
      <c r="A166" s="17" t="s">
        <v>131</v>
      </c>
      <c r="B166" s="25">
        <v>0.15</v>
      </c>
      <c r="C166" s="17" t="s">
        <v>132</v>
      </c>
      <c r="D166" s="34">
        <v>5.8000000000000003E-2</v>
      </c>
      <c r="E166" s="17">
        <v>1</v>
      </c>
      <c r="F166" s="17">
        <f>+E166+1</f>
        <v>2</v>
      </c>
      <c r="G166" s="17">
        <f t="shared" ref="G166" si="91">+F166+1</f>
        <v>3</v>
      </c>
      <c r="H166" s="17">
        <f t="shared" ref="H166" si="92">+G166+1</f>
        <v>4</v>
      </c>
      <c r="I166" s="17">
        <f t="shared" ref="I166" si="93">+H166+1</f>
        <v>5</v>
      </c>
      <c r="J166" s="17">
        <f t="shared" ref="J166" si="94">+I166+1</f>
        <v>6</v>
      </c>
      <c r="K166" s="17">
        <f t="shared" ref="K166" si="95">+J166+1</f>
        <v>7</v>
      </c>
      <c r="L166" s="17">
        <f t="shared" ref="L166" si="96">+K166+1</f>
        <v>8</v>
      </c>
      <c r="M166" s="17">
        <f t="shared" ref="M166" si="97">+L166+1</f>
        <v>9</v>
      </c>
      <c r="N166" s="17">
        <f>+M166+1</f>
        <v>10</v>
      </c>
      <c r="O166" s="17">
        <f>+N166+1</f>
        <v>11</v>
      </c>
    </row>
    <row r="167" spans="1:36" s="17" customFormat="1" x14ac:dyDescent="0.15">
      <c r="A167" s="17" t="s">
        <v>133</v>
      </c>
      <c r="B167" s="25">
        <v>0.3</v>
      </c>
      <c r="C167" s="17" t="s">
        <v>134</v>
      </c>
      <c r="D167" s="31">
        <f>SUM(E168:Y168)</f>
        <v>145.19944202622619</v>
      </c>
      <c r="E167" s="17">
        <f>+B167*B168</f>
        <v>0.71399999999999997</v>
      </c>
      <c r="F167" s="35">
        <f>+E167*(1+$B$166)</f>
        <v>0.82109999999999994</v>
      </c>
      <c r="G167" s="35">
        <f>+F167*(1+$B$166)</f>
        <v>0.94426499999999991</v>
      </c>
      <c r="H167" s="35">
        <f>+G167*(1+$B$166)</f>
        <v>1.0859047499999999</v>
      </c>
      <c r="I167" s="35">
        <f t="shared" ref="I167:M167" si="98">+H167*(1+$B$166)</f>
        <v>1.2487904624999997</v>
      </c>
      <c r="J167" s="35">
        <f t="shared" si="98"/>
        <v>1.4361090318749996</v>
      </c>
      <c r="K167" s="35">
        <f t="shared" si="98"/>
        <v>1.6515253866562494</v>
      </c>
      <c r="L167" s="35">
        <f t="shared" si="98"/>
        <v>1.8992541946546866</v>
      </c>
      <c r="M167" s="35">
        <f t="shared" si="98"/>
        <v>2.1841423238528894</v>
      </c>
      <c r="N167" s="35">
        <f>+M167*(1+$B$166)</f>
        <v>2.5117636724308228</v>
      </c>
      <c r="O167" s="35">
        <f>N167*30*1/B167</f>
        <v>251.17636724308227</v>
      </c>
      <c r="P167" s="38"/>
      <c r="Q167" s="35"/>
      <c r="R167" s="35"/>
      <c r="S167" s="35"/>
      <c r="T167" s="35"/>
      <c r="U167" s="35"/>
      <c r="V167" s="35"/>
      <c r="W167" s="35"/>
      <c r="X167" s="35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</row>
    <row r="168" spans="1:36" s="17" customFormat="1" x14ac:dyDescent="0.15">
      <c r="A168" s="17" t="s">
        <v>135</v>
      </c>
      <c r="B168" s="17">
        <v>2.38</v>
      </c>
      <c r="E168" s="31">
        <f>-PV($D$166,E166,0,E167)</f>
        <v>0.67485822306238175</v>
      </c>
      <c r="F168" s="31">
        <f t="shared" ref="F168:N168" si="99">-PV($D$166,F166,0,F167)</f>
        <v>0.73354154680693673</v>
      </c>
      <c r="G168" s="31">
        <f t="shared" si="99"/>
        <v>0.79732776826840945</v>
      </c>
      <c r="H168" s="31">
        <f t="shared" si="99"/>
        <v>0.8666606176830538</v>
      </c>
      <c r="I168" s="31">
        <f t="shared" si="99"/>
        <v>0.94202241052505831</v>
      </c>
      <c r="J168" s="31">
        <f t="shared" si="99"/>
        <v>1.0239374027446284</v>
      </c>
      <c r="K168" s="31">
        <f t="shared" si="99"/>
        <v>1.1129754377659005</v>
      </c>
      <c r="L168" s="31">
        <f t="shared" si="99"/>
        <v>1.2097559106151092</v>
      </c>
      <c r="M168" s="31">
        <f t="shared" si="99"/>
        <v>1.3149520767555531</v>
      </c>
      <c r="N168" s="31">
        <f t="shared" si="99"/>
        <v>1.4292957356038622</v>
      </c>
      <c r="O168" s="31">
        <f>-PV($D$166,O166,0,O167)</f>
        <v>135.0941148963953</v>
      </c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</row>
    <row r="169" spans="1:36" s="17" customFormat="1" x14ac:dyDescent="0.15">
      <c r="E169" s="17">
        <f>E168/$D$80</f>
        <v>2.6281357740741036E-2</v>
      </c>
      <c r="F169" s="17">
        <f t="shared" ref="F169:N169" si="100">F168/$D$80</f>
        <v>2.8566693196457649E-2</v>
      </c>
      <c r="G169" s="17">
        <f t="shared" si="100"/>
        <v>3.1050753474410487E-2</v>
      </c>
      <c r="H169" s="17">
        <f t="shared" si="100"/>
        <v>3.3750818993924445E-2</v>
      </c>
      <c r="I169" s="17">
        <f t="shared" si="100"/>
        <v>3.6685672819483081E-2</v>
      </c>
      <c r="J169" s="17">
        <f t="shared" si="100"/>
        <v>3.9875731325525084E-2</v>
      </c>
      <c r="K169" s="17">
        <f t="shared" si="100"/>
        <v>4.3343186223396835E-2</v>
      </c>
      <c r="L169" s="17">
        <f t="shared" si="100"/>
        <v>4.711215893847482E-2</v>
      </c>
      <c r="M169" s="17">
        <f t="shared" si="100"/>
        <v>5.1208868411385659E-2</v>
      </c>
      <c r="N169" s="17">
        <f t="shared" si="100"/>
        <v>5.5661813490636591E-2</v>
      </c>
      <c r="O169" s="17">
        <f>O168/$D$80</f>
        <v>5.261040972649961</v>
      </c>
      <c r="P169" s="17" t="s">
        <v>160</v>
      </c>
    </row>
    <row r="170" spans="1:36" s="17" customFormat="1" x14ac:dyDescent="0.15">
      <c r="E170" s="17">
        <f>E169*E166</f>
        <v>2.6281357740741036E-2</v>
      </c>
      <c r="F170" s="17">
        <f>F169*F166</f>
        <v>5.7133386392915299E-2</v>
      </c>
      <c r="G170" s="17">
        <f t="shared" ref="G170:N170" si="101">G169*G166</f>
        <v>9.3152260423231464E-2</v>
      </c>
      <c r="H170" s="17">
        <f t="shared" si="101"/>
        <v>0.13500327597569778</v>
      </c>
      <c r="I170" s="17">
        <f t="shared" si="101"/>
        <v>0.18342836409741542</v>
      </c>
      <c r="J170" s="17">
        <f t="shared" si="101"/>
        <v>0.23925438795315052</v>
      </c>
      <c r="K170" s="17">
        <f t="shared" si="101"/>
        <v>0.30340230356377784</v>
      </c>
      <c r="L170" s="17">
        <f t="shared" si="101"/>
        <v>0.37689727150779856</v>
      </c>
      <c r="M170" s="17">
        <f t="shared" si="101"/>
        <v>0.46087981570247094</v>
      </c>
      <c r="N170" s="17">
        <f t="shared" si="101"/>
        <v>0.55661813490636591</v>
      </c>
      <c r="O170" s="17">
        <f>O169*O166</f>
        <v>57.87145069914957</v>
      </c>
      <c r="P170" s="17">
        <f>SUM(E170:O170)</f>
        <v>60.303501257413131</v>
      </c>
    </row>
    <row r="172" spans="1:36" s="26" customFormat="1" x14ac:dyDescent="0.15"/>
    <row r="174" spans="1:36" ht="15" customHeight="1" x14ac:dyDescent="0.15">
      <c r="A174" s="94" t="s">
        <v>112</v>
      </c>
      <c r="B174" s="55" t="s">
        <v>113</v>
      </c>
      <c r="C174" s="55" t="s">
        <v>57</v>
      </c>
      <c r="D174" s="95" t="s">
        <v>118</v>
      </c>
      <c r="E174" s="95"/>
      <c r="I174" s="96" t="s">
        <v>188</v>
      </c>
      <c r="J174" s="97"/>
      <c r="K174" s="97"/>
    </row>
    <row r="175" spans="1:36" ht="45" x14ac:dyDescent="0.15">
      <c r="A175" s="94"/>
      <c r="B175" s="55" t="s">
        <v>114</v>
      </c>
      <c r="C175" s="23">
        <v>182436.67</v>
      </c>
      <c r="D175" s="20" t="s">
        <v>186</v>
      </c>
      <c r="E175" s="21">
        <v>0.15</v>
      </c>
      <c r="I175" s="97"/>
      <c r="J175" s="97"/>
      <c r="K175" s="97"/>
    </row>
    <row r="176" spans="1:36" ht="45" x14ac:dyDescent="0.15">
      <c r="A176" s="94"/>
      <c r="B176" s="55" t="s">
        <v>115</v>
      </c>
      <c r="C176" s="23">
        <v>136276.03</v>
      </c>
      <c r="D176" s="20" t="s">
        <v>187</v>
      </c>
      <c r="E176" s="21">
        <v>0.15</v>
      </c>
      <c r="I176" s="97"/>
      <c r="J176" s="97"/>
      <c r="K176" s="97"/>
    </row>
    <row r="177" spans="1:16" ht="30" x14ac:dyDescent="0.15">
      <c r="A177" s="94"/>
      <c r="B177" s="55" t="s">
        <v>116</v>
      </c>
      <c r="C177" s="23">
        <v>27295.1</v>
      </c>
      <c r="D177" s="20" t="s">
        <v>126</v>
      </c>
      <c r="E177" s="21">
        <v>7.0000000000000007E-2</v>
      </c>
    </row>
    <row r="178" spans="1:16" ht="30" x14ac:dyDescent="0.15">
      <c r="A178" s="94"/>
      <c r="B178" s="55" t="s">
        <v>117</v>
      </c>
      <c r="C178" s="23">
        <f>C176-C177</f>
        <v>108980.93</v>
      </c>
      <c r="D178" s="57">
        <v>1</v>
      </c>
      <c r="E178" s="57" t="s">
        <v>121</v>
      </c>
      <c r="F178" s="57" t="s">
        <v>130</v>
      </c>
    </row>
    <row r="179" spans="1:16" ht="30" x14ac:dyDescent="0.15">
      <c r="A179" s="93" t="s">
        <v>122</v>
      </c>
      <c r="B179" s="18">
        <v>1</v>
      </c>
      <c r="C179" s="24">
        <f>C178*(1+E175)</f>
        <v>125328.06949999998</v>
      </c>
      <c r="D179" s="21">
        <f>D178*(1+E177)</f>
        <v>1.07</v>
      </c>
      <c r="E179" s="24">
        <f>C179/D179</f>
        <v>117129.03691588783</v>
      </c>
      <c r="F179">
        <f>E179/E190</f>
        <v>1.5771912618610079E-2</v>
      </c>
      <c r="G179">
        <f>F179*B179</f>
        <v>1.5771912618610079E-2</v>
      </c>
      <c r="I179" s="55" t="s">
        <v>190</v>
      </c>
      <c r="J179" s="55">
        <v>2.38</v>
      </c>
      <c r="K179" s="90" t="s">
        <v>198</v>
      </c>
      <c r="L179" s="90"/>
      <c r="M179" s="90"/>
      <c r="N179" s="90"/>
      <c r="O179" s="90"/>
      <c r="P179" s="90"/>
    </row>
    <row r="180" spans="1:16" x14ac:dyDescent="0.15">
      <c r="A180" s="93"/>
      <c r="B180" s="18">
        <v>2</v>
      </c>
      <c r="C180" s="24">
        <f>C179*(1+E175)</f>
        <v>144127.27992499998</v>
      </c>
      <c r="D180" s="21">
        <f>D179*(1+E177)</f>
        <v>1.1449</v>
      </c>
      <c r="E180" s="24">
        <f>C180/D180</f>
        <v>125886.34808716917</v>
      </c>
      <c r="F180">
        <f>E180/E190</f>
        <v>1.6951121038693076E-2</v>
      </c>
      <c r="G180">
        <f>F180*B180</f>
        <v>3.3902242077386152E-2</v>
      </c>
      <c r="I180" s="55" t="s">
        <v>191</v>
      </c>
      <c r="J180" s="55">
        <v>140.65</v>
      </c>
      <c r="K180" s="90"/>
      <c r="L180" s="90"/>
      <c r="M180" s="90"/>
      <c r="N180" s="90"/>
      <c r="O180" s="90"/>
      <c r="P180" s="90"/>
    </row>
    <row r="181" spans="1:16" x14ac:dyDescent="0.15">
      <c r="A181" s="93"/>
      <c r="B181" s="18">
        <v>3</v>
      </c>
      <c r="C181" s="24">
        <f>C180*(1+E175)</f>
        <v>165746.37191374996</v>
      </c>
      <c r="D181" s="21">
        <f>D180*(1+E177)</f>
        <v>1.2250430000000001</v>
      </c>
      <c r="E181" s="24">
        <f>C181/D181</f>
        <v>135298.41149555563</v>
      </c>
      <c r="F181">
        <f>E181/E190</f>
        <v>1.8218494574296293E-2</v>
      </c>
      <c r="G181">
        <f t="shared" ref="G181:G188" si="102">F181*B181</f>
        <v>5.4655483722888878E-2</v>
      </c>
      <c r="I181" s="55" t="s">
        <v>192</v>
      </c>
      <c r="J181" s="55">
        <v>58.85</v>
      </c>
      <c r="K181" s="57"/>
      <c r="L181" s="57" t="s">
        <v>204</v>
      </c>
      <c r="M181" s="57" t="s">
        <v>205</v>
      </c>
      <c r="N181" s="57" t="s">
        <v>206</v>
      </c>
      <c r="O181" s="57" t="s">
        <v>18</v>
      </c>
      <c r="P181" s="57" t="s">
        <v>207</v>
      </c>
    </row>
    <row r="182" spans="1:16" ht="30" x14ac:dyDescent="0.15">
      <c r="A182" s="93"/>
      <c r="B182" s="18">
        <v>4</v>
      </c>
      <c r="C182" s="24">
        <f>C181*(1+E175)</f>
        <v>190608.32770081243</v>
      </c>
      <c r="D182" s="21">
        <f>D181*(1+E177)</f>
        <v>1.3107960100000002</v>
      </c>
      <c r="E182" s="24">
        <f t="shared" ref="E182:E183" si="103">C182/D182</f>
        <v>145414.18057933546</v>
      </c>
      <c r="F182">
        <f>E182/E190</f>
        <v>1.9580625009757692E-2</v>
      </c>
      <c r="G182">
        <f t="shared" si="102"/>
        <v>7.8322500039030768E-2</v>
      </c>
      <c r="I182" s="55" t="s">
        <v>193</v>
      </c>
      <c r="J182" s="55">
        <v>50</v>
      </c>
      <c r="K182" s="57" t="s">
        <v>199</v>
      </c>
      <c r="L182" s="57">
        <f>$J$153-$J$156*2</f>
        <v>46</v>
      </c>
      <c r="M182" s="58">
        <f>$J$154-$J$157*2</f>
        <v>0.16</v>
      </c>
      <c r="N182" s="58">
        <f>$J$155-$J$157*2</f>
        <v>0.10999999999999999</v>
      </c>
      <c r="O182" s="57">
        <f>$L$153*$J$150*(1+$M$153)*(1+$M$153)*(1+$N$153)*(1+$N$153)*(1+$N$153)</f>
        <v>201.47432227372786</v>
      </c>
      <c r="P182" s="22">
        <f>($O$153-$J$151)/$J$151</f>
        <v>0.43245163365608147</v>
      </c>
    </row>
    <row r="183" spans="1:16" ht="45" x14ac:dyDescent="0.15">
      <c r="A183" s="93"/>
      <c r="B183" s="18">
        <v>5</v>
      </c>
      <c r="C183" s="24">
        <f>C182*(1+E175)</f>
        <v>219199.57685593428</v>
      </c>
      <c r="D183" s="21">
        <f>D182*(1+E177)</f>
        <v>1.4025517307000004</v>
      </c>
      <c r="E183" s="24">
        <f t="shared" si="103"/>
        <v>156286.2688469493</v>
      </c>
      <c r="F183">
        <f>E183/E190</f>
        <v>2.1044596973104058E-2</v>
      </c>
      <c r="G183">
        <f t="shared" si="102"/>
        <v>0.10522298486552029</v>
      </c>
      <c r="I183" s="55" t="s">
        <v>194</v>
      </c>
      <c r="J183" s="59">
        <v>0.2</v>
      </c>
      <c r="K183" s="57" t="s">
        <v>200</v>
      </c>
      <c r="L183" s="57">
        <f>$J$153-$J$156*1</f>
        <v>48</v>
      </c>
      <c r="M183" s="58">
        <f>$J$154-$J$157*1</f>
        <v>0.18000000000000002</v>
      </c>
      <c r="N183" s="58">
        <f>$J$155-$J$157*1</f>
        <v>0.13</v>
      </c>
      <c r="O183" s="57">
        <f>$L$154*$J$150*(1+$M$154)*(1+$M$154)*(1+$N$154)*(1+$N$154)*(1+$N$154)</f>
        <v>229.51841678707189</v>
      </c>
      <c r="P183" s="22">
        <f>($O$154-$J$151)/$J$151</f>
        <v>0.63184085877761731</v>
      </c>
    </row>
    <row r="184" spans="1:16" ht="45" x14ac:dyDescent="0.15">
      <c r="A184" s="93"/>
      <c r="B184" s="18">
        <v>6</v>
      </c>
      <c r="C184" s="24">
        <f>C183*(1+E176)</f>
        <v>252079.51338432441</v>
      </c>
      <c r="D184" s="21">
        <f>D183*(1+E177)</f>
        <v>1.5007303518490005</v>
      </c>
      <c r="E184" s="24">
        <f>C184/D184</f>
        <v>167971.22352709502</v>
      </c>
      <c r="F184">
        <f>E184/E190</f>
        <v>2.2618024784177258E-2</v>
      </c>
      <c r="G184">
        <f t="shared" si="102"/>
        <v>0.13570814870506354</v>
      </c>
      <c r="I184" s="55" t="s">
        <v>195</v>
      </c>
      <c r="J184" s="59">
        <v>0.15</v>
      </c>
      <c r="K184" s="57" t="s">
        <v>201</v>
      </c>
      <c r="L184" s="67">
        <f>$J$153</f>
        <v>50</v>
      </c>
      <c r="M184" s="58">
        <f>$J$154</f>
        <v>0.2</v>
      </c>
      <c r="N184" s="58">
        <f>$J$155</f>
        <v>0.15</v>
      </c>
      <c r="O184" s="57">
        <f>$L$155*$J$150*(1+$M$155)*(1+$M$155)*(1+$N$155)*(1+$N$155)*(1+$N$155)</f>
        <v>260.61713999999995</v>
      </c>
      <c r="P184" s="22">
        <f>($O$155-$J$151)/$J$151</f>
        <v>0.85294802701741868</v>
      </c>
    </row>
    <row r="185" spans="1:16" x14ac:dyDescent="0.15">
      <c r="A185" s="93"/>
      <c r="B185" s="18">
        <v>7</v>
      </c>
      <c r="C185" s="24">
        <f>C184*(1+E176)</f>
        <v>289891.44039197307</v>
      </c>
      <c r="D185" s="21">
        <f>D184*(1+E177)</f>
        <v>1.6057814764784306</v>
      </c>
      <c r="E185" s="24">
        <f t="shared" ref="E185:E187" si="104">C185/D185</f>
        <v>180529.8196786535</v>
      </c>
      <c r="F185">
        <f>E185/E190</f>
        <v>2.4309092057760599E-2</v>
      </c>
      <c r="G185">
        <f t="shared" si="102"/>
        <v>0.17016364440432419</v>
      </c>
      <c r="I185" s="55" t="s">
        <v>196</v>
      </c>
      <c r="J185" s="60">
        <v>2</v>
      </c>
      <c r="K185" s="57" t="s">
        <v>202</v>
      </c>
      <c r="L185" s="57">
        <f>$J$153+$J$156*1</f>
        <v>52</v>
      </c>
      <c r="M185" s="58">
        <f>$J$154+$J$157*1</f>
        <v>0.22</v>
      </c>
      <c r="N185" s="58">
        <f>$J$155+$J$157*1</f>
        <v>0.16999999999999998</v>
      </c>
      <c r="O185" s="57">
        <f>$L$156*$J$150*(1+$M$156)*(1+$M$156)*(1+$N$156)*(1+$N$156)*(1+$N$156)</f>
        <v>295.02413607139187</v>
      </c>
      <c r="P185" s="22">
        <f>($O$156-$J$151)/$J$151</f>
        <v>1.0975765095726402</v>
      </c>
    </row>
    <row r="186" spans="1:16" x14ac:dyDescent="0.15">
      <c r="A186" s="93"/>
      <c r="B186" s="18">
        <v>8</v>
      </c>
      <c r="C186" s="24">
        <f>C185*(1+E176)</f>
        <v>333375.15645076899</v>
      </c>
      <c r="D186" s="21">
        <f>D185*(1+E177)</f>
        <v>1.7181861798319209</v>
      </c>
      <c r="E186" s="24">
        <f t="shared" si="104"/>
        <v>194027.37629014158</v>
      </c>
      <c r="F186" s="37">
        <f>E186/E190</f>
        <v>2.6126594267686622E-2</v>
      </c>
      <c r="G186">
        <f t="shared" si="102"/>
        <v>0.20901275414149298</v>
      </c>
      <c r="I186" s="55" t="s">
        <v>197</v>
      </c>
      <c r="J186" s="59">
        <v>0.02</v>
      </c>
      <c r="K186" s="57" t="s">
        <v>203</v>
      </c>
      <c r="L186" s="57">
        <f>$J$153+$J$156*2</f>
        <v>54</v>
      </c>
      <c r="M186" s="58">
        <f>$J$154+$J$157*2</f>
        <v>0.24000000000000002</v>
      </c>
      <c r="N186" s="58">
        <f>$J$155+$J$157*2</f>
        <v>0.19</v>
      </c>
      <c r="O186" s="57">
        <f>$L$157*$J$150*(1+$M$157)*(1+$M$157)*(1+$N$157)*(1+$N$157)*(1+$N$157)</f>
        <v>333.0082334839679</v>
      </c>
      <c r="P186" s="22">
        <f>($O$157-$J$151)/$J$151</f>
        <v>1.3676376358618407</v>
      </c>
    </row>
    <row r="187" spans="1:16" x14ac:dyDescent="0.15">
      <c r="A187" s="93"/>
      <c r="B187" s="18">
        <v>9</v>
      </c>
      <c r="C187" s="24">
        <f>C186*(1+E176)</f>
        <v>383381.4299183843</v>
      </c>
      <c r="D187" s="21">
        <f>D186*(1+E177)</f>
        <v>1.8384592124201555</v>
      </c>
      <c r="E187" s="24">
        <f t="shared" si="104"/>
        <v>208534.09601276895</v>
      </c>
      <c r="F187">
        <f>E187/E190</f>
        <v>2.8079984493308046E-2</v>
      </c>
      <c r="G187">
        <f t="shared" si="102"/>
        <v>0.2527198604397724</v>
      </c>
    </row>
    <row r="188" spans="1:16" x14ac:dyDescent="0.15">
      <c r="A188" s="93"/>
      <c r="B188" s="18">
        <v>10</v>
      </c>
      <c r="C188" s="24">
        <f>C187*(1+E176)</f>
        <v>440888.64440614189</v>
      </c>
      <c r="D188" s="21">
        <f>D187*(1+E177)</f>
        <v>1.9671513572895665</v>
      </c>
      <c r="E188" s="24">
        <f>C188/D188</f>
        <v>224125.43029409743</v>
      </c>
      <c r="F188">
        <f>E188/E190</f>
        <v>3.0179422586265651E-2</v>
      </c>
      <c r="G188">
        <f t="shared" si="102"/>
        <v>0.30179422586265653</v>
      </c>
    </row>
    <row r="189" spans="1:16" x14ac:dyDescent="0.15">
      <c r="A189" t="s">
        <v>123</v>
      </c>
      <c r="B189" s="18" t="s">
        <v>124</v>
      </c>
      <c r="C189" s="24">
        <f>C188*(1+B190)/(E177-B190)</f>
        <v>11352882.593458153</v>
      </c>
      <c r="D189" s="21">
        <f>D188</f>
        <v>1.9671513572895665</v>
      </c>
      <c r="E189" s="24">
        <f>C189/D189</f>
        <v>5771229.8300730092</v>
      </c>
      <c r="F189">
        <f>E189/E190</f>
        <v>0.77712013159634064</v>
      </c>
      <c r="G189">
        <f>F189*11</f>
        <v>8.5483214475597471</v>
      </c>
    </row>
    <row r="190" spans="1:16" ht="60" x14ac:dyDescent="0.15">
      <c r="A190" s="56" t="s">
        <v>127</v>
      </c>
      <c r="B190" s="29">
        <v>0.03</v>
      </c>
      <c r="C190" s="28"/>
      <c r="D190" s="32" t="s">
        <v>125</v>
      </c>
      <c r="E190" s="33">
        <f>SUM(E179:E189)</f>
        <v>7426432.0218006633</v>
      </c>
      <c r="G190">
        <f>SUM(G179:G189)</f>
        <v>9.9055952044364926</v>
      </c>
    </row>
    <row r="191" spans="1:16" x14ac:dyDescent="0.15">
      <c r="D191" s="26" t="s">
        <v>128</v>
      </c>
      <c r="E191" s="30">
        <f>E190/C175</f>
        <v>40.706904054983369</v>
      </c>
    </row>
    <row r="193" spans="1:36" x14ac:dyDescent="0.15">
      <c r="C193" s="31"/>
    </row>
    <row r="194" spans="1:36" s="17" customFormat="1" x14ac:dyDescent="0.15">
      <c r="A194" s="17" t="s">
        <v>57</v>
      </c>
    </row>
    <row r="195" spans="1:36" s="17" customFormat="1" x14ac:dyDescent="0.15">
      <c r="A195" s="17" t="s">
        <v>131</v>
      </c>
      <c r="B195" s="25">
        <v>0.15</v>
      </c>
      <c r="C195" s="17" t="s">
        <v>132</v>
      </c>
      <c r="D195" s="34">
        <v>0.04</v>
      </c>
      <c r="E195" s="17">
        <v>1</v>
      </c>
      <c r="F195" s="17">
        <f>+E195+1</f>
        <v>2</v>
      </c>
      <c r="G195" s="17">
        <f t="shared" ref="G195" si="105">+F195+1</f>
        <v>3</v>
      </c>
      <c r="H195" s="17">
        <f t="shared" ref="H195" si="106">+G195+1</f>
        <v>4</v>
      </c>
      <c r="I195" s="17">
        <f t="shared" ref="I195" si="107">+H195+1</f>
        <v>5</v>
      </c>
      <c r="J195" s="17">
        <f t="shared" ref="J195" si="108">+I195+1</f>
        <v>6</v>
      </c>
      <c r="K195" s="17">
        <f t="shared" ref="K195" si="109">+J195+1</f>
        <v>7</v>
      </c>
      <c r="L195" s="17">
        <f t="shared" ref="L195" si="110">+K195+1</f>
        <v>8</v>
      </c>
      <c r="M195" s="17">
        <f t="shared" ref="M195" si="111">+L195+1</f>
        <v>9</v>
      </c>
      <c r="N195" s="17">
        <f>+M195+1</f>
        <v>10</v>
      </c>
      <c r="O195" s="17">
        <f>+N195+1</f>
        <v>11</v>
      </c>
    </row>
    <row r="196" spans="1:36" s="17" customFormat="1" x14ac:dyDescent="0.15">
      <c r="A196" s="17" t="s">
        <v>133</v>
      </c>
      <c r="B196" s="25">
        <v>0.4</v>
      </c>
      <c r="C196" s="17" t="s">
        <v>134</v>
      </c>
      <c r="D196" s="31">
        <f>SUM(E197:Y197)</f>
        <v>39.54549505527028</v>
      </c>
      <c r="E196" s="17">
        <f>+B196*B197</f>
        <v>0.27999999999999997</v>
      </c>
      <c r="F196" s="35">
        <f>+E196*(1+25%)</f>
        <v>0.35</v>
      </c>
      <c r="G196" s="35">
        <f t="shared" ref="G196:N196" si="112">+F196*(1+$B$195)</f>
        <v>0.40249999999999997</v>
      </c>
      <c r="H196" s="35">
        <f t="shared" si="112"/>
        <v>0.46287499999999993</v>
      </c>
      <c r="I196" s="35">
        <f t="shared" si="112"/>
        <v>0.53230624999999987</v>
      </c>
      <c r="J196" s="35">
        <f t="shared" si="112"/>
        <v>0.61215218749999978</v>
      </c>
      <c r="K196" s="35">
        <f t="shared" si="112"/>
        <v>0.70397501562499964</v>
      </c>
      <c r="L196" s="35">
        <f t="shared" si="112"/>
        <v>0.80957126796874956</v>
      </c>
      <c r="M196" s="35">
        <f t="shared" si="112"/>
        <v>0.93100695816406198</v>
      </c>
      <c r="N196" s="35">
        <f t="shared" si="112"/>
        <v>1.0706580018886711</v>
      </c>
      <c r="O196" s="35">
        <f>N196*20*1/B196</f>
        <v>53.532900094433558</v>
      </c>
      <c r="P196" s="38"/>
      <c r="Q196" s="35"/>
      <c r="R196" s="35"/>
      <c r="S196" s="35"/>
      <c r="T196" s="35"/>
      <c r="U196" s="35"/>
      <c r="V196" s="35"/>
      <c r="W196" s="35"/>
      <c r="X196" s="35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</row>
    <row r="197" spans="1:36" s="17" customFormat="1" x14ac:dyDescent="0.15">
      <c r="A197" s="17" t="s">
        <v>135</v>
      </c>
      <c r="B197" s="17">
        <v>0.7</v>
      </c>
      <c r="E197" s="31">
        <f>-PV($D$195,E195,0,E196)</f>
        <v>0.26923076923076922</v>
      </c>
      <c r="F197" s="31">
        <f t="shared" ref="F197:O197" si="113">-PV($D$195,F195,0,F196)</f>
        <v>0.32359467455621294</v>
      </c>
      <c r="G197" s="31">
        <f t="shared" si="113"/>
        <v>0.3578210343650432</v>
      </c>
      <c r="H197" s="31">
        <f t="shared" si="113"/>
        <v>0.3956674899228842</v>
      </c>
      <c r="I197" s="31">
        <f t="shared" si="113"/>
        <v>0.43751693597241997</v>
      </c>
      <c r="J197" s="31">
        <f t="shared" si="113"/>
        <v>0.48379276573873353</v>
      </c>
      <c r="K197" s="31">
        <f t="shared" si="113"/>
        <v>0.53496315442263809</v>
      </c>
      <c r="L197" s="31">
        <f t="shared" si="113"/>
        <v>0.59154579575580157</v>
      </c>
      <c r="M197" s="31">
        <f t="shared" si="113"/>
        <v>0.65411313953766514</v>
      </c>
      <c r="N197" s="31">
        <f t="shared" si="113"/>
        <v>0.72329818314261041</v>
      </c>
      <c r="O197" s="31">
        <f t="shared" si="113"/>
        <v>34.773951112625504</v>
      </c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</row>
    <row r="198" spans="1:36" s="17" customFormat="1" x14ac:dyDescent="0.15">
      <c r="E198" s="17">
        <f>E197/$D$80</f>
        <v>1.0484795056449479E-2</v>
      </c>
      <c r="F198" s="17">
        <f t="shared" ref="F198:N198" si="114">F197/$D$80</f>
        <v>1.2601917135155622E-2</v>
      </c>
      <c r="G198" s="17">
        <f t="shared" si="114"/>
        <v>1.3934812216758621E-2</v>
      </c>
      <c r="H198" s="17">
        <f t="shared" si="114"/>
        <v>1.5408686585838856E-2</v>
      </c>
      <c r="I198" s="17">
        <f t="shared" si="114"/>
        <v>1.7038451513187194E-2</v>
      </c>
      <c r="J198" s="17">
        <f t="shared" si="114"/>
        <v>1.8840595423235837E-2</v>
      </c>
      <c r="K198" s="17">
        <f t="shared" si="114"/>
        <v>2.0833350708385781E-2</v>
      </c>
      <c r="L198" s="17">
        <f t="shared" si="114"/>
        <v>2.3036878187157349E-2</v>
      </c>
      <c r="M198" s="17">
        <f t="shared" si="114"/>
        <v>2.5473471072337453E-2</v>
      </c>
      <c r="N198" s="17">
        <f t="shared" si="114"/>
        <v>2.8167780512680832E-2</v>
      </c>
      <c r="O198" s="17">
        <f>O197/$D$80</f>
        <v>1.3542202169558093</v>
      </c>
      <c r="P198" s="17" t="s">
        <v>160</v>
      </c>
    </row>
    <row r="199" spans="1:36" s="17" customFormat="1" x14ac:dyDescent="0.15">
      <c r="E199" s="17">
        <f>E198*E195</f>
        <v>1.0484795056449479E-2</v>
      </c>
      <c r="F199" s="17">
        <f>F198*F195</f>
        <v>2.5203834270311243E-2</v>
      </c>
      <c r="G199" s="17">
        <f t="shared" ref="G199:N199" si="115">G198*G195</f>
        <v>4.1804436650275861E-2</v>
      </c>
      <c r="H199" s="17">
        <f t="shared" si="115"/>
        <v>6.1634746343355425E-2</v>
      </c>
      <c r="I199" s="17">
        <f t="shared" si="115"/>
        <v>8.5192257565935972E-2</v>
      </c>
      <c r="J199" s="17">
        <f t="shared" si="115"/>
        <v>0.11304357253941502</v>
      </c>
      <c r="K199" s="17">
        <f t="shared" si="115"/>
        <v>0.14583345495870048</v>
      </c>
      <c r="L199" s="17">
        <f t="shared" si="115"/>
        <v>0.18429502549725879</v>
      </c>
      <c r="M199" s="17">
        <f t="shared" si="115"/>
        <v>0.22926123965103706</v>
      </c>
      <c r="N199" s="17">
        <f t="shared" si="115"/>
        <v>0.28167780512680829</v>
      </c>
      <c r="O199" s="17">
        <f>O198*O195</f>
        <v>14.896422386513903</v>
      </c>
      <c r="P199" s="17">
        <f>SUM(E199:O199)</f>
        <v>16.074853554173451</v>
      </c>
    </row>
    <row r="201" spans="1:36" s="26" customFormat="1" x14ac:dyDescent="0.15"/>
    <row r="203" spans="1:36" ht="15" customHeight="1" x14ac:dyDescent="0.15">
      <c r="A203" s="94" t="s">
        <v>112</v>
      </c>
      <c r="B203" s="55" t="s">
        <v>113</v>
      </c>
      <c r="C203" s="55" t="s">
        <v>43</v>
      </c>
      <c r="D203" s="95" t="s">
        <v>118</v>
      </c>
      <c r="E203" s="95"/>
      <c r="I203" s="96" t="s">
        <v>188</v>
      </c>
      <c r="J203" s="97"/>
      <c r="K203" s="97"/>
    </row>
    <row r="204" spans="1:36" ht="45" x14ac:dyDescent="0.15">
      <c r="A204" s="94"/>
      <c r="B204" s="55" t="s">
        <v>114</v>
      </c>
      <c r="C204" s="23">
        <v>182436.67</v>
      </c>
      <c r="D204" s="20" t="s">
        <v>186</v>
      </c>
      <c r="E204" s="21">
        <v>0.15</v>
      </c>
      <c r="I204" s="97"/>
      <c r="J204" s="97"/>
      <c r="K204" s="97"/>
    </row>
    <row r="205" spans="1:36" ht="45" x14ac:dyDescent="0.15">
      <c r="A205" s="94"/>
      <c r="B205" s="55" t="s">
        <v>115</v>
      </c>
      <c r="C205" s="23">
        <v>136276.03</v>
      </c>
      <c r="D205" s="20" t="s">
        <v>187</v>
      </c>
      <c r="E205" s="21">
        <v>0.15</v>
      </c>
      <c r="I205" s="97"/>
      <c r="J205" s="97"/>
      <c r="K205" s="97"/>
    </row>
    <row r="206" spans="1:36" ht="30" x14ac:dyDescent="0.15">
      <c r="A206" s="94"/>
      <c r="B206" s="55" t="s">
        <v>116</v>
      </c>
      <c r="C206" s="23">
        <v>27295.1</v>
      </c>
      <c r="D206" s="20" t="s">
        <v>126</v>
      </c>
      <c r="E206" s="21">
        <v>7.0000000000000007E-2</v>
      </c>
    </row>
    <row r="207" spans="1:36" ht="30" x14ac:dyDescent="0.15">
      <c r="A207" s="94"/>
      <c r="B207" s="55" t="s">
        <v>117</v>
      </c>
      <c r="C207" s="23">
        <f>C205-C206</f>
        <v>108980.93</v>
      </c>
      <c r="D207" s="57">
        <v>1</v>
      </c>
      <c r="E207" s="57" t="s">
        <v>121</v>
      </c>
      <c r="F207" s="57" t="s">
        <v>130</v>
      </c>
    </row>
    <row r="208" spans="1:36" ht="30" x14ac:dyDescent="0.15">
      <c r="A208" s="93" t="s">
        <v>122</v>
      </c>
      <c r="B208" s="18">
        <v>1</v>
      </c>
      <c r="C208" s="24">
        <f>C207*(1+E204)</f>
        <v>125328.06949999998</v>
      </c>
      <c r="D208" s="21">
        <f>D207*(1+E206)</f>
        <v>1.07</v>
      </c>
      <c r="E208" s="24">
        <f>C208/D208</f>
        <v>117129.03691588783</v>
      </c>
      <c r="F208">
        <f>E208/E219</f>
        <v>1.5771912618610079E-2</v>
      </c>
      <c r="G208">
        <f>F208*B208</f>
        <v>1.5771912618610079E-2</v>
      </c>
      <c r="I208" s="55" t="s">
        <v>190</v>
      </c>
      <c r="J208" s="55">
        <v>2.38</v>
      </c>
      <c r="K208" s="90" t="s">
        <v>198</v>
      </c>
      <c r="L208" s="90"/>
      <c r="M208" s="90"/>
      <c r="N208" s="90"/>
      <c r="O208" s="90"/>
      <c r="P208" s="90"/>
    </row>
    <row r="209" spans="1:16" x14ac:dyDescent="0.15">
      <c r="A209" s="93"/>
      <c r="B209" s="18">
        <v>2</v>
      </c>
      <c r="C209" s="24">
        <f>C208*(1+E204)</f>
        <v>144127.27992499998</v>
      </c>
      <c r="D209" s="21">
        <f>D208*(1+E206)</f>
        <v>1.1449</v>
      </c>
      <c r="E209" s="24">
        <f>C209/D209</f>
        <v>125886.34808716917</v>
      </c>
      <c r="F209">
        <f>E209/E219</f>
        <v>1.6951121038693076E-2</v>
      </c>
      <c r="G209">
        <f>F209*B209</f>
        <v>3.3902242077386152E-2</v>
      </c>
      <c r="I209" s="55" t="s">
        <v>191</v>
      </c>
      <c r="J209" s="55">
        <v>140.65</v>
      </c>
      <c r="K209" s="90"/>
      <c r="L209" s="90"/>
      <c r="M209" s="90"/>
      <c r="N209" s="90"/>
      <c r="O209" s="90"/>
      <c r="P209" s="90"/>
    </row>
    <row r="210" spans="1:16" x14ac:dyDescent="0.15">
      <c r="A210" s="93"/>
      <c r="B210" s="18">
        <v>3</v>
      </c>
      <c r="C210" s="24">
        <f>C209*(1+E204)</f>
        <v>165746.37191374996</v>
      </c>
      <c r="D210" s="21">
        <f>D209*(1+E206)</f>
        <v>1.2250430000000001</v>
      </c>
      <c r="E210" s="24">
        <f>C210/D210</f>
        <v>135298.41149555563</v>
      </c>
      <c r="F210">
        <f>E210/E219</f>
        <v>1.8218494574296293E-2</v>
      </c>
      <c r="G210">
        <f t="shared" ref="G210:G217" si="116">F210*B210</f>
        <v>5.4655483722888878E-2</v>
      </c>
      <c r="I210" s="55" t="s">
        <v>192</v>
      </c>
      <c r="J210" s="55">
        <v>58.85</v>
      </c>
      <c r="K210" s="57"/>
      <c r="L210" s="57" t="s">
        <v>204</v>
      </c>
      <c r="M210" s="57" t="s">
        <v>205</v>
      </c>
      <c r="N210" s="57" t="s">
        <v>206</v>
      </c>
      <c r="O210" s="57" t="s">
        <v>18</v>
      </c>
      <c r="P210" s="57" t="s">
        <v>207</v>
      </c>
    </row>
    <row r="211" spans="1:16" ht="30" x14ac:dyDescent="0.15">
      <c r="A211" s="93"/>
      <c r="B211" s="18">
        <v>4</v>
      </c>
      <c r="C211" s="24">
        <f>C210*(1+E204)</f>
        <v>190608.32770081243</v>
      </c>
      <c r="D211" s="21">
        <f>D210*(1+E206)</f>
        <v>1.3107960100000002</v>
      </c>
      <c r="E211" s="24">
        <f t="shared" ref="E211:E212" si="117">C211/D211</f>
        <v>145414.18057933546</v>
      </c>
      <c r="F211">
        <f>E211/E219</f>
        <v>1.9580625009757692E-2</v>
      </c>
      <c r="G211">
        <f t="shared" si="116"/>
        <v>7.8322500039030768E-2</v>
      </c>
      <c r="I211" s="55" t="s">
        <v>193</v>
      </c>
      <c r="J211" s="55">
        <v>50</v>
      </c>
      <c r="K211" s="57" t="s">
        <v>199</v>
      </c>
      <c r="L211" s="57">
        <f>$J$153-$J$156*2</f>
        <v>46</v>
      </c>
      <c r="M211" s="58">
        <f>$J$154-$J$157*2</f>
        <v>0.16</v>
      </c>
      <c r="N211" s="58">
        <f>$J$155-$J$157*2</f>
        <v>0.10999999999999999</v>
      </c>
      <c r="O211" s="57">
        <f>$L$153*$J$150*(1+$M$153)*(1+$M$153)*(1+$N$153)*(1+$N$153)*(1+$N$153)</f>
        <v>201.47432227372786</v>
      </c>
      <c r="P211" s="22">
        <f>($O$153-$J$151)/$J$151</f>
        <v>0.43245163365608147</v>
      </c>
    </row>
    <row r="212" spans="1:16" ht="45" x14ac:dyDescent="0.15">
      <c r="A212" s="93"/>
      <c r="B212" s="18">
        <v>5</v>
      </c>
      <c r="C212" s="24">
        <f>C211*(1+E204)</f>
        <v>219199.57685593428</v>
      </c>
      <c r="D212" s="21">
        <f>D211*(1+E206)</f>
        <v>1.4025517307000004</v>
      </c>
      <c r="E212" s="24">
        <f t="shared" si="117"/>
        <v>156286.2688469493</v>
      </c>
      <c r="F212">
        <f>E212/E219</f>
        <v>2.1044596973104058E-2</v>
      </c>
      <c r="G212">
        <f t="shared" si="116"/>
        <v>0.10522298486552029</v>
      </c>
      <c r="I212" s="55" t="s">
        <v>194</v>
      </c>
      <c r="J212" s="59">
        <v>0.2</v>
      </c>
      <c r="K212" s="57" t="s">
        <v>200</v>
      </c>
      <c r="L212" s="57">
        <f>$J$153-$J$156*1</f>
        <v>48</v>
      </c>
      <c r="M212" s="58">
        <f>$J$154-$J$157*1</f>
        <v>0.18000000000000002</v>
      </c>
      <c r="N212" s="58">
        <f>$J$155-$J$157*1</f>
        <v>0.13</v>
      </c>
      <c r="O212" s="57">
        <f>$L$154*$J$150*(1+$M$154)*(1+$M$154)*(1+$N$154)*(1+$N$154)*(1+$N$154)</f>
        <v>229.51841678707189</v>
      </c>
      <c r="P212" s="22">
        <f>($O$154-$J$151)/$J$151</f>
        <v>0.63184085877761731</v>
      </c>
    </row>
    <row r="213" spans="1:16" ht="45" x14ac:dyDescent="0.15">
      <c r="A213" s="93"/>
      <c r="B213" s="18">
        <v>6</v>
      </c>
      <c r="C213" s="24">
        <f>C212*(1+E205)</f>
        <v>252079.51338432441</v>
      </c>
      <c r="D213" s="21">
        <f>D212*(1+E206)</f>
        <v>1.5007303518490005</v>
      </c>
      <c r="E213" s="24">
        <f>C213/D213</f>
        <v>167971.22352709502</v>
      </c>
      <c r="F213">
        <f>E213/E219</f>
        <v>2.2618024784177258E-2</v>
      </c>
      <c r="G213">
        <f t="shared" si="116"/>
        <v>0.13570814870506354</v>
      </c>
      <c r="I213" s="55" t="s">
        <v>195</v>
      </c>
      <c r="J213" s="59">
        <v>0.15</v>
      </c>
      <c r="K213" s="57" t="s">
        <v>201</v>
      </c>
      <c r="L213" s="67">
        <f>$J$153</f>
        <v>50</v>
      </c>
      <c r="M213" s="58">
        <f>$J$154</f>
        <v>0.2</v>
      </c>
      <c r="N213" s="58">
        <f>$J$155</f>
        <v>0.15</v>
      </c>
      <c r="O213" s="57">
        <f>$L$155*$J$150*(1+$M$155)*(1+$M$155)*(1+$N$155)*(1+$N$155)*(1+$N$155)</f>
        <v>260.61713999999995</v>
      </c>
      <c r="P213" s="22">
        <f>($O$155-$J$151)/$J$151</f>
        <v>0.85294802701741868</v>
      </c>
    </row>
    <row r="214" spans="1:16" x14ac:dyDescent="0.15">
      <c r="A214" s="93"/>
      <c r="B214" s="18">
        <v>7</v>
      </c>
      <c r="C214" s="24">
        <f>C213*(1+E205)</f>
        <v>289891.44039197307</v>
      </c>
      <c r="D214" s="21">
        <f>D213*(1+E206)</f>
        <v>1.6057814764784306</v>
      </c>
      <c r="E214" s="24">
        <f t="shared" ref="E214:E216" si="118">C214/D214</f>
        <v>180529.8196786535</v>
      </c>
      <c r="F214">
        <f>E214/E219</f>
        <v>2.4309092057760599E-2</v>
      </c>
      <c r="G214">
        <f t="shared" si="116"/>
        <v>0.17016364440432419</v>
      </c>
      <c r="I214" s="55" t="s">
        <v>196</v>
      </c>
      <c r="J214" s="60">
        <v>2</v>
      </c>
      <c r="K214" s="57" t="s">
        <v>202</v>
      </c>
      <c r="L214" s="57">
        <f>$J$153+$J$156*1</f>
        <v>52</v>
      </c>
      <c r="M214" s="58">
        <f>$J$154+$J$157*1</f>
        <v>0.22</v>
      </c>
      <c r="N214" s="58">
        <f>$J$155+$J$157*1</f>
        <v>0.16999999999999998</v>
      </c>
      <c r="O214" s="57">
        <f>$L$156*$J$150*(1+$M$156)*(1+$M$156)*(1+$N$156)*(1+$N$156)*(1+$N$156)</f>
        <v>295.02413607139187</v>
      </c>
      <c r="P214" s="22">
        <f>($O$156-$J$151)/$J$151</f>
        <v>1.0975765095726402</v>
      </c>
    </row>
    <row r="215" spans="1:16" x14ac:dyDescent="0.15">
      <c r="A215" s="93"/>
      <c r="B215" s="18">
        <v>8</v>
      </c>
      <c r="C215" s="24">
        <f>C214*(1+E205)</f>
        <v>333375.15645076899</v>
      </c>
      <c r="D215" s="21">
        <f>D214*(1+E206)</f>
        <v>1.7181861798319209</v>
      </c>
      <c r="E215" s="24">
        <f t="shared" si="118"/>
        <v>194027.37629014158</v>
      </c>
      <c r="F215" s="37">
        <f>E215/E219</f>
        <v>2.6126594267686622E-2</v>
      </c>
      <c r="G215">
        <f t="shared" si="116"/>
        <v>0.20901275414149298</v>
      </c>
      <c r="I215" s="55" t="s">
        <v>197</v>
      </c>
      <c r="J215" s="59">
        <v>0.02</v>
      </c>
      <c r="K215" s="57" t="s">
        <v>203</v>
      </c>
      <c r="L215" s="57">
        <f>$J$153+$J$156*2</f>
        <v>54</v>
      </c>
      <c r="M215" s="58">
        <f>$J$154+$J$157*2</f>
        <v>0.24000000000000002</v>
      </c>
      <c r="N215" s="58">
        <f>$J$155+$J$157*2</f>
        <v>0.19</v>
      </c>
      <c r="O215" s="57">
        <f>$L$157*$J$150*(1+$M$157)*(1+$M$157)*(1+$N$157)*(1+$N$157)*(1+$N$157)</f>
        <v>333.0082334839679</v>
      </c>
      <c r="P215" s="22">
        <f>($O$157-$J$151)/$J$151</f>
        <v>1.3676376358618407</v>
      </c>
    </row>
    <row r="216" spans="1:16" x14ac:dyDescent="0.15">
      <c r="A216" s="93"/>
      <c r="B216" s="18">
        <v>9</v>
      </c>
      <c r="C216" s="24">
        <f>C215*(1+E205)</f>
        <v>383381.4299183843</v>
      </c>
      <c r="D216" s="21">
        <f>D215*(1+E206)</f>
        <v>1.8384592124201555</v>
      </c>
      <c r="E216" s="24">
        <f t="shared" si="118"/>
        <v>208534.09601276895</v>
      </c>
      <c r="F216">
        <f>E216/E219</f>
        <v>2.8079984493308046E-2</v>
      </c>
      <c r="G216">
        <f t="shared" si="116"/>
        <v>0.2527198604397724</v>
      </c>
    </row>
    <row r="217" spans="1:16" x14ac:dyDescent="0.15">
      <c r="A217" s="93"/>
      <c r="B217" s="18">
        <v>10</v>
      </c>
      <c r="C217" s="24">
        <f>C216*(1+E205)</f>
        <v>440888.64440614189</v>
      </c>
      <c r="D217" s="21">
        <f>D216*(1+E206)</f>
        <v>1.9671513572895665</v>
      </c>
      <c r="E217" s="24">
        <f>C217/D217</f>
        <v>224125.43029409743</v>
      </c>
      <c r="F217">
        <f>E217/E219</f>
        <v>3.0179422586265651E-2</v>
      </c>
      <c r="G217">
        <f t="shared" si="116"/>
        <v>0.30179422586265653</v>
      </c>
    </row>
    <row r="218" spans="1:16" x14ac:dyDescent="0.15">
      <c r="A218" t="s">
        <v>123</v>
      </c>
      <c r="B218" s="18" t="s">
        <v>124</v>
      </c>
      <c r="C218" s="24">
        <f>C217*(1+B219)/(E206-B219)</f>
        <v>11352882.593458153</v>
      </c>
      <c r="D218" s="21">
        <f>D217</f>
        <v>1.9671513572895665</v>
      </c>
      <c r="E218" s="24">
        <f>C218/D218</f>
        <v>5771229.8300730092</v>
      </c>
      <c r="F218">
        <f>E218/E219</f>
        <v>0.77712013159634064</v>
      </c>
      <c r="G218">
        <f>F218*11</f>
        <v>8.5483214475597471</v>
      </c>
    </row>
    <row r="219" spans="1:16" ht="60" x14ac:dyDescent="0.15">
      <c r="A219" s="56" t="s">
        <v>127</v>
      </c>
      <c r="B219" s="29">
        <v>0.03</v>
      </c>
      <c r="C219" s="28"/>
      <c r="D219" s="32" t="s">
        <v>125</v>
      </c>
      <c r="E219" s="33">
        <f>SUM(E208:E218)</f>
        <v>7426432.0218006633</v>
      </c>
      <c r="G219">
        <f>SUM(G208:G218)</f>
        <v>9.9055952044364926</v>
      </c>
    </row>
    <row r="220" spans="1:16" x14ac:dyDescent="0.15">
      <c r="D220" s="26" t="s">
        <v>128</v>
      </c>
      <c r="E220" s="30">
        <f>E219/C204</f>
        <v>40.706904054983369</v>
      </c>
    </row>
    <row r="222" spans="1:16" x14ac:dyDescent="0.15">
      <c r="C222" s="31"/>
    </row>
    <row r="223" spans="1:16" s="17" customFormat="1" x14ac:dyDescent="0.15">
      <c r="A223" s="17" t="s">
        <v>43</v>
      </c>
    </row>
    <row r="224" spans="1:16" s="17" customFormat="1" x14ac:dyDescent="0.15">
      <c r="A224" s="17" t="s">
        <v>131</v>
      </c>
      <c r="B224" s="25">
        <v>0.15</v>
      </c>
      <c r="C224" s="17" t="s">
        <v>132</v>
      </c>
      <c r="D224" s="34">
        <v>7.4999999999999997E-2</v>
      </c>
      <c r="E224" s="17">
        <v>1</v>
      </c>
      <c r="F224" s="17">
        <f>+E224+1</f>
        <v>2</v>
      </c>
      <c r="G224" s="17">
        <f t="shared" ref="G224" si="119">+F224+1</f>
        <v>3</v>
      </c>
      <c r="H224" s="17">
        <f t="shared" ref="H224" si="120">+G224+1</f>
        <v>4</v>
      </c>
      <c r="I224" s="17">
        <f t="shared" ref="I224" si="121">+H224+1</f>
        <v>5</v>
      </c>
      <c r="J224" s="17">
        <f t="shared" ref="J224" si="122">+I224+1</f>
        <v>6</v>
      </c>
      <c r="K224" s="17">
        <f t="shared" ref="K224" si="123">+J224+1</f>
        <v>7</v>
      </c>
      <c r="L224" s="17">
        <f t="shared" ref="L224" si="124">+K224+1</f>
        <v>8</v>
      </c>
      <c r="M224" s="17">
        <f t="shared" ref="M224" si="125">+L224+1</f>
        <v>9</v>
      </c>
      <c r="N224" s="17">
        <f>+M224+1</f>
        <v>10</v>
      </c>
      <c r="O224" s="17">
        <f>+N224+1</f>
        <v>11</v>
      </c>
    </row>
    <row r="225" spans="1:36" s="17" customFormat="1" x14ac:dyDescent="0.15">
      <c r="A225" s="17" t="s">
        <v>133</v>
      </c>
      <c r="B225" s="25">
        <v>0.5</v>
      </c>
      <c r="C225" s="17" t="s">
        <v>134</v>
      </c>
      <c r="D225" s="31">
        <f>SUM(E226:Y226)</f>
        <v>1309.0067056179132</v>
      </c>
      <c r="E225" s="17">
        <f>+B225*B226</f>
        <v>17.145</v>
      </c>
      <c r="F225" s="35">
        <f>+E225*(1+$B$224)</f>
        <v>19.716749999999998</v>
      </c>
      <c r="G225" s="35">
        <f t="shared" ref="G225:M225" si="126">+F225*(1+$B$224)</f>
        <v>22.674262499999994</v>
      </c>
      <c r="H225" s="35">
        <f t="shared" si="126"/>
        <v>26.07540187499999</v>
      </c>
      <c r="I225" s="35">
        <f t="shared" si="126"/>
        <v>29.986712156249986</v>
      </c>
      <c r="J225" s="35">
        <f t="shared" si="126"/>
        <v>34.484718979687479</v>
      </c>
      <c r="K225" s="35">
        <f t="shared" si="126"/>
        <v>39.657426826640595</v>
      </c>
      <c r="L225" s="35">
        <f t="shared" si="126"/>
        <v>45.606040850636681</v>
      </c>
      <c r="M225" s="35">
        <f t="shared" si="126"/>
        <v>52.446946978232177</v>
      </c>
      <c r="N225" s="35">
        <f>+M225*(1+$B$224)</f>
        <v>60.313989024967</v>
      </c>
      <c r="O225" s="35">
        <f>N225*20*1/B225</f>
        <v>2412.5595609986799</v>
      </c>
      <c r="P225" s="38"/>
      <c r="Q225" s="35"/>
      <c r="R225" s="35"/>
      <c r="S225" s="35"/>
      <c r="T225" s="35"/>
      <c r="U225" s="35"/>
      <c r="V225" s="35"/>
      <c r="W225" s="35"/>
      <c r="X225" s="35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</row>
    <row r="226" spans="1:36" s="17" customFormat="1" x14ac:dyDescent="0.15">
      <c r="A226" s="17" t="s">
        <v>135</v>
      </c>
      <c r="B226" s="17">
        <v>34.29</v>
      </c>
      <c r="E226" s="31">
        <f>-PV($D$224,E224,0,E225)</f>
        <v>15.948837209302326</v>
      </c>
      <c r="F226" s="31">
        <f>-PV($D$224,F224,0,F225)</f>
        <v>17.061546782044349</v>
      </c>
      <c r="G226" s="31">
        <f t="shared" ref="G226:N226" si="127">-PV($D$224,G224,0,G225)</f>
        <v>18.251887255210232</v>
      </c>
      <c r="H226" s="31">
        <f t="shared" si="127"/>
        <v>19.52527473813187</v>
      </c>
      <c r="I226" s="31">
        <f t="shared" si="127"/>
        <v>20.887503208234094</v>
      </c>
      <c r="J226" s="31">
        <f t="shared" si="127"/>
        <v>22.344770873924844</v>
      </c>
      <c r="K226" s="31">
        <f t="shared" si="127"/>
        <v>23.903708376756803</v>
      </c>
      <c r="L226" s="31">
        <f t="shared" si="127"/>
        <v>25.571408961181696</v>
      </c>
      <c r="M226" s="31">
        <f t="shared" si="127"/>
        <v>27.355460749171115</v>
      </c>
      <c r="N226" s="31">
        <f t="shared" si="127"/>
        <v>29.263981266555149</v>
      </c>
      <c r="O226" s="31">
        <f>-PV($D$224,O224,0,O225)</f>
        <v>1088.8923261974007</v>
      </c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</row>
    <row r="227" spans="1:36" s="17" customFormat="1" x14ac:dyDescent="0.15">
      <c r="E227" s="17">
        <f>E226/$D$80</f>
        <v>0.62110393253335339</v>
      </c>
      <c r="F227" s="17">
        <f t="shared" ref="F227:N227" si="128">F226/$D$80</f>
        <v>0.66443676503568039</v>
      </c>
      <c r="G227" s="17">
        <f t="shared" si="128"/>
        <v>0.71079281841026265</v>
      </c>
      <c r="H227" s="17">
        <f t="shared" si="128"/>
        <v>0.76038301504353656</v>
      </c>
      <c r="I227" s="17">
        <f t="shared" si="128"/>
        <v>0.81343299283727177</v>
      </c>
      <c r="J227" s="17">
        <f t="shared" si="128"/>
        <v>0.87018413187243016</v>
      </c>
      <c r="K227" s="17">
        <f t="shared" si="128"/>
        <v>0.93089465270073901</v>
      </c>
      <c r="L227" s="17">
        <f t="shared" si="128"/>
        <v>0.99584079126125569</v>
      </c>
      <c r="M227" s="17">
        <f t="shared" si="128"/>
        <v>1.0653180557678548</v>
      </c>
      <c r="N227" s="17">
        <f t="shared" si="128"/>
        <v>1.1396425712865426</v>
      </c>
      <c r="O227" s="17">
        <f>O226/$D$80</f>
        <v>42.405304978103899</v>
      </c>
      <c r="P227" s="17" t="s">
        <v>160</v>
      </c>
    </row>
    <row r="228" spans="1:36" s="17" customFormat="1" x14ac:dyDescent="0.15">
      <c r="E228" s="17">
        <f>E227*E224</f>
        <v>0.62110393253335339</v>
      </c>
      <c r="F228" s="17">
        <f>F227*F224</f>
        <v>1.3288735300713608</v>
      </c>
      <c r="G228" s="17">
        <f>G227*G224</f>
        <v>2.1323784552307878</v>
      </c>
      <c r="H228" s="17">
        <f t="shared" ref="H228:N228" si="129">H227*H224</f>
        <v>3.0415320601741462</v>
      </c>
      <c r="I228" s="17">
        <f t="shared" si="129"/>
        <v>4.0671649641863592</v>
      </c>
      <c r="J228" s="17">
        <f t="shared" si="129"/>
        <v>5.2211047912345805</v>
      </c>
      <c r="K228" s="17">
        <f t="shared" si="129"/>
        <v>6.516262568905173</v>
      </c>
      <c r="L228" s="17">
        <f t="shared" si="129"/>
        <v>7.9667263300900455</v>
      </c>
      <c r="M228" s="17">
        <f t="shared" si="129"/>
        <v>9.587862501910692</v>
      </c>
      <c r="N228" s="17">
        <f t="shared" si="129"/>
        <v>11.396425712865426</v>
      </c>
      <c r="O228" s="17">
        <f>O227*O224</f>
        <v>466.45835475914288</v>
      </c>
      <c r="P228" s="17">
        <f>SUM(E228:O228)</f>
        <v>518.33778960634481</v>
      </c>
    </row>
    <row r="230" spans="1:36" s="26" customFormat="1" x14ac:dyDescent="0.15"/>
    <row r="232" spans="1:36" ht="15" customHeight="1" x14ac:dyDescent="0.15">
      <c r="A232" s="94" t="s">
        <v>112</v>
      </c>
      <c r="B232" s="55" t="s">
        <v>113</v>
      </c>
      <c r="C232" s="55" t="s">
        <v>230</v>
      </c>
      <c r="D232" s="95" t="s">
        <v>118</v>
      </c>
      <c r="E232" s="95"/>
      <c r="I232" s="96" t="s">
        <v>188</v>
      </c>
      <c r="J232" s="97"/>
      <c r="K232" s="97"/>
    </row>
    <row r="233" spans="1:36" ht="45" x14ac:dyDescent="0.15">
      <c r="A233" s="94"/>
      <c r="B233" s="55" t="s">
        <v>114</v>
      </c>
      <c r="C233" s="23">
        <v>182436.67</v>
      </c>
      <c r="D233" s="20" t="s">
        <v>186</v>
      </c>
      <c r="E233" s="21">
        <v>0.15</v>
      </c>
      <c r="I233" s="97"/>
      <c r="J233" s="97"/>
      <c r="K233" s="97"/>
    </row>
    <row r="234" spans="1:36" ht="45" x14ac:dyDescent="0.15">
      <c r="A234" s="94"/>
      <c r="B234" s="55" t="s">
        <v>115</v>
      </c>
      <c r="C234" s="23">
        <v>136276.03</v>
      </c>
      <c r="D234" s="20" t="s">
        <v>187</v>
      </c>
      <c r="E234" s="21">
        <v>0.15</v>
      </c>
      <c r="I234" s="97"/>
      <c r="J234" s="97"/>
      <c r="K234" s="97"/>
    </row>
    <row r="235" spans="1:36" ht="30" x14ac:dyDescent="0.15">
      <c r="A235" s="94"/>
      <c r="B235" s="55" t="s">
        <v>116</v>
      </c>
      <c r="C235" s="23">
        <v>27295.1</v>
      </c>
      <c r="D235" s="20" t="s">
        <v>126</v>
      </c>
      <c r="E235" s="21">
        <v>7.0000000000000007E-2</v>
      </c>
    </row>
    <row r="236" spans="1:36" ht="30" x14ac:dyDescent="0.15">
      <c r="A236" s="94"/>
      <c r="B236" s="55" t="s">
        <v>117</v>
      </c>
      <c r="C236" s="23">
        <f>C234-C235</f>
        <v>108980.93</v>
      </c>
      <c r="D236" s="57">
        <v>1</v>
      </c>
      <c r="E236" s="57" t="s">
        <v>121</v>
      </c>
      <c r="F236" s="57" t="s">
        <v>130</v>
      </c>
    </row>
    <row r="237" spans="1:36" ht="30" x14ac:dyDescent="0.15">
      <c r="A237" s="93" t="s">
        <v>122</v>
      </c>
      <c r="B237" s="18">
        <v>1</v>
      </c>
      <c r="C237" s="24">
        <f>C236*(1+E233)</f>
        <v>125328.06949999998</v>
      </c>
      <c r="D237" s="21">
        <f>D236*(1+E235)</f>
        <v>1.07</v>
      </c>
      <c r="E237" s="24">
        <f>C237/D237</f>
        <v>117129.03691588783</v>
      </c>
      <c r="F237">
        <f>E237/E248</f>
        <v>1.5771912618610079E-2</v>
      </c>
      <c r="G237">
        <f>F237*B237</f>
        <v>1.5771912618610079E-2</v>
      </c>
      <c r="I237" s="55" t="s">
        <v>190</v>
      </c>
      <c r="J237" s="55">
        <v>2.38</v>
      </c>
      <c r="K237" s="90" t="s">
        <v>198</v>
      </c>
      <c r="L237" s="90"/>
      <c r="M237" s="90"/>
      <c r="N237" s="90"/>
      <c r="O237" s="90"/>
      <c r="P237" s="90"/>
    </row>
    <row r="238" spans="1:36" x14ac:dyDescent="0.15">
      <c r="A238" s="93"/>
      <c r="B238" s="18">
        <v>2</v>
      </c>
      <c r="C238" s="24">
        <f>C237*(1+E233)</f>
        <v>144127.27992499998</v>
      </c>
      <c r="D238" s="21">
        <f>D237*(1+E235)</f>
        <v>1.1449</v>
      </c>
      <c r="E238" s="24">
        <f>C238/D238</f>
        <v>125886.34808716917</v>
      </c>
      <c r="F238">
        <f>E238/E248</f>
        <v>1.6951121038693076E-2</v>
      </c>
      <c r="G238">
        <f>F238*B238</f>
        <v>3.3902242077386152E-2</v>
      </c>
      <c r="I238" s="55" t="s">
        <v>191</v>
      </c>
      <c r="J238" s="55">
        <v>140.65</v>
      </c>
      <c r="K238" s="90"/>
      <c r="L238" s="90"/>
      <c r="M238" s="90"/>
      <c r="N238" s="90"/>
      <c r="O238" s="90"/>
      <c r="P238" s="90"/>
    </row>
    <row r="239" spans="1:36" x14ac:dyDescent="0.15">
      <c r="A239" s="93"/>
      <c r="B239" s="18">
        <v>3</v>
      </c>
      <c r="C239" s="24">
        <f>C238*(1+E233)</f>
        <v>165746.37191374996</v>
      </c>
      <c r="D239" s="21">
        <f>D238*(1+E235)</f>
        <v>1.2250430000000001</v>
      </c>
      <c r="E239" s="24">
        <f>C239/D239</f>
        <v>135298.41149555563</v>
      </c>
      <c r="F239">
        <f>E239/E248</f>
        <v>1.8218494574296293E-2</v>
      </c>
      <c r="G239">
        <f t="shared" ref="G239:G246" si="130">F239*B239</f>
        <v>5.4655483722888878E-2</v>
      </c>
      <c r="I239" s="55" t="s">
        <v>192</v>
      </c>
      <c r="J239" s="55">
        <v>58.85</v>
      </c>
      <c r="K239" s="57"/>
      <c r="L239" s="57" t="s">
        <v>204</v>
      </c>
      <c r="M239" s="57" t="s">
        <v>205</v>
      </c>
      <c r="N239" s="57" t="s">
        <v>206</v>
      </c>
      <c r="O239" s="57" t="s">
        <v>18</v>
      </c>
      <c r="P239" s="57" t="s">
        <v>207</v>
      </c>
    </row>
    <row r="240" spans="1:36" ht="30" x14ac:dyDescent="0.15">
      <c r="A240" s="93"/>
      <c r="B240" s="18">
        <v>4</v>
      </c>
      <c r="C240" s="24">
        <f>C239*(1+E233)</f>
        <v>190608.32770081243</v>
      </c>
      <c r="D240" s="21">
        <f>D239*(1+E235)</f>
        <v>1.3107960100000002</v>
      </c>
      <c r="E240" s="24">
        <f t="shared" ref="E240:E241" si="131">C240/D240</f>
        <v>145414.18057933546</v>
      </c>
      <c r="F240">
        <f>E240/E248</f>
        <v>1.9580625009757692E-2</v>
      </c>
      <c r="G240">
        <f t="shared" si="130"/>
        <v>7.8322500039030768E-2</v>
      </c>
      <c r="I240" s="55" t="s">
        <v>193</v>
      </c>
      <c r="J240" s="55">
        <v>50</v>
      </c>
      <c r="K240" s="57" t="s">
        <v>199</v>
      </c>
      <c r="L240" s="57">
        <f>$J$153-$J$156*2</f>
        <v>46</v>
      </c>
      <c r="M240" s="58">
        <f>$J$154-$J$157*2</f>
        <v>0.16</v>
      </c>
      <c r="N240" s="58">
        <f>$J$155-$J$157*2</f>
        <v>0.10999999999999999</v>
      </c>
      <c r="O240" s="57">
        <f>$L$153*$J$150*(1+$M$153)*(1+$M$153)*(1+$N$153)*(1+$N$153)*(1+$N$153)</f>
        <v>201.47432227372786</v>
      </c>
      <c r="P240" s="22">
        <f>($O$153-$J$151)/$J$151</f>
        <v>0.43245163365608147</v>
      </c>
    </row>
    <row r="241" spans="1:36" ht="45" x14ac:dyDescent="0.15">
      <c r="A241" s="93"/>
      <c r="B241" s="18">
        <v>5</v>
      </c>
      <c r="C241" s="24">
        <f>C240*(1+E233)</f>
        <v>219199.57685593428</v>
      </c>
      <c r="D241" s="21">
        <f>D240*(1+E235)</f>
        <v>1.4025517307000004</v>
      </c>
      <c r="E241" s="24">
        <f t="shared" si="131"/>
        <v>156286.2688469493</v>
      </c>
      <c r="F241">
        <f>E241/E248</f>
        <v>2.1044596973104058E-2</v>
      </c>
      <c r="G241">
        <f t="shared" si="130"/>
        <v>0.10522298486552029</v>
      </c>
      <c r="I241" s="55" t="s">
        <v>194</v>
      </c>
      <c r="J241" s="59">
        <v>0.2</v>
      </c>
      <c r="K241" s="57" t="s">
        <v>200</v>
      </c>
      <c r="L241" s="57">
        <f>$J$153-$J$156*1</f>
        <v>48</v>
      </c>
      <c r="M241" s="58">
        <f>$J$154-$J$157*1</f>
        <v>0.18000000000000002</v>
      </c>
      <c r="N241" s="58">
        <f>$J$155-$J$157*1</f>
        <v>0.13</v>
      </c>
      <c r="O241" s="57">
        <f>$L$154*$J$150*(1+$M$154)*(1+$M$154)*(1+$N$154)*(1+$N$154)*(1+$N$154)</f>
        <v>229.51841678707189</v>
      </c>
      <c r="P241" s="22">
        <f>($O$154-$J$151)/$J$151</f>
        <v>0.63184085877761731</v>
      </c>
    </row>
    <row r="242" spans="1:36" ht="45" x14ac:dyDescent="0.15">
      <c r="A242" s="93"/>
      <c r="B242" s="18">
        <v>6</v>
      </c>
      <c r="C242" s="24">
        <f>C241*(1+E234)</f>
        <v>252079.51338432441</v>
      </c>
      <c r="D242" s="21">
        <f>D241*(1+E235)</f>
        <v>1.5007303518490005</v>
      </c>
      <c r="E242" s="24">
        <f>C242/D242</f>
        <v>167971.22352709502</v>
      </c>
      <c r="F242">
        <f>E242/E248</f>
        <v>2.2618024784177258E-2</v>
      </c>
      <c r="G242">
        <f t="shared" si="130"/>
        <v>0.13570814870506354</v>
      </c>
      <c r="I242" s="55" t="s">
        <v>195</v>
      </c>
      <c r="J242" s="59">
        <v>0.15</v>
      </c>
      <c r="K242" s="57" t="s">
        <v>201</v>
      </c>
      <c r="L242" s="67">
        <f>$J$153</f>
        <v>50</v>
      </c>
      <c r="M242" s="58">
        <f>$J$154</f>
        <v>0.2</v>
      </c>
      <c r="N242" s="58">
        <f>$J$155</f>
        <v>0.15</v>
      </c>
      <c r="O242" s="57">
        <f>$L$155*$J$150*(1+$M$155)*(1+$M$155)*(1+$N$155)*(1+$N$155)*(1+$N$155)</f>
        <v>260.61713999999995</v>
      </c>
      <c r="P242" s="22">
        <f>($O$155-$J$151)/$J$151</f>
        <v>0.85294802701741868</v>
      </c>
    </row>
    <row r="243" spans="1:36" x14ac:dyDescent="0.15">
      <c r="A243" s="93"/>
      <c r="B243" s="18">
        <v>7</v>
      </c>
      <c r="C243" s="24">
        <f>C242*(1+E234)</f>
        <v>289891.44039197307</v>
      </c>
      <c r="D243" s="21">
        <f>D242*(1+E235)</f>
        <v>1.6057814764784306</v>
      </c>
      <c r="E243" s="24">
        <f t="shared" ref="E243:E245" si="132">C243/D243</f>
        <v>180529.8196786535</v>
      </c>
      <c r="F243">
        <f>E243/E248</f>
        <v>2.4309092057760599E-2</v>
      </c>
      <c r="G243">
        <f t="shared" si="130"/>
        <v>0.17016364440432419</v>
      </c>
      <c r="I243" s="55" t="s">
        <v>196</v>
      </c>
      <c r="J243" s="60">
        <v>2</v>
      </c>
      <c r="K243" s="57" t="s">
        <v>202</v>
      </c>
      <c r="L243" s="57">
        <f>$J$153+$J$156*1</f>
        <v>52</v>
      </c>
      <c r="M243" s="58">
        <f>$J$154+$J$157*1</f>
        <v>0.22</v>
      </c>
      <c r="N243" s="58">
        <f>$J$155+$J$157*1</f>
        <v>0.16999999999999998</v>
      </c>
      <c r="O243" s="57">
        <f>$L$156*$J$150*(1+$M$156)*(1+$M$156)*(1+$N$156)*(1+$N$156)*(1+$N$156)</f>
        <v>295.02413607139187</v>
      </c>
      <c r="P243" s="22">
        <f>($O$156-$J$151)/$J$151</f>
        <v>1.0975765095726402</v>
      </c>
    </row>
    <row r="244" spans="1:36" x14ac:dyDescent="0.15">
      <c r="A244" s="93"/>
      <c r="B244" s="18">
        <v>8</v>
      </c>
      <c r="C244" s="24">
        <f>C243*(1+E234)</f>
        <v>333375.15645076899</v>
      </c>
      <c r="D244" s="21">
        <f>D243*(1+E235)</f>
        <v>1.7181861798319209</v>
      </c>
      <c r="E244" s="24">
        <f t="shared" si="132"/>
        <v>194027.37629014158</v>
      </c>
      <c r="F244" s="37">
        <f>E244/E248</f>
        <v>2.6126594267686622E-2</v>
      </c>
      <c r="G244">
        <f t="shared" si="130"/>
        <v>0.20901275414149298</v>
      </c>
      <c r="I244" s="55" t="s">
        <v>197</v>
      </c>
      <c r="J244" s="59">
        <v>0.02</v>
      </c>
      <c r="K244" s="57" t="s">
        <v>203</v>
      </c>
      <c r="L244" s="57">
        <f>$J$153+$J$156*2</f>
        <v>54</v>
      </c>
      <c r="M244" s="58">
        <f>$J$154+$J$157*2</f>
        <v>0.24000000000000002</v>
      </c>
      <c r="N244" s="58">
        <f>$J$155+$J$157*2</f>
        <v>0.19</v>
      </c>
      <c r="O244" s="57">
        <f>$L$157*$J$150*(1+$M$157)*(1+$M$157)*(1+$N$157)*(1+$N$157)*(1+$N$157)</f>
        <v>333.0082334839679</v>
      </c>
      <c r="P244" s="22">
        <f>($O$157-$J$151)/$J$151</f>
        <v>1.3676376358618407</v>
      </c>
    </row>
    <row r="245" spans="1:36" x14ac:dyDescent="0.15">
      <c r="A245" s="93"/>
      <c r="B245" s="18">
        <v>9</v>
      </c>
      <c r="C245" s="24">
        <f>C244*(1+E234)</f>
        <v>383381.4299183843</v>
      </c>
      <c r="D245" s="21">
        <f>D244*(1+E235)</f>
        <v>1.8384592124201555</v>
      </c>
      <c r="E245" s="24">
        <f t="shared" si="132"/>
        <v>208534.09601276895</v>
      </c>
      <c r="F245">
        <f>E245/E248</f>
        <v>2.8079984493308046E-2</v>
      </c>
      <c r="G245">
        <f t="shared" si="130"/>
        <v>0.2527198604397724</v>
      </c>
    </row>
    <row r="246" spans="1:36" x14ac:dyDescent="0.15">
      <c r="A246" s="93"/>
      <c r="B246" s="18">
        <v>10</v>
      </c>
      <c r="C246" s="24">
        <f>C245*(1+E234)</f>
        <v>440888.64440614189</v>
      </c>
      <c r="D246" s="21">
        <f>D245*(1+E235)</f>
        <v>1.9671513572895665</v>
      </c>
      <c r="E246" s="24">
        <f>C246/D246</f>
        <v>224125.43029409743</v>
      </c>
      <c r="F246">
        <f>E246/E248</f>
        <v>3.0179422586265651E-2</v>
      </c>
      <c r="G246">
        <f t="shared" si="130"/>
        <v>0.30179422586265653</v>
      </c>
    </row>
    <row r="247" spans="1:36" x14ac:dyDescent="0.15">
      <c r="A247" t="s">
        <v>123</v>
      </c>
      <c r="B247" s="18" t="s">
        <v>124</v>
      </c>
      <c r="C247" s="24">
        <f>C246*(1+B248)/(E235-B248)</f>
        <v>11352882.593458153</v>
      </c>
      <c r="D247" s="21">
        <f>D246</f>
        <v>1.9671513572895665</v>
      </c>
      <c r="E247" s="24">
        <f>C247/D247</f>
        <v>5771229.8300730092</v>
      </c>
      <c r="F247">
        <f>E247/E248</f>
        <v>0.77712013159634064</v>
      </c>
      <c r="G247">
        <f>F247*11</f>
        <v>8.5483214475597471</v>
      </c>
    </row>
    <row r="248" spans="1:36" ht="60" x14ac:dyDescent="0.15">
      <c r="A248" s="56" t="s">
        <v>127</v>
      </c>
      <c r="B248" s="29">
        <v>0.03</v>
      </c>
      <c r="C248" s="28"/>
      <c r="D248" s="32" t="s">
        <v>125</v>
      </c>
      <c r="E248" s="33">
        <f>SUM(E237:E247)</f>
        <v>7426432.0218006633</v>
      </c>
      <c r="G248">
        <f>SUM(G237:G247)</f>
        <v>9.9055952044364926</v>
      </c>
    </row>
    <row r="249" spans="1:36" x14ac:dyDescent="0.15">
      <c r="D249" s="26" t="s">
        <v>128</v>
      </c>
      <c r="E249" s="30">
        <f>E248/C233</f>
        <v>40.706904054983369</v>
      </c>
    </row>
    <row r="251" spans="1:36" x14ac:dyDescent="0.15">
      <c r="C251" s="31"/>
    </row>
    <row r="252" spans="1:36" s="17" customFormat="1" x14ac:dyDescent="0.15">
      <c r="A252" s="17" t="s">
        <v>231</v>
      </c>
    </row>
    <row r="253" spans="1:36" s="17" customFormat="1" x14ac:dyDescent="0.15">
      <c r="A253" s="17" t="s">
        <v>131</v>
      </c>
      <c r="B253" s="25">
        <v>0.25</v>
      </c>
      <c r="C253" s="17" t="s">
        <v>132</v>
      </c>
      <c r="D253" s="34">
        <v>7.4999999999999997E-2</v>
      </c>
      <c r="E253" s="17">
        <v>1</v>
      </c>
      <c r="F253" s="17">
        <f>+E253+1</f>
        <v>2</v>
      </c>
      <c r="G253" s="17">
        <f t="shared" ref="G253" si="133">+F253+1</f>
        <v>3</v>
      </c>
      <c r="H253" s="17">
        <f t="shared" ref="H253" si="134">+G253+1</f>
        <v>4</v>
      </c>
      <c r="I253" s="17">
        <f t="shared" ref="I253" si="135">+H253+1</f>
        <v>5</v>
      </c>
      <c r="J253" s="17">
        <f t="shared" ref="J253" si="136">+I253+1</f>
        <v>6</v>
      </c>
      <c r="K253" s="17">
        <f t="shared" ref="K253" si="137">+J253+1</f>
        <v>7</v>
      </c>
      <c r="L253" s="17">
        <f t="shared" ref="L253" si="138">+K253+1</f>
        <v>8</v>
      </c>
      <c r="M253" s="17">
        <f t="shared" ref="M253" si="139">+L253+1</f>
        <v>9</v>
      </c>
      <c r="N253" s="17">
        <f>+M253+1</f>
        <v>10</v>
      </c>
      <c r="O253" s="17">
        <f>+N253+1</f>
        <v>11</v>
      </c>
    </row>
    <row r="254" spans="1:36" s="17" customFormat="1" x14ac:dyDescent="0.15">
      <c r="A254" s="17" t="s">
        <v>133</v>
      </c>
      <c r="B254" s="25">
        <v>0.3</v>
      </c>
      <c r="C254" s="17" t="s">
        <v>134</v>
      </c>
      <c r="D254" s="31">
        <f>SUM(E255:Y255)</f>
        <v>72.716325274439399</v>
      </c>
      <c r="E254" s="17">
        <f>+B254*B255</f>
        <v>0.56399999999999995</v>
      </c>
      <c r="F254" s="35">
        <f>+E254*(1+$B$253)</f>
        <v>0.70499999999999996</v>
      </c>
      <c r="G254" s="35">
        <f t="shared" ref="G254:M254" si="140">+F254*(1+$B$224)</f>
        <v>0.81074999999999986</v>
      </c>
      <c r="H254" s="35">
        <f t="shared" si="140"/>
        <v>0.93236249999999976</v>
      </c>
      <c r="I254" s="35">
        <f t="shared" si="140"/>
        <v>1.0722168749999996</v>
      </c>
      <c r="J254" s="35">
        <f t="shared" si="140"/>
        <v>1.2330494062499995</v>
      </c>
      <c r="K254" s="35">
        <f t="shared" si="140"/>
        <v>1.4180068171874993</v>
      </c>
      <c r="L254" s="35">
        <f t="shared" si="140"/>
        <v>1.6307078397656241</v>
      </c>
      <c r="M254" s="35">
        <f t="shared" si="140"/>
        <v>1.8753140157304675</v>
      </c>
      <c r="N254" s="35">
        <f>+M254*(1+$B$224)</f>
        <v>2.1566111180900376</v>
      </c>
      <c r="O254" s="35">
        <f>N254*20*1/B254</f>
        <v>143.77407453933583</v>
      </c>
      <c r="P254" s="38"/>
      <c r="Q254" s="35"/>
      <c r="R254" s="35"/>
      <c r="S254" s="35"/>
      <c r="T254" s="35"/>
      <c r="U254" s="35"/>
      <c r="V254" s="35"/>
      <c r="W254" s="35"/>
      <c r="X254" s="35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</row>
    <row r="255" spans="1:36" s="17" customFormat="1" x14ac:dyDescent="0.15">
      <c r="A255" s="17" t="s">
        <v>135</v>
      </c>
      <c r="B255" s="17">
        <v>1.88</v>
      </c>
      <c r="E255" s="31">
        <f>-PV($D$253,E253,0,E254)</f>
        <v>0.52465116279069768</v>
      </c>
      <c r="F255" s="31">
        <f>-PV($D$253,F253,0,F254)</f>
        <v>0.61005949161709039</v>
      </c>
      <c r="G255" s="31">
        <f t="shared" ref="G255:N255" si="141">-PV($D$253,G253,0,G254)</f>
        <v>0.65262178172991059</v>
      </c>
      <c r="H255" s="31">
        <f t="shared" si="141"/>
        <v>0.69815353394362512</v>
      </c>
      <c r="I255" s="31">
        <f t="shared" si="141"/>
        <v>0.74686192003271523</v>
      </c>
      <c r="J255" s="31">
        <f t="shared" si="141"/>
        <v>0.79896856561639307</v>
      </c>
      <c r="K255" s="31">
        <f t="shared" si="141"/>
        <v>0.8547105585663739</v>
      </c>
      <c r="L255" s="31">
        <f t="shared" si="141"/>
        <v>0.91434152776867894</v>
      </c>
      <c r="M255" s="31">
        <f t="shared" si="141"/>
        <v>0.97813279714788903</v>
      </c>
      <c r="N255" s="31">
        <f t="shared" si="141"/>
        <v>1.0463746202047186</v>
      </c>
      <c r="O255" s="31">
        <f>-PV($D$253,O253,0,O254)</f>
        <v>64.891449315021305</v>
      </c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</row>
    <row r="256" spans="1:36" s="17" customFormat="1" x14ac:dyDescent="0.15">
      <c r="E256" s="17">
        <f>E255/$D$80</f>
        <v>2.0431765409671118E-2</v>
      </c>
      <c r="F256" s="17">
        <f t="shared" ref="F256:N256" si="142">F255/$D$80</f>
        <v>2.3757866755431536E-2</v>
      </c>
      <c r="G256" s="17">
        <f t="shared" si="142"/>
        <v>2.5415392343019781E-2</v>
      </c>
      <c r="H256" s="17">
        <f t="shared" si="142"/>
        <v>2.7188559250672317E-2</v>
      </c>
      <c r="I256" s="17">
        <f t="shared" si="142"/>
        <v>2.9085435477463409E-2</v>
      </c>
      <c r="J256" s="17">
        <f t="shared" si="142"/>
        <v>3.1114651906123648E-2</v>
      </c>
      <c r="K256" s="17">
        <f t="shared" si="142"/>
        <v>3.3285441573992734E-2</v>
      </c>
      <c r="L256" s="17">
        <f t="shared" si="142"/>
        <v>3.560768168380618E-2</v>
      </c>
      <c r="M256" s="17">
        <f t="shared" si="142"/>
        <v>3.8091938545467073E-2</v>
      </c>
      <c r="N256" s="17">
        <f t="shared" si="142"/>
        <v>4.0749515653290359E-2</v>
      </c>
      <c r="O256" s="17">
        <f>O255/$D$80</f>
        <v>2.5271017459404872</v>
      </c>
      <c r="P256" s="17" t="s">
        <v>160</v>
      </c>
    </row>
    <row r="257" spans="5:16" s="17" customFormat="1" x14ac:dyDescent="0.15">
      <c r="E257" s="17">
        <f>E256*E253</f>
        <v>2.0431765409671118E-2</v>
      </c>
      <c r="F257" s="17">
        <f>F256*F253</f>
        <v>4.7515733510863072E-2</v>
      </c>
      <c r="G257" s="17">
        <f>G256*G253</f>
        <v>7.6246177029059337E-2</v>
      </c>
      <c r="H257" s="17">
        <f t="shared" ref="H257:N257" si="143">H256*H253</f>
        <v>0.10875423700268927</v>
      </c>
      <c r="I257" s="17">
        <f t="shared" si="143"/>
        <v>0.14542717738731703</v>
      </c>
      <c r="J257" s="17">
        <f t="shared" si="143"/>
        <v>0.1866879114367419</v>
      </c>
      <c r="K257" s="17">
        <f t="shared" si="143"/>
        <v>0.23299809101794913</v>
      </c>
      <c r="L257" s="17">
        <f t="shared" si="143"/>
        <v>0.28486145347044944</v>
      </c>
      <c r="M257" s="17">
        <f t="shared" si="143"/>
        <v>0.34282744690920364</v>
      </c>
      <c r="N257" s="17">
        <f t="shared" si="143"/>
        <v>0.40749515653290358</v>
      </c>
      <c r="O257" s="17">
        <f>O256*O253</f>
        <v>27.798119205345358</v>
      </c>
      <c r="P257" s="17">
        <f>SUM(E257:O257)</f>
        <v>29.651364355052205</v>
      </c>
    </row>
  </sheetData>
  <mergeCells count="42">
    <mergeCell ref="D116:E116"/>
    <mergeCell ref="I58:K60"/>
    <mergeCell ref="I116:K118"/>
    <mergeCell ref="I87:K89"/>
    <mergeCell ref="A121:A130"/>
    <mergeCell ref="D58:E58"/>
    <mergeCell ref="K121:P122"/>
    <mergeCell ref="K92:P93"/>
    <mergeCell ref="K63:P64"/>
    <mergeCell ref="D87:E87"/>
    <mergeCell ref="A92:A101"/>
    <mergeCell ref="A2:A7"/>
    <mergeCell ref="A8:A14"/>
    <mergeCell ref="A15:A24"/>
    <mergeCell ref="A25:A32"/>
    <mergeCell ref="A145:A149"/>
    <mergeCell ref="A116:A120"/>
    <mergeCell ref="A33:A36"/>
    <mergeCell ref="A37:A44"/>
    <mergeCell ref="A45:A54"/>
    <mergeCell ref="A58:A62"/>
    <mergeCell ref="A87:A91"/>
    <mergeCell ref="A63:A72"/>
    <mergeCell ref="D145:E145"/>
    <mergeCell ref="I145:K147"/>
    <mergeCell ref="A150:A159"/>
    <mergeCell ref="K150:P151"/>
    <mergeCell ref="A174:A178"/>
    <mergeCell ref="D174:E174"/>
    <mergeCell ref="I174:K176"/>
    <mergeCell ref="A179:A188"/>
    <mergeCell ref="K179:P180"/>
    <mergeCell ref="A203:A207"/>
    <mergeCell ref="D203:E203"/>
    <mergeCell ref="I203:K205"/>
    <mergeCell ref="A237:A246"/>
    <mergeCell ref="K237:P238"/>
    <mergeCell ref="A208:A217"/>
    <mergeCell ref="K208:P209"/>
    <mergeCell ref="A232:A236"/>
    <mergeCell ref="D232:E232"/>
    <mergeCell ref="I232:K23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D18" sqref="D18"/>
    </sheetView>
  </sheetViews>
  <sheetFormatPr baseColWidth="10" defaultRowHeight="15" x14ac:dyDescent="0.15"/>
  <sheetData>
    <row r="1" spans="1:65" s="17" customFormat="1" x14ac:dyDescent="0.15">
      <c r="A1" s="39" t="s">
        <v>136</v>
      </c>
    </row>
    <row r="2" spans="1:65" s="17" customFormat="1" x14ac:dyDescent="0.15">
      <c r="D2" s="17" t="s">
        <v>131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0.1</v>
      </c>
      <c r="P2" s="25">
        <v>0.1</v>
      </c>
      <c r="Q2" s="25">
        <v>0.1</v>
      </c>
      <c r="R2" s="25">
        <v>0.1</v>
      </c>
      <c r="S2" s="25">
        <v>0.1</v>
      </c>
      <c r="T2" s="25">
        <v>0.1</v>
      </c>
      <c r="U2" s="25">
        <v>0.1</v>
      </c>
      <c r="V2" s="25">
        <v>0.1</v>
      </c>
      <c r="W2" s="25">
        <v>0.1</v>
      </c>
      <c r="X2" s="25">
        <v>0.1</v>
      </c>
      <c r="Y2" s="25">
        <v>0.2</v>
      </c>
      <c r="Z2" s="25">
        <v>0.2</v>
      </c>
      <c r="AA2" s="25">
        <v>0.2</v>
      </c>
      <c r="AB2" s="25">
        <v>0.2</v>
      </c>
      <c r="AC2" s="25">
        <v>0.2</v>
      </c>
      <c r="AD2" s="25">
        <v>0.2</v>
      </c>
      <c r="AE2" s="25">
        <v>0.2</v>
      </c>
      <c r="AF2" s="25">
        <v>0.2</v>
      </c>
      <c r="AG2" s="25">
        <v>0.2</v>
      </c>
      <c r="AH2" s="25">
        <v>0.2</v>
      </c>
      <c r="AI2" s="25">
        <v>0.3</v>
      </c>
      <c r="AJ2" s="25">
        <v>0.3</v>
      </c>
      <c r="AK2" s="25">
        <v>0.3</v>
      </c>
      <c r="AL2" s="25">
        <v>0.3</v>
      </c>
      <c r="AM2" s="25">
        <v>0.3</v>
      </c>
      <c r="AN2" s="25">
        <v>0.3</v>
      </c>
      <c r="AO2" s="25">
        <v>0.3</v>
      </c>
      <c r="AP2" s="25">
        <v>0.3</v>
      </c>
      <c r="AQ2" s="25">
        <v>0.3</v>
      </c>
      <c r="AR2" s="25">
        <v>0.3</v>
      </c>
      <c r="AS2" s="25">
        <v>0.2</v>
      </c>
      <c r="AT2" s="25">
        <v>0.2</v>
      </c>
      <c r="AU2" s="25">
        <v>0.2</v>
      </c>
      <c r="AV2" s="25">
        <v>0.2</v>
      </c>
      <c r="AW2" s="25">
        <v>0.2</v>
      </c>
      <c r="AX2" s="25">
        <v>0.2</v>
      </c>
      <c r="AY2" s="25">
        <v>0.2</v>
      </c>
      <c r="AZ2" s="25">
        <v>0.2</v>
      </c>
      <c r="BA2" s="25">
        <v>0.2</v>
      </c>
      <c r="BB2" s="25">
        <v>0.2</v>
      </c>
      <c r="BC2" s="25">
        <v>0.1</v>
      </c>
      <c r="BD2" s="25">
        <v>0.1</v>
      </c>
      <c r="BE2" s="25">
        <v>0.1</v>
      </c>
      <c r="BF2" s="25">
        <v>0.1</v>
      </c>
      <c r="BG2" s="25">
        <v>0.1</v>
      </c>
      <c r="BH2" s="25">
        <v>0.1</v>
      </c>
      <c r="BI2" s="25">
        <v>0.1</v>
      </c>
      <c r="BJ2" s="25">
        <v>0.1</v>
      </c>
      <c r="BK2" s="25">
        <v>0.1</v>
      </c>
      <c r="BL2" s="25">
        <v>0.1</v>
      </c>
    </row>
    <row r="3" spans="1:65" s="17" customFormat="1" x14ac:dyDescent="0.15"/>
    <row r="4" spans="1:65" s="17" customFormat="1" x14ac:dyDescent="0.15">
      <c r="B4" s="25"/>
      <c r="C4" s="17" t="s">
        <v>132</v>
      </c>
      <c r="D4" s="40">
        <v>9.3284000000000006E-2</v>
      </c>
      <c r="E4" s="17">
        <v>1</v>
      </c>
      <c r="F4" s="17">
        <f>+E4+1</f>
        <v>2</v>
      </c>
      <c r="G4" s="17">
        <f t="shared" ref="G4:BM4" si="0">+F4+1</f>
        <v>3</v>
      </c>
      <c r="H4" s="17">
        <f t="shared" si="0"/>
        <v>4</v>
      </c>
      <c r="I4" s="17">
        <f t="shared" si="0"/>
        <v>5</v>
      </c>
      <c r="J4" s="17">
        <f t="shared" si="0"/>
        <v>6</v>
      </c>
      <c r="K4" s="17">
        <f t="shared" si="0"/>
        <v>7</v>
      </c>
      <c r="L4" s="17">
        <f t="shared" si="0"/>
        <v>8</v>
      </c>
      <c r="M4" s="17">
        <f t="shared" si="0"/>
        <v>9</v>
      </c>
      <c r="N4" s="17">
        <f t="shared" si="0"/>
        <v>10</v>
      </c>
      <c r="O4" s="17">
        <f t="shared" si="0"/>
        <v>11</v>
      </c>
      <c r="P4" s="17">
        <f t="shared" si="0"/>
        <v>12</v>
      </c>
      <c r="Q4" s="17">
        <f t="shared" si="0"/>
        <v>13</v>
      </c>
      <c r="R4" s="17">
        <f t="shared" si="0"/>
        <v>14</v>
      </c>
      <c r="S4" s="17">
        <f t="shared" si="0"/>
        <v>15</v>
      </c>
      <c r="T4" s="17">
        <f t="shared" si="0"/>
        <v>16</v>
      </c>
      <c r="U4" s="17">
        <f t="shared" si="0"/>
        <v>17</v>
      </c>
      <c r="V4" s="17">
        <f t="shared" si="0"/>
        <v>18</v>
      </c>
      <c r="W4" s="17">
        <f t="shared" si="0"/>
        <v>19</v>
      </c>
      <c r="X4" s="17">
        <f t="shared" si="0"/>
        <v>20</v>
      </c>
      <c r="Y4" s="17">
        <f t="shared" si="0"/>
        <v>21</v>
      </c>
      <c r="Z4" s="17">
        <f t="shared" si="0"/>
        <v>22</v>
      </c>
      <c r="AA4" s="17">
        <f t="shared" si="0"/>
        <v>23</v>
      </c>
      <c r="AB4" s="17">
        <f t="shared" si="0"/>
        <v>24</v>
      </c>
      <c r="AC4" s="17">
        <f t="shared" si="0"/>
        <v>25</v>
      </c>
      <c r="AD4" s="17">
        <f t="shared" si="0"/>
        <v>26</v>
      </c>
      <c r="AE4" s="17">
        <f t="shared" si="0"/>
        <v>27</v>
      </c>
      <c r="AF4" s="17">
        <f t="shared" si="0"/>
        <v>28</v>
      </c>
      <c r="AG4" s="17">
        <f t="shared" si="0"/>
        <v>29</v>
      </c>
      <c r="AH4" s="17">
        <f t="shared" si="0"/>
        <v>30</v>
      </c>
      <c r="AI4" s="17">
        <f t="shared" si="0"/>
        <v>31</v>
      </c>
      <c r="AJ4" s="17">
        <f t="shared" si="0"/>
        <v>32</v>
      </c>
      <c r="AK4" s="17">
        <f t="shared" si="0"/>
        <v>33</v>
      </c>
      <c r="AL4" s="17">
        <f t="shared" si="0"/>
        <v>34</v>
      </c>
      <c r="AM4" s="17">
        <f t="shared" si="0"/>
        <v>35</v>
      </c>
      <c r="AN4" s="17">
        <f t="shared" si="0"/>
        <v>36</v>
      </c>
      <c r="AO4" s="17">
        <f t="shared" si="0"/>
        <v>37</v>
      </c>
      <c r="AP4" s="17">
        <f t="shared" si="0"/>
        <v>38</v>
      </c>
      <c r="AQ4" s="17">
        <f t="shared" si="0"/>
        <v>39</v>
      </c>
      <c r="AR4" s="17">
        <f t="shared" si="0"/>
        <v>40</v>
      </c>
      <c r="AS4" s="17">
        <f t="shared" si="0"/>
        <v>41</v>
      </c>
      <c r="AT4" s="17">
        <f t="shared" si="0"/>
        <v>42</v>
      </c>
      <c r="AU4" s="17">
        <f t="shared" si="0"/>
        <v>43</v>
      </c>
      <c r="AV4" s="17">
        <f t="shared" si="0"/>
        <v>44</v>
      </c>
      <c r="AW4" s="17">
        <f t="shared" si="0"/>
        <v>45</v>
      </c>
      <c r="AX4" s="17">
        <f t="shared" si="0"/>
        <v>46</v>
      </c>
      <c r="AY4" s="17">
        <f t="shared" si="0"/>
        <v>47</v>
      </c>
      <c r="AZ4" s="17">
        <f t="shared" si="0"/>
        <v>48</v>
      </c>
      <c r="BA4" s="17">
        <f t="shared" si="0"/>
        <v>49</v>
      </c>
      <c r="BB4" s="17">
        <f t="shared" si="0"/>
        <v>50</v>
      </c>
      <c r="BC4" s="17">
        <f t="shared" si="0"/>
        <v>51</v>
      </c>
      <c r="BD4" s="17">
        <f t="shared" si="0"/>
        <v>52</v>
      </c>
      <c r="BE4" s="17">
        <f t="shared" si="0"/>
        <v>53</v>
      </c>
      <c r="BF4" s="17">
        <f t="shared" si="0"/>
        <v>54</v>
      </c>
      <c r="BG4" s="17">
        <f t="shared" si="0"/>
        <v>55</v>
      </c>
      <c r="BH4" s="17">
        <f t="shared" si="0"/>
        <v>56</v>
      </c>
      <c r="BI4" s="17">
        <f t="shared" si="0"/>
        <v>57</v>
      </c>
      <c r="BJ4" s="17">
        <f t="shared" si="0"/>
        <v>58</v>
      </c>
      <c r="BK4" s="17">
        <f t="shared" si="0"/>
        <v>59</v>
      </c>
      <c r="BL4" s="17">
        <f t="shared" si="0"/>
        <v>60</v>
      </c>
      <c r="BM4" s="17">
        <f t="shared" si="0"/>
        <v>61</v>
      </c>
    </row>
    <row r="5" spans="1:65" s="17" customFormat="1" x14ac:dyDescent="0.15">
      <c r="B5" s="25"/>
      <c r="C5" s="17" t="s">
        <v>137</v>
      </c>
      <c r="D5" s="31">
        <f>SUM(E6:AZ6)</f>
        <v>104.48504165956224</v>
      </c>
      <c r="E5" s="17">
        <v>-1</v>
      </c>
      <c r="F5" s="35">
        <v>-1</v>
      </c>
      <c r="G5" s="35">
        <v>-1</v>
      </c>
      <c r="H5" s="35">
        <v>-1</v>
      </c>
      <c r="I5" s="35">
        <v>-1</v>
      </c>
      <c r="J5" s="35">
        <v>-1</v>
      </c>
      <c r="K5" s="35">
        <v>-1</v>
      </c>
      <c r="L5" s="35">
        <v>-1</v>
      </c>
      <c r="M5" s="35">
        <v>-1</v>
      </c>
      <c r="N5" s="35">
        <v>-1</v>
      </c>
      <c r="O5" s="35">
        <v>1</v>
      </c>
      <c r="P5" s="35">
        <f>+O5*(1+P2)</f>
        <v>1.1000000000000001</v>
      </c>
      <c r="Q5" s="35">
        <f t="shared" ref="Q5:W5" si="1">+P5*(1+Q2)</f>
        <v>1.2100000000000002</v>
      </c>
      <c r="R5" s="35">
        <f t="shared" si="1"/>
        <v>1.3310000000000004</v>
      </c>
      <c r="S5" s="35">
        <f t="shared" si="1"/>
        <v>1.4641000000000006</v>
      </c>
      <c r="T5" s="35">
        <f t="shared" si="1"/>
        <v>1.6105100000000008</v>
      </c>
      <c r="U5" s="35">
        <f t="shared" si="1"/>
        <v>1.7715610000000011</v>
      </c>
      <c r="V5" s="35">
        <f t="shared" si="1"/>
        <v>1.9487171000000014</v>
      </c>
      <c r="W5" s="35">
        <f t="shared" si="1"/>
        <v>2.1435888100000016</v>
      </c>
      <c r="X5" s="35">
        <f>+W5*(1+X2)</f>
        <v>2.3579476910000019</v>
      </c>
      <c r="Y5" s="35">
        <f t="shared" ref="Y5:BK5" si="2">+X5*(1+Y2)</f>
        <v>2.8295372292000023</v>
      </c>
      <c r="Z5" s="35">
        <f t="shared" si="2"/>
        <v>3.3954446750400025</v>
      </c>
      <c r="AA5" s="35">
        <f t="shared" si="2"/>
        <v>4.074533610048003</v>
      </c>
      <c r="AB5" s="35">
        <f t="shared" si="2"/>
        <v>4.8894403320576032</v>
      </c>
      <c r="AC5" s="35">
        <f t="shared" si="2"/>
        <v>5.867328398469124</v>
      </c>
      <c r="AD5" s="35">
        <f t="shared" si="2"/>
        <v>7.040794078162949</v>
      </c>
      <c r="AE5" s="35">
        <f t="shared" si="2"/>
        <v>8.4489528937955392</v>
      </c>
      <c r="AF5" s="35">
        <f t="shared" si="2"/>
        <v>10.138743472554646</v>
      </c>
      <c r="AG5" s="35">
        <f t="shared" si="2"/>
        <v>12.166492167065575</v>
      </c>
      <c r="AH5" s="35">
        <f t="shared" si="2"/>
        <v>14.599790600478689</v>
      </c>
      <c r="AI5" s="35">
        <f t="shared" si="2"/>
        <v>18.979727780622298</v>
      </c>
      <c r="AJ5" s="35">
        <f t="shared" si="2"/>
        <v>24.673646114808989</v>
      </c>
      <c r="AK5" s="35">
        <f t="shared" si="2"/>
        <v>32.075739949251684</v>
      </c>
      <c r="AL5" s="35">
        <f t="shared" si="2"/>
        <v>41.698461934027193</v>
      </c>
      <c r="AM5" s="35">
        <f t="shared" si="2"/>
        <v>54.208000514235351</v>
      </c>
      <c r="AN5" s="35">
        <f t="shared" si="2"/>
        <v>70.47040066850596</v>
      </c>
      <c r="AO5" s="35">
        <f t="shared" si="2"/>
        <v>91.611520869057756</v>
      </c>
      <c r="AP5" s="35">
        <f t="shared" si="2"/>
        <v>119.09497712977509</v>
      </c>
      <c r="AQ5" s="35">
        <f t="shared" si="2"/>
        <v>154.82347026870761</v>
      </c>
      <c r="AR5" s="35">
        <f t="shared" si="2"/>
        <v>201.27051134931989</v>
      </c>
      <c r="AS5" s="35">
        <f t="shared" si="2"/>
        <v>241.52461361918387</v>
      </c>
      <c r="AT5" s="35">
        <f t="shared" si="2"/>
        <v>289.82953634302061</v>
      </c>
      <c r="AU5" s="35">
        <f t="shared" si="2"/>
        <v>347.79544361162471</v>
      </c>
      <c r="AV5" s="35">
        <f t="shared" si="2"/>
        <v>417.35453233394963</v>
      </c>
      <c r="AW5" s="35">
        <f t="shared" si="2"/>
        <v>500.82543880073956</v>
      </c>
      <c r="AX5" s="35">
        <f t="shared" si="2"/>
        <v>600.99052656088747</v>
      </c>
      <c r="AY5" s="35">
        <f t="shared" si="2"/>
        <v>721.18863187306499</v>
      </c>
      <c r="AZ5" s="35">
        <f t="shared" si="2"/>
        <v>865.42635824767797</v>
      </c>
      <c r="BA5" s="35">
        <f t="shared" si="2"/>
        <v>1038.5116298972134</v>
      </c>
      <c r="BB5" s="35">
        <f t="shared" si="2"/>
        <v>1246.213955876656</v>
      </c>
      <c r="BC5" s="35">
        <f t="shared" si="2"/>
        <v>1370.8353514643218</v>
      </c>
      <c r="BD5" s="35">
        <f t="shared" si="2"/>
        <v>1507.918886610754</v>
      </c>
      <c r="BE5" s="35">
        <f t="shared" si="2"/>
        <v>1658.7107752718296</v>
      </c>
      <c r="BF5" s="35">
        <f t="shared" si="2"/>
        <v>1824.5818527990127</v>
      </c>
      <c r="BG5" s="35">
        <f t="shared" si="2"/>
        <v>2007.0400380789142</v>
      </c>
      <c r="BH5" s="35">
        <f t="shared" si="2"/>
        <v>2207.7440418868059</v>
      </c>
      <c r="BI5" s="35">
        <f t="shared" si="2"/>
        <v>2428.5184460754867</v>
      </c>
      <c r="BJ5" s="35">
        <f t="shared" si="2"/>
        <v>2671.3702906830358</v>
      </c>
      <c r="BK5" s="35">
        <f t="shared" si="2"/>
        <v>2938.5073197513398</v>
      </c>
      <c r="BL5" s="35">
        <f>+BK5*(1+BL2)</f>
        <v>3232.3580517264741</v>
      </c>
      <c r="BM5" s="36">
        <f>BL5/D4</f>
        <v>34650.723079268406</v>
      </c>
    </row>
    <row r="6" spans="1:65" s="17" customFormat="1" x14ac:dyDescent="0.15">
      <c r="E6" s="31">
        <f>-PV($D$4,E4,0,E5)</f>
        <v>-0.9146754182810688</v>
      </c>
      <c r="F6" s="31">
        <f t="shared" ref="F6:BK6" si="3">-PV($D$4,F4,0,F5)</f>
        <v>-0.83663112080764823</v>
      </c>
      <c r="G6" s="31">
        <f t="shared" si="3"/>
        <v>-0.76524592037169514</v>
      </c>
      <c r="H6" s="31">
        <f t="shared" si="3"/>
        <v>-0.69995163230386181</v>
      </c>
      <c r="I6" s="31">
        <f t="shared" si="3"/>
        <v>-0.6402285520540516</v>
      </c>
      <c r="J6" s="31">
        <f t="shared" si="3"/>
        <v>-0.58560131864552278</v>
      </c>
      <c r="K6" s="31">
        <f t="shared" si="3"/>
        <v>-0.53563513107803906</v>
      </c>
      <c r="L6" s="31">
        <f t="shared" si="3"/>
        <v>-0.48993228756484047</v>
      </c>
      <c r="M6" s="31">
        <f t="shared" si="3"/>
        <v>-0.44812902005777133</v>
      </c>
      <c r="N6" s="31">
        <f t="shared" si="3"/>
        <v>-0.40989259886522755</v>
      </c>
      <c r="O6" s="31">
        <f t="shared" si="3"/>
        <v>0.37491868431736641</v>
      </c>
      <c r="P6" s="31">
        <f t="shared" si="3"/>
        <v>0.37722179483931262</v>
      </c>
      <c r="Q6" s="31">
        <f t="shared" si="3"/>
        <v>0.37953905327732224</v>
      </c>
      <c r="R6" s="31">
        <f t="shared" si="3"/>
        <v>0.38187054654147923</v>
      </c>
      <c r="S6" s="31">
        <f t="shared" si="3"/>
        <v>0.38421636207575272</v>
      </c>
      <c r="T6" s="31">
        <f t="shared" si="3"/>
        <v>0.38657658786127669</v>
      </c>
      <c r="U6" s="31">
        <f t="shared" si="3"/>
        <v>0.38895131241964981</v>
      </c>
      <c r="V6" s="31">
        <f t="shared" si="3"/>
        <v>0.39134062481625531</v>
      </c>
      <c r="W6" s="31">
        <f t="shared" si="3"/>
        <v>0.39374461466360156</v>
      </c>
      <c r="X6" s="31">
        <f t="shared" si="3"/>
        <v>0.39616337212468283</v>
      </c>
      <c r="Y6" s="31">
        <f t="shared" si="3"/>
        <v>0.43483307772693958</v>
      </c>
      <c r="Z6" s="31">
        <f t="shared" si="3"/>
        <v>0.47727735270279958</v>
      </c>
      <c r="AA6" s="31">
        <f t="shared" si="3"/>
        <v>0.52386463466341726</v>
      </c>
      <c r="AB6" s="31">
        <f t="shared" si="3"/>
        <v>0.57499932460010461</v>
      </c>
      <c r="AC6" s="31">
        <f t="shared" si="3"/>
        <v>0.63112529728791922</v>
      </c>
      <c r="AD6" s="31">
        <f t="shared" si="3"/>
        <v>0.69272975434150996</v>
      </c>
      <c r="AE6" s="31">
        <f t="shared" si="3"/>
        <v>0.76034745336967513</v>
      </c>
      <c r="AF6" s="31">
        <f t="shared" si="3"/>
        <v>0.83456534993982356</v>
      </c>
      <c r="AG6" s="31">
        <f t="shared" si="3"/>
        <v>0.91602769264691386</v>
      </c>
      <c r="AH6" s="31">
        <f t="shared" si="3"/>
        <v>1.00544161551463</v>
      </c>
      <c r="AI6" s="31">
        <f t="shared" si="3"/>
        <v>1.195548549296449</v>
      </c>
      <c r="AJ6" s="31">
        <f t="shared" si="3"/>
        <v>1.4216005302239709</v>
      </c>
      <c r="AK6" s="31">
        <f t="shared" si="3"/>
        <v>1.6903939774945598</v>
      </c>
      <c r="AL6" s="31">
        <f t="shared" si="3"/>
        <v>2.010010363952027</v>
      </c>
      <c r="AM6" s="31">
        <f t="shared" si="3"/>
        <v>2.3900591915162352</v>
      </c>
      <c r="AN6" s="31">
        <f t="shared" si="3"/>
        <v>2.8419669079316137</v>
      </c>
      <c r="AO6" s="31">
        <f t="shared" si="3"/>
        <v>3.3793204513292956</v>
      </c>
      <c r="AP6" s="31">
        <f t="shared" si="3"/>
        <v>4.0182757515230128</v>
      </c>
      <c r="AQ6" s="31">
        <f t="shared" si="3"/>
        <v>4.7780434699308838</v>
      </c>
      <c r="AR6" s="31">
        <f t="shared" si="3"/>
        <v>5.6814665822514092</v>
      </c>
      <c r="AS6" s="31">
        <f t="shared" si="3"/>
        <v>6.2360373870848669</v>
      </c>
      <c r="AT6" s="31">
        <f t="shared" si="3"/>
        <v>6.8447401265378813</v>
      </c>
      <c r="AU6" s="31">
        <f t="shared" si="3"/>
        <v>7.5128586459195024</v>
      </c>
      <c r="AV6" s="31">
        <f t="shared" si="3"/>
        <v>8.2461925493315569</v>
      </c>
      <c r="AW6" s="31">
        <f t="shared" si="3"/>
        <v>9.0511075431432904</v>
      </c>
      <c r="AX6" s="31">
        <f t="shared" si="3"/>
        <v>9.9345906935178334</v>
      </c>
      <c r="AY6" s="31">
        <f t="shared" si="3"/>
        <v>10.904311077653565</v>
      </c>
      <c r="AZ6" s="31">
        <f t="shared" si="3"/>
        <v>11.9686863552236</v>
      </c>
      <c r="BA6" s="31">
        <f t="shared" si="3"/>
        <v>13.136955837886878</v>
      </c>
      <c r="BB6" s="31">
        <f t="shared" si="3"/>
        <v>14.419260691150933</v>
      </c>
      <c r="BC6" s="31">
        <f t="shared" si="3"/>
        <v>14.507837634380483</v>
      </c>
      <c r="BD6" s="31">
        <f t="shared" si="3"/>
        <v>14.596958702238881</v>
      </c>
      <c r="BE6" s="31">
        <f t="shared" si="3"/>
        <v>14.686627237262019</v>
      </c>
      <c r="BF6" s="31">
        <f t="shared" si="3"/>
        <v>14.776846602518855</v>
      </c>
      <c r="BG6" s="31">
        <f t="shared" si="3"/>
        <v>14.867620181737541</v>
      </c>
      <c r="BH6" s="31">
        <f t="shared" si="3"/>
        <v>14.958951379432333</v>
      </c>
      <c r="BI6" s="31">
        <f t="shared" si="3"/>
        <v>15.050843621031284</v>
      </c>
      <c r="BJ6" s="31">
        <f t="shared" si="3"/>
        <v>15.143300353004726</v>
      </c>
      <c r="BK6" s="31">
        <f t="shared" si="3"/>
        <v>15.236325042994503</v>
      </c>
      <c r="BL6" s="31">
        <f>-PV($D$4,BL4,0,BL5)</f>
        <v>15.329921179944051</v>
      </c>
      <c r="BM6" s="31">
        <f>-PV($D$4,BM4,0,BM5)</f>
        <v>150.31411675615482</v>
      </c>
    </row>
    <row r="7" spans="1:65" s="17" customFormat="1" x14ac:dyDescent="0.15"/>
    <row r="8" spans="1:65" s="17" customFormat="1" x14ac:dyDescent="0.15"/>
    <row r="9" spans="1:65" s="17" customFormat="1" x14ac:dyDescent="0.15"/>
    <row r="10" spans="1:65" s="17" customFormat="1" x14ac:dyDescent="0.15">
      <c r="D10" s="17" t="s">
        <v>138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0.1</v>
      </c>
      <c r="P10" s="25">
        <v>0.1</v>
      </c>
      <c r="Q10" s="25">
        <v>0.1</v>
      </c>
      <c r="R10" s="25">
        <v>0.1</v>
      </c>
      <c r="S10" s="25">
        <v>0.1</v>
      </c>
      <c r="T10" s="25">
        <v>0.1</v>
      </c>
      <c r="U10" s="25">
        <v>0.1</v>
      </c>
      <c r="V10" s="25">
        <v>0.1</v>
      </c>
      <c r="W10" s="25">
        <v>0.1</v>
      </c>
      <c r="X10" s="25">
        <v>0.1</v>
      </c>
      <c r="Y10" s="25">
        <v>0.2</v>
      </c>
      <c r="Z10" s="25">
        <v>0.2</v>
      </c>
      <c r="AA10" s="25">
        <v>0.2</v>
      </c>
      <c r="AB10" s="25">
        <v>0.2</v>
      </c>
      <c r="AC10" s="25">
        <v>0.2</v>
      </c>
      <c r="AD10" s="25">
        <v>0.2</v>
      </c>
      <c r="AE10" s="25">
        <v>0.2</v>
      </c>
      <c r="AF10" s="25">
        <v>0.2</v>
      </c>
      <c r="AG10" s="25">
        <v>0.2</v>
      </c>
      <c r="AH10" s="25">
        <v>0.2</v>
      </c>
      <c r="AI10" s="25">
        <v>0.3</v>
      </c>
      <c r="AJ10" s="25">
        <v>0.3</v>
      </c>
      <c r="AK10" s="25">
        <v>0.3</v>
      </c>
      <c r="AL10" s="25">
        <v>0.3</v>
      </c>
      <c r="AM10" s="25">
        <v>0.3</v>
      </c>
      <c r="AN10" s="25">
        <v>0.3</v>
      </c>
      <c r="AO10" s="25">
        <v>0.3</v>
      </c>
      <c r="AP10" s="25">
        <v>0.3</v>
      </c>
      <c r="AQ10" s="25">
        <v>0.3</v>
      </c>
      <c r="AR10" s="25">
        <v>0.3</v>
      </c>
      <c r="AS10" s="25">
        <v>0.2</v>
      </c>
      <c r="AT10" s="25">
        <v>0.2</v>
      </c>
      <c r="AU10" s="25">
        <v>0.2</v>
      </c>
      <c r="AV10" s="25">
        <v>0.2</v>
      </c>
      <c r="AW10" s="25">
        <v>0.2</v>
      </c>
      <c r="AX10" s="25">
        <v>0.2</v>
      </c>
      <c r="AY10" s="25">
        <v>0.2</v>
      </c>
      <c r="AZ10" s="25">
        <v>0.2</v>
      </c>
      <c r="BA10" s="25">
        <v>0.2</v>
      </c>
      <c r="BB10" s="25">
        <v>0.2</v>
      </c>
      <c r="BC10" s="25">
        <v>0.1</v>
      </c>
      <c r="BD10" s="25">
        <v>0.1</v>
      </c>
      <c r="BE10" s="25">
        <v>0.1</v>
      </c>
      <c r="BF10" s="25">
        <v>0.1</v>
      </c>
      <c r="BG10" s="25">
        <v>0.1</v>
      </c>
      <c r="BH10" s="25">
        <v>0.1</v>
      </c>
      <c r="BI10" s="25">
        <v>0.1</v>
      </c>
      <c r="BJ10" s="25">
        <v>0.1</v>
      </c>
      <c r="BK10" s="25">
        <v>0.1</v>
      </c>
      <c r="BL10" s="25">
        <v>0.1</v>
      </c>
    </row>
    <row r="11" spans="1:65" s="17" customFormat="1" x14ac:dyDescent="0.15"/>
    <row r="12" spans="1:65" s="17" customFormat="1" x14ac:dyDescent="0.15">
      <c r="B12" s="25"/>
      <c r="C12" s="17" t="s">
        <v>139</v>
      </c>
      <c r="D12" s="40">
        <v>9.7731999999999999E-2</v>
      </c>
      <c r="E12" s="17">
        <v>1</v>
      </c>
      <c r="F12" s="17">
        <f>+E12+1</f>
        <v>2</v>
      </c>
      <c r="G12" s="17">
        <f t="shared" ref="G12:BM12" si="4">+F12+1</f>
        <v>3</v>
      </c>
      <c r="H12" s="17">
        <f t="shared" si="4"/>
        <v>4</v>
      </c>
      <c r="I12" s="17">
        <f t="shared" si="4"/>
        <v>5</v>
      </c>
      <c r="J12" s="17">
        <f t="shared" si="4"/>
        <v>6</v>
      </c>
      <c r="K12" s="17">
        <f t="shared" si="4"/>
        <v>7</v>
      </c>
      <c r="L12" s="17">
        <f t="shared" si="4"/>
        <v>8</v>
      </c>
      <c r="M12" s="17">
        <f t="shared" si="4"/>
        <v>9</v>
      </c>
      <c r="N12" s="17">
        <f t="shared" si="4"/>
        <v>10</v>
      </c>
      <c r="O12" s="17">
        <f t="shared" si="4"/>
        <v>11</v>
      </c>
      <c r="P12" s="17">
        <f t="shared" si="4"/>
        <v>12</v>
      </c>
      <c r="Q12" s="17">
        <f t="shared" si="4"/>
        <v>13</v>
      </c>
      <c r="R12" s="17">
        <f t="shared" si="4"/>
        <v>14</v>
      </c>
      <c r="S12" s="17">
        <f t="shared" si="4"/>
        <v>15</v>
      </c>
      <c r="T12" s="17">
        <f t="shared" si="4"/>
        <v>16</v>
      </c>
      <c r="U12" s="17">
        <f t="shared" si="4"/>
        <v>17</v>
      </c>
      <c r="V12" s="17">
        <f t="shared" si="4"/>
        <v>18</v>
      </c>
      <c r="W12" s="17">
        <f t="shared" si="4"/>
        <v>19</v>
      </c>
      <c r="X12" s="17">
        <f t="shared" si="4"/>
        <v>20</v>
      </c>
      <c r="Y12" s="17">
        <f t="shared" si="4"/>
        <v>21</v>
      </c>
      <c r="Z12" s="17">
        <f t="shared" si="4"/>
        <v>22</v>
      </c>
      <c r="AA12" s="17">
        <f t="shared" si="4"/>
        <v>23</v>
      </c>
      <c r="AB12" s="17">
        <f t="shared" si="4"/>
        <v>24</v>
      </c>
      <c r="AC12" s="17">
        <f t="shared" si="4"/>
        <v>25</v>
      </c>
      <c r="AD12" s="17">
        <f t="shared" si="4"/>
        <v>26</v>
      </c>
      <c r="AE12" s="17">
        <f t="shared" si="4"/>
        <v>27</v>
      </c>
      <c r="AF12" s="17">
        <f t="shared" si="4"/>
        <v>28</v>
      </c>
      <c r="AG12" s="17">
        <f t="shared" si="4"/>
        <v>29</v>
      </c>
      <c r="AH12" s="17">
        <f t="shared" si="4"/>
        <v>30</v>
      </c>
      <c r="AI12" s="17">
        <f t="shared" si="4"/>
        <v>31</v>
      </c>
      <c r="AJ12" s="17">
        <f t="shared" si="4"/>
        <v>32</v>
      </c>
      <c r="AK12" s="17">
        <f t="shared" si="4"/>
        <v>33</v>
      </c>
      <c r="AL12" s="17">
        <f t="shared" si="4"/>
        <v>34</v>
      </c>
      <c r="AM12" s="17">
        <f t="shared" si="4"/>
        <v>35</v>
      </c>
      <c r="AN12" s="17">
        <f t="shared" si="4"/>
        <v>36</v>
      </c>
      <c r="AO12" s="17">
        <f t="shared" si="4"/>
        <v>37</v>
      </c>
      <c r="AP12" s="17">
        <f t="shared" si="4"/>
        <v>38</v>
      </c>
      <c r="AQ12" s="17">
        <f t="shared" si="4"/>
        <v>39</v>
      </c>
      <c r="AR12" s="17">
        <f t="shared" si="4"/>
        <v>40</v>
      </c>
      <c r="AS12" s="17">
        <f t="shared" si="4"/>
        <v>41</v>
      </c>
      <c r="AT12" s="17">
        <f t="shared" si="4"/>
        <v>42</v>
      </c>
      <c r="AU12" s="17">
        <f t="shared" si="4"/>
        <v>43</v>
      </c>
      <c r="AV12" s="17">
        <f t="shared" si="4"/>
        <v>44</v>
      </c>
      <c r="AW12" s="17">
        <f t="shared" si="4"/>
        <v>45</v>
      </c>
      <c r="AX12" s="17">
        <f t="shared" si="4"/>
        <v>46</v>
      </c>
      <c r="AY12" s="17">
        <f t="shared" si="4"/>
        <v>47</v>
      </c>
      <c r="AZ12" s="17">
        <f t="shared" si="4"/>
        <v>48</v>
      </c>
      <c r="BA12" s="17">
        <f t="shared" si="4"/>
        <v>49</v>
      </c>
      <c r="BB12" s="17">
        <f t="shared" si="4"/>
        <v>50</v>
      </c>
      <c r="BC12" s="17">
        <f t="shared" si="4"/>
        <v>51</v>
      </c>
      <c r="BD12" s="17">
        <f t="shared" si="4"/>
        <v>52</v>
      </c>
      <c r="BE12" s="17">
        <f t="shared" si="4"/>
        <v>53</v>
      </c>
      <c r="BF12" s="17">
        <f t="shared" si="4"/>
        <v>54</v>
      </c>
      <c r="BG12" s="17">
        <f t="shared" si="4"/>
        <v>55</v>
      </c>
      <c r="BH12" s="17">
        <f t="shared" si="4"/>
        <v>56</v>
      </c>
      <c r="BI12" s="17">
        <f t="shared" si="4"/>
        <v>57</v>
      </c>
      <c r="BJ12" s="17">
        <f t="shared" si="4"/>
        <v>58</v>
      </c>
      <c r="BK12" s="17">
        <f t="shared" si="4"/>
        <v>59</v>
      </c>
      <c r="BL12" s="17">
        <f t="shared" si="4"/>
        <v>60</v>
      </c>
      <c r="BM12" s="17">
        <f t="shared" si="4"/>
        <v>61</v>
      </c>
    </row>
    <row r="13" spans="1:65" s="17" customFormat="1" x14ac:dyDescent="0.15">
      <c r="B13" s="25"/>
      <c r="C13" s="17" t="s">
        <v>137</v>
      </c>
      <c r="D13" s="31">
        <f>SUM(E14:BD14)</f>
        <v>133.94204465306683</v>
      </c>
      <c r="E13" s="17">
        <v>-1</v>
      </c>
      <c r="F13" s="35">
        <v>-1</v>
      </c>
      <c r="G13" s="35">
        <v>-1</v>
      </c>
      <c r="H13" s="35">
        <v>-1</v>
      </c>
      <c r="I13" s="35">
        <v>-1</v>
      </c>
      <c r="J13" s="35">
        <v>-1</v>
      </c>
      <c r="K13" s="35">
        <v>-1</v>
      </c>
      <c r="L13" s="35">
        <v>-1</v>
      </c>
      <c r="M13" s="35">
        <v>-1</v>
      </c>
      <c r="N13" s="35">
        <v>-1</v>
      </c>
      <c r="O13" s="35">
        <v>1</v>
      </c>
      <c r="P13" s="35">
        <f>+O13*(1+P10)</f>
        <v>1.1000000000000001</v>
      </c>
      <c r="Q13" s="35">
        <f t="shared" ref="Q13:W13" si="5">+P13*(1+Q10)</f>
        <v>1.2100000000000002</v>
      </c>
      <c r="R13" s="35">
        <f t="shared" si="5"/>
        <v>1.3310000000000004</v>
      </c>
      <c r="S13" s="35">
        <f t="shared" si="5"/>
        <v>1.4641000000000006</v>
      </c>
      <c r="T13" s="35">
        <f t="shared" si="5"/>
        <v>1.6105100000000008</v>
      </c>
      <c r="U13" s="35">
        <f t="shared" si="5"/>
        <v>1.7715610000000011</v>
      </c>
      <c r="V13" s="35">
        <f t="shared" si="5"/>
        <v>1.9487171000000014</v>
      </c>
      <c r="W13" s="35">
        <f t="shared" si="5"/>
        <v>2.1435888100000016</v>
      </c>
      <c r="X13" s="35">
        <f>+W13*(1+X10)</f>
        <v>2.3579476910000019</v>
      </c>
      <c r="Y13" s="35">
        <f t="shared" ref="Y13:BL13" si="6">+X13*(1+Y10)</f>
        <v>2.8295372292000023</v>
      </c>
      <c r="Z13" s="35">
        <f t="shared" si="6"/>
        <v>3.3954446750400025</v>
      </c>
      <c r="AA13" s="35">
        <f t="shared" si="6"/>
        <v>4.074533610048003</v>
      </c>
      <c r="AB13" s="35">
        <f t="shared" si="6"/>
        <v>4.8894403320576032</v>
      </c>
      <c r="AC13" s="35">
        <f t="shared" si="6"/>
        <v>5.867328398469124</v>
      </c>
      <c r="AD13" s="35">
        <f t="shared" si="6"/>
        <v>7.040794078162949</v>
      </c>
      <c r="AE13" s="35">
        <f t="shared" si="6"/>
        <v>8.4489528937955392</v>
      </c>
      <c r="AF13" s="35">
        <f t="shared" si="6"/>
        <v>10.138743472554646</v>
      </c>
      <c r="AG13" s="35">
        <f t="shared" si="6"/>
        <v>12.166492167065575</v>
      </c>
      <c r="AH13" s="35">
        <f t="shared" si="6"/>
        <v>14.599790600478689</v>
      </c>
      <c r="AI13" s="35">
        <f t="shared" si="6"/>
        <v>18.979727780622298</v>
      </c>
      <c r="AJ13" s="35">
        <f t="shared" si="6"/>
        <v>24.673646114808989</v>
      </c>
      <c r="AK13" s="35">
        <f t="shared" si="6"/>
        <v>32.075739949251684</v>
      </c>
      <c r="AL13" s="35">
        <f t="shared" si="6"/>
        <v>41.698461934027193</v>
      </c>
      <c r="AM13" s="35">
        <f t="shared" si="6"/>
        <v>54.208000514235351</v>
      </c>
      <c r="AN13" s="35">
        <f t="shared" si="6"/>
        <v>70.47040066850596</v>
      </c>
      <c r="AO13" s="35">
        <f t="shared" si="6"/>
        <v>91.611520869057756</v>
      </c>
      <c r="AP13" s="35">
        <f t="shared" si="6"/>
        <v>119.09497712977509</v>
      </c>
      <c r="AQ13" s="35">
        <f t="shared" si="6"/>
        <v>154.82347026870761</v>
      </c>
      <c r="AR13" s="35">
        <f t="shared" si="6"/>
        <v>201.27051134931989</v>
      </c>
      <c r="AS13" s="35">
        <f t="shared" si="6"/>
        <v>241.52461361918387</v>
      </c>
      <c r="AT13" s="35">
        <f t="shared" si="6"/>
        <v>289.82953634302061</v>
      </c>
      <c r="AU13" s="35">
        <f t="shared" si="6"/>
        <v>347.79544361162471</v>
      </c>
      <c r="AV13" s="35">
        <f t="shared" si="6"/>
        <v>417.35453233394963</v>
      </c>
      <c r="AW13" s="35">
        <f t="shared" si="6"/>
        <v>500.82543880073956</v>
      </c>
      <c r="AX13" s="35">
        <f t="shared" si="6"/>
        <v>600.99052656088747</v>
      </c>
      <c r="AY13" s="35">
        <f t="shared" si="6"/>
        <v>721.18863187306499</v>
      </c>
      <c r="AZ13" s="35">
        <f t="shared" si="6"/>
        <v>865.42635824767797</v>
      </c>
      <c r="BA13" s="35">
        <f t="shared" si="6"/>
        <v>1038.5116298972134</v>
      </c>
      <c r="BB13" s="35">
        <f t="shared" si="6"/>
        <v>1246.213955876656</v>
      </c>
      <c r="BC13" s="35">
        <f t="shared" si="6"/>
        <v>1370.8353514643218</v>
      </c>
      <c r="BD13" s="35">
        <f t="shared" si="6"/>
        <v>1507.918886610754</v>
      </c>
      <c r="BE13" s="35">
        <f t="shared" si="6"/>
        <v>1658.7107752718296</v>
      </c>
      <c r="BF13" s="35">
        <f t="shared" si="6"/>
        <v>1824.5818527990127</v>
      </c>
      <c r="BG13" s="35">
        <f t="shared" si="6"/>
        <v>2007.0400380789142</v>
      </c>
      <c r="BH13" s="35">
        <f t="shared" si="6"/>
        <v>2207.7440418868059</v>
      </c>
      <c r="BI13" s="35">
        <f t="shared" si="6"/>
        <v>2428.5184460754867</v>
      </c>
      <c r="BJ13" s="35">
        <f t="shared" si="6"/>
        <v>2671.3702906830358</v>
      </c>
      <c r="BK13" s="35">
        <f t="shared" si="6"/>
        <v>2938.5073197513398</v>
      </c>
      <c r="BL13" s="35">
        <f t="shared" si="6"/>
        <v>3232.3580517264741</v>
      </c>
      <c r="BM13" s="36">
        <f>BL13/D12</f>
        <v>33073.691848386137</v>
      </c>
    </row>
    <row r="14" spans="1:65" s="17" customFormat="1" x14ac:dyDescent="0.15">
      <c r="E14" s="31">
        <f>-PV($D$12,E12,0,E13)</f>
        <v>-0.91096916187193233</v>
      </c>
      <c r="F14" s="31">
        <f>-PV($D$12,F12,0,F13)</f>
        <v>-0.82986481388165101</v>
      </c>
      <c r="G14" s="31">
        <f t="shared" ref="G14:BM14" si="7">-PV($D$12,G12,0,G13)</f>
        <v>-0.75598125396877469</v>
      </c>
      <c r="H14" s="31">
        <f t="shared" si="7"/>
        <v>-0.68867560931882721</v>
      </c>
      <c r="I14" s="31">
        <f t="shared" si="7"/>
        <v>-0.62736224262281437</v>
      </c>
      <c r="J14" s="31">
        <f t="shared" si="7"/>
        <v>-0.57150765635220102</v>
      </c>
      <c r="K14" s="31">
        <f t="shared" si="7"/>
        <v>-0.520625850710557</v>
      </c>
      <c r="L14" s="31">
        <f t="shared" si="7"/>
        <v>-0.47427409487065791</v>
      </c>
      <c r="M14" s="31">
        <f t="shared" si="7"/>
        <v>-0.43204907470189258</v>
      </c>
      <c r="N14" s="31">
        <f t="shared" si="7"/>
        <v>-0.39358338346872701</v>
      </c>
      <c r="O14" s="31">
        <f t="shared" si="7"/>
        <v>0.35854232496522559</v>
      </c>
      <c r="P14" s="31">
        <f t="shared" si="7"/>
        <v>0.35928310139610414</v>
      </c>
      <c r="Q14" s="31">
        <f t="shared" si="7"/>
        <v>0.36002540832891328</v>
      </c>
      <c r="R14" s="31">
        <f t="shared" si="7"/>
        <v>0.36076924892578949</v>
      </c>
      <c r="S14" s="31">
        <f t="shared" si="7"/>
        <v>0.36151462635540232</v>
      </c>
      <c r="T14" s="31">
        <f t="shared" si="7"/>
        <v>0.36226154379296821</v>
      </c>
      <c r="U14" s="31">
        <f t="shared" si="7"/>
        <v>0.36301000442026382</v>
      </c>
      <c r="V14" s="31">
        <f t="shared" si="7"/>
        <v>0.36376001142563974</v>
      </c>
      <c r="W14" s="31">
        <f t="shared" si="7"/>
        <v>0.36451156800403356</v>
      </c>
      <c r="X14" s="31">
        <f t="shared" si="7"/>
        <v>0.3652646773569842</v>
      </c>
      <c r="Y14" s="31">
        <f t="shared" si="7"/>
        <v>0.39929382839197641</v>
      </c>
      <c r="Z14" s="31">
        <f t="shared" si="7"/>
        <v>0.43649323702904869</v>
      </c>
      <c r="AA14" s="31">
        <f t="shared" si="7"/>
        <v>0.47715825395894307</v>
      </c>
      <c r="AB14" s="31">
        <f t="shared" si="7"/>
        <v>0.52161174562710355</v>
      </c>
      <c r="AC14" s="31">
        <f t="shared" si="7"/>
        <v>0.57020665768377388</v>
      </c>
      <c r="AD14" s="31">
        <f t="shared" si="7"/>
        <v>0.62332881725278</v>
      </c>
      <c r="AE14" s="31">
        <f t="shared" si="7"/>
        <v>0.68139999626806547</v>
      </c>
      <c r="AF14" s="31">
        <f t="shared" si="7"/>
        <v>0.74488126019982881</v>
      </c>
      <c r="AG14" s="31">
        <f t="shared" si="7"/>
        <v>0.81427662875801632</v>
      </c>
      <c r="AH14" s="31">
        <f t="shared" si="7"/>
        <v>0.89013707763791117</v>
      </c>
      <c r="AI14" s="31">
        <f t="shared" si="7"/>
        <v>1.0541536558370213</v>
      </c>
      <c r="AJ14" s="31">
        <f t="shared" si="7"/>
        <v>1.2483919140447099</v>
      </c>
      <c r="AK14" s="31">
        <f t="shared" si="7"/>
        <v>1.4784204963125089</v>
      </c>
      <c r="AL14" s="31">
        <f t="shared" si="7"/>
        <v>1.7508341245461205</v>
      </c>
      <c r="AM14" s="31">
        <f t="shared" si="7"/>
        <v>2.0734426635189251</v>
      </c>
      <c r="AN14" s="31">
        <f t="shared" si="7"/>
        <v>2.4554950229879453</v>
      </c>
      <c r="AO14" s="31">
        <f t="shared" si="7"/>
        <v>2.9079443159936393</v>
      </c>
      <c r="AP14" s="31">
        <f t="shared" si="7"/>
        <v>3.4437618752042676</v>
      </c>
      <c r="AQ14" s="31">
        <f t="shared" si="7"/>
        <v>4.0783091298837499</v>
      </c>
      <c r="AR14" s="31">
        <f t="shared" si="7"/>
        <v>4.8297780048763039</v>
      </c>
      <c r="AS14" s="31">
        <f t="shared" si="7"/>
        <v>5.2797345853555928</v>
      </c>
      <c r="AT14" s="31">
        <f t="shared" si="7"/>
        <v>5.7716104681531659</v>
      </c>
      <c r="AU14" s="31">
        <f t="shared" si="7"/>
        <v>6.3093109809897125</v>
      </c>
      <c r="AV14" s="31">
        <f t="shared" si="7"/>
        <v>6.8971052836098936</v>
      </c>
      <c r="AW14" s="31">
        <f t="shared" si="7"/>
        <v>7.5396602634630971</v>
      </c>
      <c r="AX14" s="31">
        <f t="shared" si="7"/>
        <v>8.2420775892073088</v>
      </c>
      <c r="AY14" s="31">
        <f t="shared" si="7"/>
        <v>9.0099342162283431</v>
      </c>
      <c r="AZ14" s="31">
        <f t="shared" si="7"/>
        <v>9.8493266657745338</v>
      </c>
      <c r="BA14" s="31">
        <f t="shared" si="7"/>
        <v>10.766919429268201</v>
      </c>
      <c r="BB14" s="31">
        <f t="shared" si="7"/>
        <v>11.769997882107694</v>
      </c>
      <c r="BC14" s="31">
        <f t="shared" si="7"/>
        <v>11.794315616487873</v>
      </c>
      <c r="BD14" s="31">
        <f t="shared" si="7"/>
        <v>11.818683593205503</v>
      </c>
      <c r="BE14" s="31">
        <f t="shared" si="7"/>
        <v>11.843101916065171</v>
      </c>
      <c r="BF14" s="31">
        <f t="shared" si="7"/>
        <v>11.867570689085944</v>
      </c>
      <c r="BG14" s="31">
        <f t="shared" si="7"/>
        <v>11.89209001650179</v>
      </c>
      <c r="BH14" s="31">
        <f t="shared" si="7"/>
        <v>11.916660002762031</v>
      </c>
      <c r="BI14" s="31">
        <f t="shared" si="7"/>
        <v>11.941280752531799</v>
      </c>
      <c r="BJ14" s="31">
        <f t="shared" si="7"/>
        <v>11.965952370692467</v>
      </c>
      <c r="BK14" s="31">
        <f t="shared" si="7"/>
        <v>11.990674962342098</v>
      </c>
      <c r="BL14" s="31">
        <f t="shared" si="7"/>
        <v>12.015448632795902</v>
      </c>
      <c r="BM14" s="31">
        <f t="shared" si="7"/>
        <v>111.99712653515058</v>
      </c>
    </row>
    <row r="15" spans="1:65" s="17" customFormat="1" x14ac:dyDescent="0.15">
      <c r="C15" s="41"/>
    </row>
    <row r="16" spans="1:65" s="17" customFormat="1" x14ac:dyDescent="0.15">
      <c r="C16" s="40"/>
    </row>
    <row r="17" spans="3:4" s="17" customFormat="1" x14ac:dyDescent="0.15">
      <c r="C17" s="17" t="s">
        <v>140</v>
      </c>
      <c r="D17" s="40">
        <f>+(D5-D13)/D13</f>
        <v>-0.21992349803083375</v>
      </c>
    </row>
    <row r="18" spans="3:4" s="17" customFormat="1" x14ac:dyDescent="0.15">
      <c r="C18" s="17" t="s">
        <v>141</v>
      </c>
      <c r="D18" s="42">
        <f>+D12-D4</f>
        <v>4.4479999999999936E-3</v>
      </c>
    </row>
    <row r="19" spans="3:4" s="17" customFormat="1" x14ac:dyDescent="0.15">
      <c r="C19" s="17" t="s">
        <v>142</v>
      </c>
      <c r="D19" s="35">
        <f>+D17/D18</f>
        <v>-49.443232470960893</v>
      </c>
    </row>
    <row r="20" spans="3:4" s="17" customFormat="1" x14ac:dyDescent="0.15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11" workbookViewId="0">
      <selection activeCell="A41" sqref="A41"/>
    </sheetView>
  </sheetViews>
  <sheetFormatPr baseColWidth="10" defaultRowHeight="15" x14ac:dyDescent="0.15"/>
  <cols>
    <col min="1" max="1" width="28.83203125" customWidth="1"/>
    <col min="2" max="3" width="22.1640625" customWidth="1"/>
    <col min="4" max="4" width="24.83203125" customWidth="1"/>
    <col min="6" max="6" width="37.1640625" customWidth="1"/>
    <col min="7" max="7" width="17.5" bestFit="1" customWidth="1"/>
  </cols>
  <sheetData>
    <row r="1" spans="1:7" ht="49" customHeight="1" x14ac:dyDescent="0.15">
      <c r="A1" s="100" t="s">
        <v>226</v>
      </c>
      <c r="B1" s="100"/>
      <c r="C1" s="100"/>
      <c r="D1" s="100"/>
    </row>
    <row r="3" spans="1:7" ht="26" x14ac:dyDescent="0.15">
      <c r="A3" s="101" t="s">
        <v>143</v>
      </c>
      <c r="B3" s="101"/>
      <c r="C3" s="101"/>
      <c r="D3" s="101"/>
      <c r="F3" s="52" t="s">
        <v>177</v>
      </c>
    </row>
    <row r="4" spans="1:7" ht="40" customHeight="1" x14ac:dyDescent="0.15">
      <c r="A4" s="45" t="s">
        <v>144</v>
      </c>
      <c r="B4" s="45" t="s">
        <v>159</v>
      </c>
      <c r="C4" s="46" t="s">
        <v>145</v>
      </c>
      <c r="D4" s="46" t="s">
        <v>146</v>
      </c>
      <c r="F4" s="45" t="s">
        <v>178</v>
      </c>
    </row>
    <row r="5" spans="1:7" ht="26" customHeight="1" x14ac:dyDescent="0.15">
      <c r="A5" s="13" t="s">
        <v>147</v>
      </c>
      <c r="B5" s="13" t="s">
        <v>150</v>
      </c>
      <c r="C5" s="43" t="s">
        <v>153</v>
      </c>
      <c r="D5" s="43" t="s">
        <v>156</v>
      </c>
      <c r="F5" s="47" t="s">
        <v>179</v>
      </c>
      <c r="G5" s="24">
        <f>459122.43*10000</f>
        <v>4591224300</v>
      </c>
    </row>
    <row r="6" spans="1:7" ht="24" customHeight="1" x14ac:dyDescent="0.15">
      <c r="A6" s="13" t="s">
        <v>148</v>
      </c>
      <c r="B6" s="13" t="s">
        <v>151</v>
      </c>
      <c r="C6" s="43" t="s">
        <v>154</v>
      </c>
      <c r="D6" s="43" t="s">
        <v>157</v>
      </c>
      <c r="F6" s="47" t="s">
        <v>180</v>
      </c>
      <c r="G6" s="24">
        <f>(73681.44+32671.37)*10000</f>
        <v>1063528100</v>
      </c>
    </row>
    <row r="7" spans="1:7" ht="25" customHeight="1" x14ac:dyDescent="0.15">
      <c r="A7" s="13" t="s">
        <v>149</v>
      </c>
      <c r="B7" s="13" t="s">
        <v>152</v>
      </c>
      <c r="C7" s="43" t="s">
        <v>155</v>
      </c>
      <c r="D7" s="44" t="s">
        <v>158</v>
      </c>
      <c r="F7" s="47" t="s">
        <v>182</v>
      </c>
      <c r="G7" s="24">
        <f>G5-G6</f>
        <v>3527696200</v>
      </c>
    </row>
    <row r="8" spans="1:7" ht="60" x14ac:dyDescent="0.15">
      <c r="A8" s="102" t="s">
        <v>161</v>
      </c>
      <c r="B8" s="102"/>
      <c r="C8" s="102" t="s">
        <v>162</v>
      </c>
      <c r="D8" s="102"/>
      <c r="F8" s="47" t="s">
        <v>229</v>
      </c>
      <c r="G8" s="24"/>
    </row>
    <row r="9" spans="1:7" x14ac:dyDescent="0.15">
      <c r="F9" s="47" t="s">
        <v>183</v>
      </c>
      <c r="G9" s="24">
        <f>G7-G8</f>
        <v>3527696200</v>
      </c>
    </row>
    <row r="10" spans="1:7" x14ac:dyDescent="0.15">
      <c r="A10" s="51" t="s">
        <v>241</v>
      </c>
      <c r="C10" s="13" t="s">
        <v>173</v>
      </c>
      <c r="F10" s="47" t="s">
        <v>181</v>
      </c>
      <c r="G10" s="24">
        <f>60331.721*10000</f>
        <v>603317210</v>
      </c>
    </row>
    <row r="11" spans="1:7" x14ac:dyDescent="0.15">
      <c r="A11" s="51" t="s">
        <v>237</v>
      </c>
      <c r="F11" s="47" t="s">
        <v>184</v>
      </c>
      <c r="G11" s="24">
        <f>G9/G10</f>
        <v>5.8471665345001513</v>
      </c>
    </row>
    <row r="12" spans="1:7" x14ac:dyDescent="0.15">
      <c r="A12" s="51" t="s">
        <v>238</v>
      </c>
      <c r="F12" s="53" t="s">
        <v>185</v>
      </c>
      <c r="G12" s="24"/>
    </row>
    <row r="13" spans="1:7" x14ac:dyDescent="0.15">
      <c r="A13" s="51" t="s">
        <v>239</v>
      </c>
    </row>
    <row r="15" spans="1:7" x14ac:dyDescent="0.15">
      <c r="A15" s="13" t="s">
        <v>240</v>
      </c>
    </row>
    <row r="16" spans="1:7" x14ac:dyDescent="0.15">
      <c r="A16" s="13" t="s">
        <v>163</v>
      </c>
      <c r="C16" s="13" t="s">
        <v>220</v>
      </c>
    </row>
    <row r="17" spans="1:3" x14ac:dyDescent="0.15">
      <c r="A17" s="13" t="s">
        <v>164</v>
      </c>
      <c r="C17" s="103" t="s">
        <v>221</v>
      </c>
    </row>
    <row r="18" spans="1:3" ht="30" x14ac:dyDescent="0.15">
      <c r="A18" s="47" t="s">
        <v>165</v>
      </c>
      <c r="C18" s="104"/>
    </row>
    <row r="19" spans="1:3" x14ac:dyDescent="0.15">
      <c r="A19" s="47" t="s">
        <v>227</v>
      </c>
      <c r="C19" s="97"/>
    </row>
    <row r="20" spans="1:3" x14ac:dyDescent="0.15">
      <c r="C20" s="97"/>
    </row>
    <row r="21" spans="1:3" ht="47" x14ac:dyDescent="0.25">
      <c r="A21" s="48" t="s">
        <v>242</v>
      </c>
      <c r="B21" s="54"/>
      <c r="C21" s="64" t="s">
        <v>222</v>
      </c>
    </row>
    <row r="22" spans="1:3" x14ac:dyDescent="0.15">
      <c r="A22" s="48" t="s">
        <v>167</v>
      </c>
    </row>
    <row r="23" spans="1:3" x14ac:dyDescent="0.15">
      <c r="A23" s="48" t="s">
        <v>166</v>
      </c>
    </row>
    <row r="24" spans="1:3" ht="30" x14ac:dyDescent="0.15">
      <c r="A24" s="49" t="s">
        <v>168</v>
      </c>
    </row>
    <row r="25" spans="1:3" x14ac:dyDescent="0.15">
      <c r="A25" s="49" t="s">
        <v>219</v>
      </c>
    </row>
    <row r="26" spans="1:3" ht="45" x14ac:dyDescent="0.15">
      <c r="A26" s="49" t="s">
        <v>228</v>
      </c>
    </row>
    <row r="27" spans="1:3" ht="30" x14ac:dyDescent="0.15">
      <c r="A27" s="49" t="s">
        <v>224</v>
      </c>
    </row>
    <row r="28" spans="1:3" ht="30" x14ac:dyDescent="0.15">
      <c r="A28" s="49" t="s">
        <v>223</v>
      </c>
    </row>
    <row r="30" spans="1:3" x14ac:dyDescent="0.15">
      <c r="A30" s="50" t="s">
        <v>243</v>
      </c>
    </row>
    <row r="31" spans="1:3" x14ac:dyDescent="0.15">
      <c r="A31" s="50" t="s">
        <v>169</v>
      </c>
    </row>
    <row r="32" spans="1:3" x14ac:dyDescent="0.15">
      <c r="A32" s="50" t="s">
        <v>170</v>
      </c>
    </row>
    <row r="33" spans="1:3" x14ac:dyDescent="0.15">
      <c r="A33" s="50" t="s">
        <v>171</v>
      </c>
    </row>
    <row r="34" spans="1:3" x14ac:dyDescent="0.15">
      <c r="A34" s="50" t="s">
        <v>172</v>
      </c>
    </row>
    <row r="36" spans="1:3" x14ac:dyDescent="0.15">
      <c r="A36" s="61" t="s">
        <v>244</v>
      </c>
      <c r="C36" s="13" t="s">
        <v>176</v>
      </c>
    </row>
    <row r="37" spans="1:3" x14ac:dyDescent="0.15">
      <c r="A37" s="61" t="s">
        <v>174</v>
      </c>
    </row>
    <row r="38" spans="1:3" x14ac:dyDescent="0.15">
      <c r="A38" s="61" t="s">
        <v>211</v>
      </c>
    </row>
    <row r="39" spans="1:3" x14ac:dyDescent="0.15">
      <c r="A39" s="61" t="s">
        <v>175</v>
      </c>
    </row>
    <row r="40" spans="1:3" x14ac:dyDescent="0.15">
      <c r="A40" s="61" t="s">
        <v>245</v>
      </c>
    </row>
    <row r="41" spans="1:3" x14ac:dyDescent="0.15">
      <c r="A41" s="61" t="s">
        <v>246</v>
      </c>
    </row>
    <row r="43" spans="1:3" x14ac:dyDescent="0.15">
      <c r="A43" s="62" t="s">
        <v>210</v>
      </c>
    </row>
    <row r="44" spans="1:3" x14ac:dyDescent="0.15">
      <c r="A44" s="62" t="s">
        <v>212</v>
      </c>
    </row>
    <row r="45" spans="1:3" x14ac:dyDescent="0.15">
      <c r="A45" s="62" t="s">
        <v>213</v>
      </c>
    </row>
    <row r="47" spans="1:3" x14ac:dyDescent="0.15">
      <c r="A47" s="63" t="s">
        <v>214</v>
      </c>
    </row>
    <row r="48" spans="1:3" x14ac:dyDescent="0.15">
      <c r="A48" s="63" t="s">
        <v>215</v>
      </c>
    </row>
    <row r="49" spans="1:2" x14ac:dyDescent="0.15">
      <c r="A49" s="63" t="s">
        <v>216</v>
      </c>
    </row>
    <row r="50" spans="1:2" x14ac:dyDescent="0.15">
      <c r="A50" s="63" t="s">
        <v>217</v>
      </c>
    </row>
    <row r="51" spans="1:2" x14ac:dyDescent="0.15">
      <c r="A51" s="63" t="s">
        <v>218</v>
      </c>
    </row>
    <row r="53" spans="1:2" x14ac:dyDescent="0.15">
      <c r="B53" s="65"/>
    </row>
    <row r="54" spans="1:2" x14ac:dyDescent="0.15">
      <c r="B54" s="65"/>
    </row>
    <row r="56" spans="1:2" x14ac:dyDescent="0.15">
      <c r="B56" s="65"/>
    </row>
    <row r="57" spans="1:2" x14ac:dyDescent="0.15">
      <c r="B57" s="65"/>
    </row>
  </sheetData>
  <mergeCells count="5">
    <mergeCell ref="A1:D1"/>
    <mergeCell ref="A3:D3"/>
    <mergeCell ref="A8:B8"/>
    <mergeCell ref="C8:D8"/>
    <mergeCell ref="C17:C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市场数据</vt:lpstr>
      <vt:lpstr>价值股</vt:lpstr>
      <vt:lpstr>成长股</vt:lpstr>
      <vt:lpstr>分析框架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2020-02-14T05:28:49Z</dcterms:created>
  <dcterms:modified xsi:type="dcterms:W3CDTF">2020-08-21T15:11:22Z</dcterms:modified>
</cp:coreProperties>
</file>