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zpw/Desktop/Financial-market-experience/投资心得/"/>
    </mc:Choice>
  </mc:AlternateContent>
  <bookViews>
    <workbookView xWindow="0" yWindow="460" windowWidth="28800" windowHeight="16600" tabRatio="500"/>
  </bookViews>
  <sheets>
    <sheet name="2019宏观经济数据  " sheetId="1" r:id="rId1"/>
    <sheet name="2020宏观经济数据" sheetId="7" r:id="rId2"/>
    <sheet name="万得A" sheetId="6" r:id="rId3"/>
    <sheet name="快递" sheetId="2" r:id="rId4"/>
    <sheet name="汽车" sheetId="5" r:id="rId5"/>
    <sheet name="航空" sheetId="3" r:id="rId6"/>
    <sheet name="银行" sheetId="4" r:id="rId7"/>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50" i="7" l="1"/>
  <c r="B50" i="7"/>
  <c r="X247" i="7"/>
  <c r="X248" i="7"/>
  <c r="X241" i="7"/>
  <c r="X242" i="7"/>
  <c r="X236" i="7"/>
  <c r="X237" i="7"/>
  <c r="X231" i="7"/>
  <c r="X232" i="7"/>
  <c r="X218" i="7"/>
  <c r="X219" i="7"/>
  <c r="X212" i="7"/>
  <c r="X213" i="7"/>
  <c r="X206" i="7"/>
  <c r="X207" i="7"/>
  <c r="X201" i="7"/>
  <c r="X202" i="7"/>
  <c r="X195" i="7"/>
  <c r="X196" i="7"/>
  <c r="X190" i="7"/>
  <c r="X191" i="7"/>
  <c r="X184" i="7"/>
  <c r="X185" i="7"/>
  <c r="X170" i="7"/>
  <c r="X171" i="7"/>
  <c r="X164" i="7"/>
  <c r="X165" i="7"/>
  <c r="X158" i="7"/>
  <c r="X159" i="7"/>
  <c r="X152" i="7"/>
  <c r="X153" i="7"/>
  <c r="X146" i="7"/>
  <c r="X147" i="7"/>
  <c r="X140" i="7"/>
  <c r="X141" i="7"/>
  <c r="X106" i="7"/>
  <c r="X107" i="7"/>
  <c r="X268" i="1"/>
  <c r="X267" i="1"/>
  <c r="X262" i="1"/>
  <c r="X261" i="1"/>
  <c r="X257" i="1"/>
  <c r="X256" i="1"/>
  <c r="X252" i="1"/>
  <c r="X251" i="1"/>
  <c r="X239" i="1"/>
  <c r="X238" i="1"/>
  <c r="X233" i="1"/>
  <c r="X232" i="1"/>
  <c r="X227" i="1"/>
  <c r="X226" i="1"/>
  <c r="X222" i="1"/>
  <c r="X221" i="1"/>
  <c r="X216" i="1"/>
  <c r="X215" i="1"/>
  <c r="X211" i="1"/>
  <c r="X210" i="1"/>
  <c r="X205" i="1"/>
  <c r="X204" i="1"/>
  <c r="X191" i="1"/>
  <c r="X190" i="1"/>
  <c r="X185" i="1"/>
  <c r="X184" i="1"/>
  <c r="X179" i="1"/>
  <c r="X178" i="1"/>
  <c r="X173" i="1"/>
  <c r="X172" i="1"/>
  <c r="X167" i="1"/>
  <c r="X166" i="1"/>
  <c r="X160" i="1"/>
  <c r="X161" i="1"/>
  <c r="X127" i="1"/>
  <c r="X126" i="1"/>
  <c r="J28" i="6"/>
  <c r="I28" i="6"/>
  <c r="I6" i="6"/>
  <c r="M22" i="6"/>
  <c r="L22" i="6"/>
  <c r="F22" i="6"/>
  <c r="E22" i="6"/>
  <c r="M17" i="6"/>
  <c r="J17" i="6"/>
  <c r="G17" i="6"/>
  <c r="F17" i="6"/>
  <c r="E17" i="6"/>
  <c r="D17" i="6"/>
  <c r="C17" i="6"/>
  <c r="M11" i="6"/>
  <c r="F11" i="6"/>
  <c r="E11" i="6"/>
  <c r="N6" i="6"/>
  <c r="M6" i="6"/>
  <c r="J6" i="6"/>
  <c r="H6" i="6"/>
  <c r="G6" i="6"/>
  <c r="F6" i="6"/>
  <c r="C6" i="6"/>
  <c r="B6" i="6"/>
  <c r="P11" i="6"/>
  <c r="O11" i="6"/>
  <c r="N11" i="6"/>
  <c r="L11" i="6"/>
  <c r="I11" i="6"/>
  <c r="H11" i="6"/>
  <c r="G11" i="6"/>
  <c r="B11" i="6"/>
  <c r="P6" i="6"/>
  <c r="O6" i="6"/>
  <c r="P22" i="6"/>
  <c r="K22" i="6"/>
  <c r="J22" i="6"/>
  <c r="I22" i="6"/>
  <c r="D22" i="6"/>
  <c r="C22" i="6"/>
  <c r="B22" i="6"/>
  <c r="L17" i="6"/>
  <c r="K17" i="6"/>
  <c r="Q33" i="6"/>
  <c r="P33" i="6"/>
  <c r="J33" i="6"/>
  <c r="I33" i="6"/>
  <c r="K28" i="6"/>
  <c r="O33" i="6"/>
  <c r="N33" i="6"/>
  <c r="K33" i="6"/>
  <c r="H33" i="6"/>
  <c r="G33" i="6"/>
  <c r="D33" i="6"/>
  <c r="C33" i="6"/>
  <c r="B33" i="6"/>
  <c r="P28" i="6"/>
  <c r="O28" i="6"/>
  <c r="L28" i="6"/>
  <c r="B66" i="6"/>
  <c r="C66" i="6"/>
  <c r="F66" i="6"/>
  <c r="G66" i="6"/>
  <c r="H66" i="6"/>
  <c r="O44" i="6"/>
  <c r="N44" i="6"/>
  <c r="H44" i="6"/>
  <c r="G44" i="6"/>
  <c r="P39" i="6"/>
  <c r="O39" i="6"/>
  <c r="I39" i="6"/>
  <c r="H39" i="6"/>
  <c r="B39" i="6"/>
  <c r="M44" i="6"/>
  <c r="L44" i="6"/>
  <c r="K44" i="6"/>
  <c r="F44" i="6"/>
  <c r="E44" i="6"/>
  <c r="D44" i="6"/>
  <c r="N39" i="6"/>
  <c r="M39" i="6"/>
  <c r="L39" i="6"/>
  <c r="G39" i="6"/>
  <c r="F39" i="6"/>
  <c r="E39" i="6"/>
  <c r="Q55" i="6"/>
  <c r="P55" i="6"/>
  <c r="M55" i="6"/>
  <c r="L55" i="6"/>
  <c r="K55" i="6"/>
  <c r="J55" i="6"/>
  <c r="E55" i="6"/>
  <c r="D55" i="6"/>
  <c r="M50" i="6"/>
  <c r="L50" i="6"/>
  <c r="F50" i="6"/>
  <c r="E50" i="6"/>
  <c r="I55" i="6"/>
  <c r="F55" i="6"/>
  <c r="C55" i="6"/>
  <c r="B55" i="6"/>
  <c r="N50" i="6"/>
  <c r="K50" i="6"/>
  <c r="J50" i="6"/>
  <c r="G50" i="6"/>
  <c r="D50" i="6"/>
  <c r="C50" i="6"/>
  <c r="I66" i="6"/>
  <c r="P61" i="6"/>
  <c r="O61" i="6"/>
  <c r="N61" i="6"/>
  <c r="K61" i="6"/>
  <c r="J61" i="6"/>
  <c r="I61" i="6"/>
  <c r="H61" i="6"/>
  <c r="G61" i="6"/>
  <c r="D61" i="6"/>
  <c r="C61" i="6"/>
  <c r="M36" i="5"/>
  <c r="M35" i="5"/>
  <c r="L36" i="5"/>
  <c r="L35" i="5"/>
  <c r="K36" i="5"/>
  <c r="K35" i="5"/>
  <c r="J36" i="5"/>
  <c r="J35" i="5"/>
  <c r="I36" i="5"/>
  <c r="I35" i="5"/>
  <c r="H40" i="5"/>
  <c r="H39" i="5"/>
  <c r="G40" i="5"/>
  <c r="G39" i="5"/>
  <c r="F40" i="5"/>
  <c r="F39" i="5"/>
  <c r="E40" i="5"/>
  <c r="E39" i="5"/>
  <c r="D40" i="5"/>
  <c r="D39" i="5"/>
  <c r="C40" i="5"/>
  <c r="C39" i="5"/>
  <c r="M28" i="5"/>
  <c r="M27" i="5"/>
  <c r="L28" i="5"/>
  <c r="L27" i="5"/>
  <c r="K28" i="5"/>
  <c r="K27" i="5"/>
  <c r="J28" i="5"/>
  <c r="J27" i="5"/>
  <c r="I28" i="5"/>
  <c r="I27" i="5"/>
  <c r="H28" i="5"/>
  <c r="H27" i="5"/>
  <c r="G28" i="5"/>
  <c r="G27" i="5"/>
  <c r="F28" i="5"/>
  <c r="F27" i="5"/>
  <c r="E28" i="5"/>
  <c r="E27" i="5"/>
  <c r="D28" i="5"/>
  <c r="D27" i="5"/>
  <c r="C28" i="5"/>
  <c r="C27" i="5"/>
  <c r="M24" i="5"/>
  <c r="M23" i="5"/>
  <c r="L24" i="5"/>
  <c r="L23" i="5"/>
  <c r="K24" i="5"/>
  <c r="K23" i="5"/>
  <c r="J24" i="5"/>
  <c r="J23" i="5"/>
  <c r="I24" i="5"/>
  <c r="I23" i="5"/>
  <c r="H24" i="5"/>
  <c r="H23" i="5"/>
  <c r="G24" i="5"/>
  <c r="G23" i="5"/>
  <c r="F24" i="5"/>
  <c r="F23" i="5"/>
  <c r="E24" i="5"/>
  <c r="E23" i="5"/>
  <c r="D24" i="5"/>
  <c r="D23" i="5"/>
  <c r="C24" i="5"/>
  <c r="C23" i="5"/>
  <c r="M20" i="5"/>
  <c r="M19" i="5"/>
  <c r="L20" i="5"/>
  <c r="L19" i="5"/>
  <c r="K20" i="5"/>
  <c r="K19" i="5"/>
  <c r="J20" i="5"/>
  <c r="J19" i="5"/>
  <c r="I20" i="5"/>
  <c r="I19" i="5"/>
  <c r="H20" i="5"/>
  <c r="H19" i="5"/>
  <c r="G20" i="5"/>
  <c r="G19" i="5"/>
  <c r="F20" i="5"/>
  <c r="F19" i="5"/>
  <c r="E20" i="5"/>
  <c r="E19" i="5"/>
  <c r="D20" i="5"/>
  <c r="D19" i="5"/>
  <c r="C20" i="5"/>
  <c r="C19" i="5"/>
  <c r="B20" i="5"/>
  <c r="B19" i="5"/>
  <c r="M12" i="5"/>
  <c r="M11" i="5"/>
  <c r="M10" i="5"/>
  <c r="L12" i="5"/>
  <c r="L11" i="5"/>
  <c r="L10" i="5"/>
  <c r="K12" i="5"/>
  <c r="K11" i="5"/>
  <c r="K10" i="5"/>
  <c r="J12" i="5"/>
  <c r="J11" i="5"/>
  <c r="J10" i="5"/>
  <c r="I12" i="5"/>
  <c r="I11" i="5"/>
  <c r="I10" i="5"/>
  <c r="H12" i="5"/>
  <c r="H11" i="5"/>
  <c r="H10" i="5"/>
  <c r="G12" i="5"/>
  <c r="G11" i="5"/>
  <c r="G10" i="5"/>
  <c r="F12" i="5"/>
  <c r="F11" i="5"/>
  <c r="F10" i="5"/>
  <c r="E12" i="5"/>
  <c r="E11" i="5"/>
  <c r="E10" i="5"/>
  <c r="D12" i="5"/>
  <c r="D11" i="5"/>
  <c r="D10" i="5"/>
  <c r="C12" i="5"/>
  <c r="C11" i="5"/>
  <c r="C10" i="5"/>
  <c r="B12" i="5"/>
  <c r="B11" i="5"/>
  <c r="B10" i="5"/>
  <c r="M14" i="3"/>
  <c r="L14" i="3"/>
  <c r="K14" i="3"/>
  <c r="J14" i="3"/>
  <c r="I14" i="3"/>
  <c r="H14" i="3"/>
  <c r="G14" i="3"/>
  <c r="F14" i="3"/>
  <c r="E14" i="3"/>
  <c r="D14" i="3"/>
  <c r="C14" i="3"/>
  <c r="B14" i="3"/>
  <c r="B4" i="3"/>
  <c r="M9" i="3"/>
  <c r="L9" i="3"/>
  <c r="K9" i="3"/>
  <c r="J9" i="3"/>
  <c r="I9" i="3"/>
  <c r="H9" i="3"/>
  <c r="G9" i="3"/>
  <c r="F9" i="3"/>
  <c r="E9" i="3"/>
  <c r="D9" i="3"/>
  <c r="C9" i="3"/>
  <c r="B9" i="3"/>
  <c r="I4" i="3"/>
  <c r="M4" i="3"/>
  <c r="L4" i="3"/>
  <c r="K4" i="3"/>
  <c r="J4" i="3"/>
  <c r="H4" i="3"/>
  <c r="G4" i="3"/>
  <c r="F4" i="3"/>
  <c r="E4" i="3"/>
  <c r="D4" i="3"/>
  <c r="C4" i="3"/>
</calcChain>
</file>

<file path=xl/sharedStrings.xml><?xml version="1.0" encoding="utf-8"?>
<sst xmlns="http://schemas.openxmlformats.org/spreadsheetml/2006/main" count="2129" uniqueCount="667">
  <si>
    <t>涨</t>
    <rPh sb="0" eb="1">
      <t>zhang</t>
    </rPh>
    <phoneticPr fontId="2" type="noConversion"/>
  </si>
  <si>
    <t>跌</t>
    <rPh sb="0" eb="1">
      <t>die</t>
    </rPh>
    <phoneticPr fontId="2" type="noConversion"/>
  </si>
  <si>
    <t>当月增速</t>
    <rPh sb="0" eb="1">
      <t>dang yue</t>
    </rPh>
    <rPh sb="2" eb="3">
      <t>zeng su</t>
    </rPh>
    <phoneticPr fontId="2" type="noConversion"/>
  </si>
  <si>
    <t>化学原料和化学制品制造业（2019）</t>
    <phoneticPr fontId="2" type="noConversion"/>
  </si>
  <si>
    <t>当月涨幅（万华化学）</t>
    <rPh sb="0" eb="4">
      <t>dang yue zhan fu</t>
    </rPh>
    <phoneticPr fontId="2" type="noConversion"/>
  </si>
  <si>
    <t>当月涨幅（三一重工）</t>
    <rPh sb="5" eb="6">
      <t>san yi zhogn g</t>
    </rPh>
    <phoneticPr fontId="2" type="noConversion"/>
  </si>
  <si>
    <t>汽车制造业（2019）</t>
    <rPh sb="0" eb="1">
      <t>qi che</t>
    </rPh>
    <phoneticPr fontId="2" type="noConversion"/>
  </si>
  <si>
    <t>汽车制造业（现值）</t>
    <rPh sb="0" eb="1">
      <t>qi che</t>
    </rPh>
    <rPh sb="6" eb="7">
      <t>xian zhi</t>
    </rPh>
    <phoneticPr fontId="2" type="noConversion"/>
  </si>
  <si>
    <t>当月涨幅（宝钢股份）</t>
    <rPh sb="5" eb="6">
      <t>bao gang gu fen</t>
    </rPh>
    <phoneticPr fontId="2" type="noConversion"/>
  </si>
  <si>
    <t>当月涨幅（贵州茅台）</t>
    <rPh sb="5" eb="6">
      <t>gui zhou mao tai</t>
    </rPh>
    <phoneticPr fontId="2" type="noConversion"/>
  </si>
  <si>
    <t>涨</t>
    <phoneticPr fontId="2" type="noConversion"/>
  </si>
  <si>
    <t>当月涨幅（海螺水泥）</t>
    <rPh sb="5" eb="6">
      <t>hai luo shui ni</t>
    </rPh>
    <phoneticPr fontId="2" type="noConversion"/>
  </si>
  <si>
    <t>当月涨幅（晨光文具）</t>
    <rPh sb="5" eb="6">
      <t>chen guang wen ju</t>
    </rPh>
    <phoneticPr fontId="2" type="noConversion"/>
  </si>
  <si>
    <t>有色金属冶炼和压延加工业（2019）</t>
    <phoneticPr fontId="2" type="noConversion"/>
  </si>
  <si>
    <t>当月涨幅（紫金矿业）</t>
    <rPh sb="5" eb="6">
      <t>zi jin kuang ye</t>
    </rPh>
    <phoneticPr fontId="2" type="noConversion"/>
  </si>
  <si>
    <t>当月涨幅（恒瑞医药）</t>
    <rPh sb="5" eb="6">
      <t>heng rui yi yao</t>
    </rPh>
    <phoneticPr fontId="2" type="noConversion"/>
  </si>
  <si>
    <t>计算机、通信和其他电子设备制造业（2019）</t>
    <phoneticPr fontId="2" type="noConversion"/>
  </si>
  <si>
    <t>化学原料和化学制品制造业（2019）</t>
    <phoneticPr fontId="2" type="noConversion"/>
  </si>
  <si>
    <t>黑色金属冶炼和压延加工业（2019）</t>
    <phoneticPr fontId="2" type="noConversion"/>
  </si>
  <si>
    <t>非金属矿物制品业（2019）</t>
    <phoneticPr fontId="2" type="noConversion"/>
  </si>
  <si>
    <t>专用设备制造业（2019）</t>
    <phoneticPr fontId="2" type="noConversion"/>
  </si>
  <si>
    <t>酒、饮料和精制茶制造业（2019）</t>
    <phoneticPr fontId="2" type="noConversion"/>
  </si>
  <si>
    <t>医药制造业（2019）</t>
    <phoneticPr fontId="2" type="noConversion"/>
  </si>
  <si>
    <t>文教、工美、体育和娱乐用品制造业（2019）</t>
    <phoneticPr fontId="2" type="noConversion"/>
  </si>
  <si>
    <t>食品制造业（2019）</t>
    <phoneticPr fontId="2" type="noConversion"/>
  </si>
  <si>
    <t>当月涨幅（海天味业）</t>
    <rPh sb="5" eb="6">
      <t>hai tian wei ye</t>
    </rPh>
    <phoneticPr fontId="2" type="noConversion"/>
  </si>
  <si>
    <t>农副食品加工业（2019）</t>
    <phoneticPr fontId="2" type="noConversion"/>
  </si>
  <si>
    <t>当月涨幅（双汇发展）</t>
    <rPh sb="5" eb="6">
      <t>shuang hui fa zhan</t>
    </rPh>
    <phoneticPr fontId="2" type="noConversion"/>
  </si>
  <si>
    <t>注意</t>
    <rPh sb="0" eb="1">
      <t>zhu yi</t>
    </rPh>
    <phoneticPr fontId="2" type="noConversion"/>
  </si>
  <si>
    <t>PMI（2018）</t>
    <phoneticPr fontId="2" type="noConversion"/>
  </si>
  <si>
    <t>PMI（2019）</t>
    <phoneticPr fontId="2" type="noConversion"/>
  </si>
  <si>
    <t>1月</t>
    <rPh sb="1" eb="2">
      <t>yue</t>
    </rPh>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</si>
  <si>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</si>
  <si>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</si>
  <si>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</si>
  <si>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</si>
  <si>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</si>
  <si>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</si>
  <si>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</si>
  <si>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</si>
  <si>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</si>
  <si>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</si>
  <si>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</si>
  <si>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PMI环比增速</t>
    <rPh sb="3" eb="4">
      <t>huan bi</t>
    </rPh>
    <rPh sb="5" eb="6">
      <t>zeng su</t>
    </rPh>
    <phoneticPr fontId="2" type="noConversion"/>
  </si>
  <si>
    <t>当月涨幅（上证）</t>
    <rPh sb="0" eb="4">
      <t>dang yue zhan fu</t>
    </rPh>
    <rPh sb="5" eb="6">
      <t>shang zheng</t>
    </rPh>
    <phoneticPr fontId="2" type="noConversion"/>
  </si>
  <si>
    <t>生产</t>
    <rPh sb="0" eb="1">
      <t>sheng chan</t>
    </rPh>
    <phoneticPr fontId="2" type="noConversion"/>
  </si>
  <si>
    <t>新订单</t>
    <rPh sb="0" eb="1">
      <t>xin ding dan</t>
    </rPh>
    <phoneticPr fontId="2" type="noConversion"/>
  </si>
  <si>
    <t>原材料库存</t>
    <rPh sb="0" eb="1">
      <t>yuan cai liao</t>
    </rPh>
    <rPh sb="3" eb="4">
      <t>ku cun</t>
    </rPh>
    <phoneticPr fontId="2" type="noConversion"/>
  </si>
  <si>
    <t>从业人员</t>
    <rPh sb="0" eb="1">
      <t>cong ye ren yuan</t>
    </rPh>
    <phoneticPr fontId="2" type="noConversion"/>
  </si>
  <si>
    <t>供应商配送时间</t>
    <rPh sb="0" eb="1">
      <t>gogn ying shang</t>
    </rPh>
    <rPh sb="3" eb="4">
      <t>pei song shi jian</t>
    </rPh>
    <phoneticPr fontId="2" type="noConversion"/>
  </si>
  <si>
    <t>49.5（-1.4）</t>
    <phoneticPr fontId="2" type="noConversion"/>
  </si>
  <si>
    <t>50.6（1）</t>
    <phoneticPr fontId="2" type="noConversion"/>
  </si>
  <si>
    <t>46.3（-1.8）</t>
    <phoneticPr fontId="2" type="noConversion"/>
  </si>
  <si>
    <t>47.5（-0.3）</t>
    <phoneticPr fontId="2" type="noConversion"/>
  </si>
  <si>
    <t>49.8（-0.3）</t>
    <phoneticPr fontId="2" type="noConversion"/>
  </si>
  <si>
    <t>52.7（3.2）</t>
    <phoneticPr fontId="2" type="noConversion"/>
  </si>
  <si>
    <t>51.6（1）</t>
    <phoneticPr fontId="2" type="noConversion"/>
  </si>
  <si>
    <t>48.4（2.1）</t>
    <phoneticPr fontId="2" type="noConversion"/>
  </si>
  <si>
    <t>47.6（0.1）</t>
    <phoneticPr fontId="2" type="noConversion"/>
  </si>
  <si>
    <t>50.2（0.4）</t>
    <phoneticPr fontId="2" type="noConversion"/>
  </si>
  <si>
    <t>52.1（-0.6）</t>
    <phoneticPr fontId="2" type="noConversion"/>
  </si>
  <si>
    <t>51.4（-0.2）</t>
    <phoneticPr fontId="2" type="noConversion"/>
  </si>
  <si>
    <t>47.2（-1.2）</t>
    <phoneticPr fontId="2" type="noConversion"/>
  </si>
  <si>
    <t>47.2(-0.4)</t>
    <phoneticPr fontId="2" type="noConversion"/>
  </si>
  <si>
    <t>49.9(-0.3)</t>
    <phoneticPr fontId="2" type="noConversion"/>
  </si>
  <si>
    <t>51.7(-0.4)</t>
    <phoneticPr fontId="2" type="noConversion"/>
  </si>
  <si>
    <t>49.8(-1.6)</t>
    <phoneticPr fontId="2" type="noConversion"/>
  </si>
  <si>
    <t>47.4(0.2)</t>
    <phoneticPr fontId="2" type="noConversion"/>
  </si>
  <si>
    <t>47(-0.2)</t>
    <phoneticPr fontId="2" type="noConversion"/>
  </si>
  <si>
    <t>50.9(1)</t>
    <phoneticPr fontId="2" type="noConversion"/>
  </si>
  <si>
    <t>51.3(-0.4)</t>
    <phoneticPr fontId="2" type="noConversion"/>
  </si>
  <si>
    <t>49.6(-0.2)</t>
    <phoneticPr fontId="2" type="noConversion"/>
  </si>
  <si>
    <t>48.2(0.8)</t>
    <phoneticPr fontId="2" type="noConversion"/>
  </si>
  <si>
    <t>46.9(-0.1)</t>
    <phoneticPr fontId="2" type="noConversion"/>
  </si>
  <si>
    <t>50.2(-0.7)</t>
    <phoneticPr fontId="2" type="noConversion"/>
  </si>
  <si>
    <t>52.1(0.8)</t>
    <phoneticPr fontId="2" type="noConversion"/>
  </si>
  <si>
    <t>49.8(0.2)</t>
    <phoneticPr fontId="2" type="noConversion"/>
  </si>
  <si>
    <t>48(-0.2)</t>
    <phoneticPr fontId="2" type="noConversion"/>
  </si>
  <si>
    <t>47.1(0.5)</t>
    <phoneticPr fontId="2" type="noConversion"/>
  </si>
  <si>
    <t>50.1(-0.1)</t>
    <phoneticPr fontId="2" type="noConversion"/>
  </si>
  <si>
    <t>51.9(-0.2)</t>
    <phoneticPr fontId="2" type="noConversion"/>
  </si>
  <si>
    <t>49.7(-0.1)</t>
    <phoneticPr fontId="2" type="noConversion"/>
  </si>
  <si>
    <t>47.5(-0.5)</t>
    <phoneticPr fontId="2" type="noConversion"/>
  </si>
  <si>
    <t>46.9(-0.2)</t>
    <phoneticPr fontId="2" type="noConversion"/>
  </si>
  <si>
    <t>50.3(0.2)</t>
    <phoneticPr fontId="2" type="noConversion"/>
  </si>
  <si>
    <t>52.3(0.4)</t>
    <phoneticPr fontId="2" type="noConversion"/>
  </si>
  <si>
    <t>50.5(0.8)</t>
    <phoneticPr fontId="2" type="noConversion"/>
  </si>
  <si>
    <t>47.6(0.1)</t>
    <phoneticPr fontId="2" type="noConversion"/>
  </si>
  <si>
    <t>50.5(0.2)</t>
    <phoneticPr fontId="2" type="noConversion"/>
  </si>
  <si>
    <t>50.8(-1.5)</t>
    <phoneticPr fontId="2" type="noConversion"/>
  </si>
  <si>
    <t>49.6(-1.1)</t>
    <phoneticPr fontId="2" type="noConversion"/>
  </si>
  <si>
    <t>47.4(-0.2)</t>
    <phoneticPr fontId="2" type="noConversion"/>
  </si>
  <si>
    <t>47.3(0.3)</t>
    <phoneticPr fontId="2" type="noConversion"/>
  </si>
  <si>
    <t>50.1(-0.4)</t>
    <phoneticPr fontId="2" type="noConversion"/>
  </si>
  <si>
    <t>52.6(1.8)</t>
    <phoneticPr fontId="2" type="noConversion"/>
  </si>
  <si>
    <t>51.3(1.7)</t>
    <phoneticPr fontId="2" type="noConversion"/>
  </si>
  <si>
    <t>47.8(0.4)</t>
    <phoneticPr fontId="2" type="noConversion"/>
  </si>
  <si>
    <t>47.3(0)</t>
    <phoneticPr fontId="2" type="noConversion"/>
  </si>
  <si>
    <t>50.5(0.4)</t>
    <phoneticPr fontId="2" type="noConversion"/>
  </si>
  <si>
    <t>53.2(0.6)</t>
    <phoneticPr fontId="2" type="noConversion"/>
  </si>
  <si>
    <t>47.2(-0.6)</t>
    <phoneticPr fontId="2" type="noConversion"/>
  </si>
  <si>
    <t>47.3(0)</t>
    <phoneticPr fontId="2" type="noConversion"/>
  </si>
  <si>
    <t>51.1(0.6)</t>
    <phoneticPr fontId="2" type="noConversion"/>
  </si>
  <si>
    <t>50.9(0.1)</t>
    <phoneticPr fontId="2" type="noConversion"/>
  </si>
  <si>
    <t>49.6(-0.1)</t>
    <phoneticPr fontId="2" type="noConversion"/>
  </si>
  <si>
    <t>48.1(1)</t>
    <phoneticPr fontId="2" type="noConversion"/>
  </si>
  <si>
    <t>47.8(-0.2)</t>
    <phoneticPr fontId="2" type="noConversion"/>
  </si>
  <si>
    <t>50.1(-0.3)</t>
    <phoneticPr fontId="2" type="noConversion"/>
  </si>
  <si>
    <t>新出口订单</t>
    <rPh sb="0" eb="1">
      <t>xin chu kou ding dan</t>
    </rPh>
    <phoneticPr fontId="2" type="noConversion"/>
  </si>
  <si>
    <t>出厂价格</t>
    <rPh sb="0" eb="1">
      <t>chu chang jia ge</t>
    </rPh>
    <phoneticPr fontId="2" type="noConversion"/>
  </si>
  <si>
    <t>产成品库存</t>
    <rPh sb="0" eb="1">
      <t>chan cheng pin ku cun</t>
    </rPh>
    <phoneticPr fontId="2" type="noConversion"/>
  </si>
  <si>
    <t>在手订单</t>
    <rPh sb="0" eb="1">
      <t>zai shou ding dan</t>
    </rPh>
    <phoneticPr fontId="2" type="noConversion"/>
  </si>
  <si>
    <t>生产经营活动预期</t>
    <rPh sb="0" eb="1">
      <t>sheng chan jing ying huo dong</t>
    </rPh>
    <rPh sb="6" eb="7">
      <t>yu qi</t>
    </rPh>
    <phoneticPr fontId="2" type="noConversion"/>
  </si>
  <si>
    <t>46.9(0.3)</t>
    <phoneticPr fontId="2" type="noConversion"/>
  </si>
  <si>
    <t>45.2(-1.7)</t>
    <phoneticPr fontId="2" type="noConversion"/>
  </si>
  <si>
    <t>47.1(1.9)</t>
    <phoneticPr fontId="2" type="noConversion"/>
  </si>
  <si>
    <t>49.2(2.1)</t>
    <phoneticPr fontId="2" type="noConversion"/>
  </si>
  <si>
    <t>46.5(-2.7)</t>
    <phoneticPr fontId="2" type="noConversion"/>
  </si>
  <si>
    <t>46.3(-0.2)</t>
    <phoneticPr fontId="2" type="noConversion"/>
  </si>
  <si>
    <t>46.9(0.6)</t>
    <phoneticPr fontId="2" type="noConversion"/>
  </si>
  <si>
    <t>47.2(0.3)</t>
    <phoneticPr fontId="2" type="noConversion"/>
  </si>
  <si>
    <t>48.2(1)</t>
    <phoneticPr fontId="2" type="noConversion"/>
  </si>
  <si>
    <t>47(-1.2)</t>
    <phoneticPr fontId="2" type="noConversion"/>
  </si>
  <si>
    <t>48.8(1.8)</t>
    <phoneticPr fontId="2" type="noConversion"/>
  </si>
  <si>
    <t>50.3(1.5)</t>
    <phoneticPr fontId="2" type="noConversion"/>
  </si>
  <si>
    <t>47.1(1.2)</t>
    <phoneticPr fontId="2" type="noConversion"/>
  </si>
  <si>
    <t>44.8(-2.3)</t>
    <phoneticPr fontId="2" type="noConversion"/>
  </si>
  <si>
    <t>48.7(3.9)</t>
    <phoneticPr fontId="2" type="noConversion"/>
  </si>
  <si>
    <t>49.7(1)</t>
    <phoneticPr fontId="2" type="noConversion"/>
  </si>
  <si>
    <t>47.1(-2.6)</t>
    <phoneticPr fontId="2" type="noConversion"/>
  </si>
  <si>
    <t>46.8(-0.3)</t>
    <phoneticPr fontId="2" type="noConversion"/>
  </si>
  <si>
    <t>47.4(0.6)</t>
    <phoneticPr fontId="2" type="noConversion"/>
  </si>
  <si>
    <t>46.7(-0.7)</t>
    <phoneticPr fontId="2" type="noConversion"/>
  </si>
  <si>
    <t>47.1(0.4)</t>
    <phoneticPr fontId="2" type="noConversion"/>
  </si>
  <si>
    <t>46.9(-0.2)</t>
    <phoneticPr fontId="2" type="noConversion"/>
  </si>
  <si>
    <t>49.8(2.9)</t>
    <phoneticPr fontId="2" type="noConversion"/>
  </si>
  <si>
    <t>49.9(0.1)</t>
    <phoneticPr fontId="2" type="noConversion"/>
  </si>
  <si>
    <t>49.1(-0.7)</t>
    <phoneticPr fontId="2" type="noConversion"/>
  </si>
  <si>
    <t>48.3(-0.8)</t>
    <phoneticPr fontId="2" type="noConversion"/>
  </si>
  <si>
    <t>51.2(2.9)</t>
    <phoneticPr fontId="2" type="noConversion"/>
  </si>
  <si>
    <t>51.1(-0.1)</t>
    <phoneticPr fontId="2" type="noConversion"/>
  </si>
  <si>
    <t>50.5(-0.6)</t>
    <phoneticPr fontId="2" type="noConversion"/>
  </si>
  <si>
    <t>49.7(-0.8)</t>
    <phoneticPr fontId="2" type="noConversion"/>
  </si>
  <si>
    <t>50.4(0.7)</t>
    <phoneticPr fontId="2" type="noConversion"/>
  </si>
  <si>
    <t>49.3(-1.1)</t>
    <phoneticPr fontId="2" type="noConversion"/>
  </si>
  <si>
    <t>50.4(1.1)</t>
    <phoneticPr fontId="2" type="noConversion"/>
  </si>
  <si>
    <t>49.8(-0.6)</t>
    <phoneticPr fontId="2" type="noConversion"/>
  </si>
  <si>
    <t>51(1.2)</t>
    <phoneticPr fontId="2" type="noConversion"/>
  </si>
  <si>
    <t>51.3(0.3)</t>
    <phoneticPr fontId="2" type="noConversion"/>
  </si>
  <si>
    <t>46.3(1.5)</t>
    <phoneticPr fontId="2" type="noConversion"/>
  </si>
  <si>
    <t>51.9(5.6)</t>
    <phoneticPr fontId="2" type="noConversion"/>
  </si>
  <si>
    <t>53.5(1.6)</t>
    <phoneticPr fontId="2" type="noConversion"/>
  </si>
  <si>
    <t>53.1(-0.4)</t>
    <phoneticPr fontId="2" type="noConversion"/>
  </si>
  <si>
    <t>51.8(-1.3)</t>
    <phoneticPr fontId="2" type="noConversion"/>
  </si>
  <si>
    <t>49(-2.8)</t>
    <phoneticPr fontId="2" type="noConversion"/>
  </si>
  <si>
    <t>50.7(1.7)</t>
    <phoneticPr fontId="2" type="noConversion"/>
  </si>
  <si>
    <t>48.6(-2.1)</t>
    <phoneticPr fontId="2" type="noConversion"/>
  </si>
  <si>
    <t>52.2(3.6)</t>
    <phoneticPr fontId="2" type="noConversion"/>
  </si>
  <si>
    <t>50.4(-1.8)</t>
    <phoneticPr fontId="2" type="noConversion"/>
  </si>
  <si>
    <t>49(-1.4)</t>
    <phoneticPr fontId="2" type="noConversion"/>
  </si>
  <si>
    <t>51.8(2.8)</t>
    <phoneticPr fontId="2" type="noConversion"/>
  </si>
  <si>
    <t>44.5(1.2)</t>
    <phoneticPr fontId="2" type="noConversion"/>
  </si>
  <si>
    <t>48.5(4)</t>
    <phoneticPr fontId="2" type="noConversion"/>
  </si>
  <si>
    <t>51.4(2.9)</t>
    <phoneticPr fontId="2" type="noConversion"/>
  </si>
  <si>
    <t>52(0.6)</t>
    <phoneticPr fontId="2" type="noConversion"/>
  </si>
  <si>
    <t>49(-3)</t>
    <phoneticPr fontId="2" type="noConversion"/>
  </si>
  <si>
    <t>45.4(-3.6)</t>
    <phoneticPr fontId="2" type="noConversion"/>
  </si>
  <si>
    <t>46.9(1.5)</t>
    <phoneticPr fontId="2" type="noConversion"/>
  </si>
  <si>
    <t>46.7(-0.2)</t>
    <phoneticPr fontId="2" type="noConversion"/>
  </si>
  <si>
    <t>49.9(3.2)</t>
    <phoneticPr fontId="2" type="noConversion"/>
  </si>
  <si>
    <t>48(-1.9)</t>
    <phoneticPr fontId="2" type="noConversion"/>
  </si>
  <si>
    <t>47.3(-0.7)</t>
    <phoneticPr fontId="2" type="noConversion"/>
  </si>
  <si>
    <t>49.2(1.9)</t>
    <phoneticPr fontId="2" type="noConversion"/>
  </si>
  <si>
    <t>47.1(-0.9)</t>
    <phoneticPr fontId="2" type="noConversion"/>
  </si>
  <si>
    <t>46.4(-0.7)</t>
    <phoneticPr fontId="2" type="noConversion"/>
  </si>
  <si>
    <t>47(0.6)</t>
    <phoneticPr fontId="2" type="noConversion"/>
  </si>
  <si>
    <t>46.5(-0.5)</t>
    <phoneticPr fontId="2" type="noConversion"/>
  </si>
  <si>
    <t>48.1(2.6)</t>
    <phoneticPr fontId="2" type="noConversion"/>
  </si>
  <si>
    <t>48.1(0)</t>
    <phoneticPr fontId="2" type="noConversion"/>
  </si>
  <si>
    <t>47(-1.1)</t>
    <phoneticPr fontId="2" type="noConversion"/>
  </si>
  <si>
    <t>47.8(0.8)</t>
    <phoneticPr fontId="2" type="noConversion"/>
  </si>
  <si>
    <t>47.1(-0.7)</t>
    <phoneticPr fontId="2" type="noConversion"/>
  </si>
  <si>
    <t>46.7(-0.4)</t>
    <phoneticPr fontId="2" type="noConversion"/>
  </si>
  <si>
    <t>46.4(-0.3)</t>
    <phoneticPr fontId="2" type="noConversion"/>
  </si>
  <si>
    <t>45.6(-0.8)</t>
    <phoneticPr fontId="2" type="noConversion"/>
  </si>
  <si>
    <t>43.7(-0.4)</t>
    <phoneticPr fontId="2" type="noConversion"/>
  </si>
  <si>
    <t>43.6(-0.1)</t>
    <phoneticPr fontId="2" type="noConversion"/>
  </si>
  <si>
    <t>46.4(2.8)</t>
    <phoneticPr fontId="2" type="noConversion"/>
  </si>
  <si>
    <t>44(-2.4)</t>
    <phoneticPr fontId="2" type="noConversion"/>
  </si>
  <si>
    <t>44.3(0.3)</t>
    <phoneticPr fontId="2" type="noConversion"/>
  </si>
  <si>
    <t>44.5(0.2)</t>
    <phoneticPr fontId="2" type="noConversion"/>
  </si>
  <si>
    <t>44.7(0.2)</t>
    <phoneticPr fontId="2" type="noConversion"/>
  </si>
  <si>
    <t>44.8(0.1)</t>
    <phoneticPr fontId="2" type="noConversion"/>
  </si>
  <si>
    <t>44.7(-0.1)</t>
    <phoneticPr fontId="2" type="noConversion"/>
  </si>
  <si>
    <t>44.9(0.2)</t>
    <phoneticPr fontId="2" type="noConversion"/>
  </si>
  <si>
    <t>44.9(0)</t>
    <phoneticPr fontId="2" type="noConversion"/>
  </si>
  <si>
    <t>45(0.1)</t>
    <phoneticPr fontId="2" type="noConversion"/>
  </si>
  <si>
    <t>52.5(-0.2)</t>
    <phoneticPr fontId="2" type="noConversion"/>
  </si>
  <si>
    <t>56.2(3.7)</t>
    <phoneticPr fontId="2" type="noConversion"/>
  </si>
  <si>
    <t>56.8(0.6)</t>
    <phoneticPr fontId="2" type="noConversion"/>
  </si>
  <si>
    <t>56.5(-0.3)</t>
    <phoneticPr fontId="2" type="noConversion"/>
  </si>
  <si>
    <t>54.5(-2)</t>
    <phoneticPr fontId="2" type="noConversion"/>
  </si>
  <si>
    <t>53.4(-1.1)</t>
    <phoneticPr fontId="2" type="noConversion"/>
  </si>
  <si>
    <t>53.6(0.2)</t>
    <phoneticPr fontId="2" type="noConversion"/>
  </si>
  <si>
    <t>53.3(-0.3)</t>
    <phoneticPr fontId="2" type="noConversion"/>
  </si>
  <si>
    <t>54.4(1.1)</t>
    <phoneticPr fontId="2" type="noConversion"/>
  </si>
  <si>
    <t>54.2(-0.2)</t>
    <phoneticPr fontId="2" type="noConversion"/>
  </si>
  <si>
    <t>54.9(0.7)</t>
    <phoneticPr fontId="2" type="noConversion"/>
  </si>
  <si>
    <t>54.4(-0.5)</t>
    <phoneticPr fontId="2" type="noConversion"/>
  </si>
  <si>
    <t>从业人员指数，与上月持平，表明制造业企业用工景气度稳定</t>
    <rPh sb="0" eb="1">
      <t>cong ye ren yuan zhi shu</t>
    </rPh>
    <phoneticPr fontId="2" type="noConversion"/>
  </si>
  <si>
    <t>供应商配送时间指数，位于临界点之上，表明制造业原材料供应商交货时间加快</t>
    <rPh sb="0" eb="1">
      <t>gong ying shang pei song shi jian</t>
    </rPh>
    <rPh sb="7" eb="8">
      <t>zhi shu</t>
    </rPh>
    <phoneticPr fontId="2" type="noConversion"/>
  </si>
  <si>
    <t>基数</t>
    <rPh sb="0" eb="1">
      <t>ji shu</t>
    </rPh>
    <phoneticPr fontId="2" type="noConversion"/>
  </si>
  <si>
    <t>PMI（每月31号）</t>
    <rPh sb="4" eb="5">
      <t>mei yue</t>
    </rPh>
    <rPh sb="8" eb="9">
      <t>hao</t>
    </rPh>
    <phoneticPr fontId="2" type="noConversion"/>
  </si>
  <si>
    <t>PMI细项</t>
    <rPh sb="3" eb="4">
      <t>xi xiang</t>
    </rPh>
    <rPh sb="4" eb="5">
      <t>xiang mu</t>
    </rPh>
    <phoneticPr fontId="2" type="noConversion"/>
  </si>
  <si>
    <t>社会融资规模增量（次月中旬）</t>
    <rPh sb="9" eb="10">
      <t>ci</t>
    </rPh>
    <rPh sb="12" eb="13">
      <t>xun</t>
    </rPh>
    <phoneticPr fontId="2" type="noConversion"/>
  </si>
  <si>
    <t>全国规模以上工业企业利润增速（次月27号）</t>
    <rPh sb="15" eb="16">
      <t>ci</t>
    </rPh>
    <phoneticPr fontId="2" type="noConversion"/>
  </si>
  <si>
    <t xml:space="preserve">社会融资规模增量是指一定时期内实体经济从金融体系获得的资金额。
当出现需求或者科技进步，大家看好市场，认为会一直增长时，企业就会冲动贷款，扩大生产，多招聘员工，给员工加薪。员工有了钱，就会扩大消费，买房买车买奢侈品。有了新的需求后，企业会进一步借更多的钱，扩大生产。此时需要注意到货币供给的可持续性。但是，借的钱是需要还利息的。市场上稍微有点风吹草动，比如，利率上涨，需求下降，产品降价，都会使得利润赶不上利息，加息会使实体经济里的钱变少，很多在投的或者准备投资的项目都只能砍掉，这时企业会裁员，砍掉低利润的业务，不同行业之间相互传导。这样的结果就是使得资产价格下降，悲观情绪产生，风险偏好下降。反之，利率降低时，人们不会想着存款，而是提前把钱花掉，买房买车，新的需求出现了，企业肯定扩大生产，需要借入更多的钱。经济危机的本质都是债务危机。
</t>
    <rPh sb="32" eb="33">
      <t>dang chu xian</t>
    </rPh>
    <rPh sb="35" eb="36">
      <t>xu qiu</t>
    </rPh>
    <rPh sb="37" eb="38">
      <t>huo zhe</t>
    </rPh>
    <rPh sb="39" eb="40">
      <t>ke ji jin bu</t>
    </rPh>
    <rPh sb="44" eb="45">
      <t>da jia kan hao shi chang</t>
    </rPh>
    <rPh sb="51" eb="52">
      <t>ren we</t>
    </rPh>
    <rPh sb="53" eb="54">
      <t>hui yi zhi zeng zhang</t>
    </rPh>
    <rPh sb="58" eb="59">
      <t>shi</t>
    </rPh>
    <rPh sb="60" eb="61">
      <t>qi ye jiu hui</t>
    </rPh>
    <rPh sb="64" eb="65">
      <t>chong dong</t>
    </rPh>
    <rPh sb="66" eb="67">
      <t>dai kuan</t>
    </rPh>
    <rPh sb="69" eb="70">
      <t>kuo da sheng chan</t>
    </rPh>
    <rPh sb="74" eb="75">
      <t>duo zhao pin</t>
    </rPh>
    <rPh sb="77" eb="78">
      <t>yuan gong</t>
    </rPh>
    <rPh sb="80" eb="81">
      <t>gei yuan gong</t>
    </rPh>
    <rPh sb="83" eb="84">
      <t>jia xin</t>
    </rPh>
    <rPh sb="86" eb="87">
      <t>yuan gong you le qian</t>
    </rPh>
    <rPh sb="92" eb="93">
      <t>jiu hui kuo da xiao fei</t>
    </rPh>
    <rPh sb="99" eb="100">
      <t>mai fang mai che</t>
    </rPh>
    <rPh sb="103" eb="104">
      <t>mai she chi pin</t>
    </rPh>
    <rPh sb="108" eb="109">
      <t>you le xin de xu qiu hou</t>
    </rPh>
    <rPh sb="116" eb="117">
      <t>qi ye</t>
    </rPh>
    <rPh sb="118" eb="119">
      <t>hui jin yi bu</t>
    </rPh>
    <rPh sb="128" eb="129">
      <t>kuo da sheng chan</t>
    </rPh>
    <rPh sb="133" eb="134">
      <t>ci shi xu yao zhu yi dao</t>
    </rPh>
    <rPh sb="140" eb="141">
      <t>huo bi gong ji</t>
    </rPh>
    <rPh sb="144" eb="145">
      <t>de</t>
    </rPh>
    <rPh sb="145" eb="146">
      <t>ke chi xu xing</t>
    </rPh>
    <rPh sb="150" eb="151">
      <t>dan shi</t>
    </rPh>
    <rPh sb="153" eb="154">
      <t>jie de qian</t>
    </rPh>
    <rPh sb="156" eb="157">
      <t>shi xu yao</t>
    </rPh>
    <rPh sb="159" eb="160">
      <t>huan li xi</t>
    </rPh>
    <rPh sb="162" eb="163">
      <t>de</t>
    </rPh>
    <rPh sb="164" eb="165">
      <t>shi chang</t>
    </rPh>
    <rPh sb="166" eb="167">
      <t>shang</t>
    </rPh>
    <rPh sb="167" eb="168">
      <t>shao wei you dian</t>
    </rPh>
    <rPh sb="171" eb="172">
      <t>feng chui cao dong</t>
    </rPh>
    <rPh sb="176" eb="177">
      <t>bi ru</t>
    </rPh>
    <rPh sb="179" eb="180">
      <t>li lü shang zhang</t>
    </rPh>
    <rPh sb="184" eb="185">
      <t>xu qiu xia jiang</t>
    </rPh>
    <rPh sb="189" eb="190">
      <t>chan pin jiang jia</t>
    </rPh>
    <rPh sb="194" eb="195">
      <t>dou hui shi de</t>
    </rPh>
    <rPh sb="198" eb="199">
      <t>li run</t>
    </rPh>
    <rPh sb="200" eb="201">
      <t>gan bu shang</t>
    </rPh>
    <rPh sb="203" eb="204">
      <t>li xi</t>
    </rPh>
    <rPh sb="206" eb="207">
      <t>jia xi</t>
    </rPh>
    <rPh sb="208" eb="209">
      <t>hui shi</t>
    </rPh>
    <rPh sb="210" eb="211">
      <t>shi ti jing ji</t>
    </rPh>
    <rPh sb="214" eb="215">
      <t>li de qian</t>
    </rPh>
    <rPh sb="217" eb="218">
      <t>bian shao</t>
    </rPh>
    <rPh sb="220" eb="221">
      <t>hen duo</t>
    </rPh>
    <rPh sb="224" eb="225">
      <t>de</t>
    </rPh>
    <rPh sb="225" eb="226">
      <t>huo zh</t>
    </rPh>
    <rPh sb="227" eb="228">
      <t>zhun bei tou zi</t>
    </rPh>
    <rPh sb="231" eb="232">
      <t>de</t>
    </rPh>
    <rPh sb="232" eb="233">
      <t>xiang m</t>
    </rPh>
    <rPh sb="234" eb="235">
      <t>dou zhi neng</t>
    </rPh>
    <rPh sb="237" eb="238">
      <t>kan diao</t>
    </rPh>
    <rPh sb="240" eb="241">
      <t>zhe shi qi ye</t>
    </rPh>
    <rPh sb="241" eb="242">
      <t>shi</t>
    </rPh>
    <rPh sb="244" eb="245">
      <t>hui cai yuan</t>
    </rPh>
    <rPh sb="245" eb="246">
      <t>cai yuan</t>
    </rPh>
    <rPh sb="248" eb="249">
      <t>kan diao</t>
    </rPh>
    <rPh sb="250" eb="251">
      <t>di li run</t>
    </rPh>
    <rPh sb="253" eb="254">
      <t>de</t>
    </rPh>
    <rPh sb="254" eb="255">
      <t>ye wu</t>
    </rPh>
    <rPh sb="257" eb="258">
      <t>bu tong hang ye zhi jian</t>
    </rPh>
    <rPh sb="263" eb="264">
      <t>xiang hu</t>
    </rPh>
    <rPh sb="265" eb="266">
      <t>chuan dao</t>
    </rPh>
    <rPh sb="268" eb="269">
      <t>zhe yang de jie guo</t>
    </rPh>
    <rPh sb="273" eb="274">
      <t>jiu shi</t>
    </rPh>
    <rPh sb="275" eb="276">
      <t>shi de</t>
    </rPh>
    <rPh sb="277" eb="278">
      <t>zi chan jia ge</t>
    </rPh>
    <rPh sb="281" eb="282">
      <t>xia jiang</t>
    </rPh>
    <rPh sb="284" eb="285">
      <t>bei guan qing xu</t>
    </rPh>
    <rPh sb="288" eb="289">
      <t>chan sheng</t>
    </rPh>
    <rPh sb="291" eb="292">
      <t>feng xian pian hao</t>
    </rPh>
    <rPh sb="295" eb="296">
      <t>xia jiang</t>
    </rPh>
    <rPh sb="298" eb="299">
      <t>fan zhi</t>
    </rPh>
    <rPh sb="301" eb="302">
      <t>li l</t>
    </rPh>
    <rPh sb="303" eb="304">
      <t>jiang di</t>
    </rPh>
    <rPh sb="305" eb="306">
      <t>shi</t>
    </rPh>
    <rPh sb="307" eb="308">
      <t>ren men</t>
    </rPh>
    <rPh sb="309" eb="310">
      <t>bu hui xiang zhe</t>
    </rPh>
    <rPh sb="313" eb="314">
      <t>cun kuan</t>
    </rPh>
    <rPh sb="316" eb="317">
      <t>er shi</t>
    </rPh>
    <rPh sb="318" eb="319">
      <t>ti qian ba qian</t>
    </rPh>
    <rPh sb="322" eb="323">
      <t>hua diao</t>
    </rPh>
    <rPh sb="325" eb="326">
      <t>mai fang mai che</t>
    </rPh>
    <rPh sb="330" eb="331">
      <t>xin de xu qiu chu xian le</t>
    </rPh>
    <rPh sb="338" eb="339">
      <t>qi ye</t>
    </rPh>
    <rPh sb="340" eb="341">
      <t>ken ding kuo da sheng chan</t>
    </rPh>
    <rPh sb="347" eb="348">
      <t>xu yao jie ru geng duo de qian</t>
    </rPh>
    <rPh sb="349" eb="350">
      <t>jie ru</t>
    </rPh>
    <rPh sb="356" eb="357">
      <t>jing ji wei ji de ben zhi dou shi</t>
    </rPh>
    <rPh sb="365" eb="366">
      <t>zhai wu wei ji</t>
    </rPh>
    <phoneticPr fontId="2" type="noConversion"/>
  </si>
  <si>
    <t>财新制造业PMI（次月初）</t>
    <rPh sb="0" eb="1">
      <t>cai xin zhi zao ye</t>
    </rPh>
    <rPh sb="9" eb="10">
      <t>ci</t>
    </rPh>
    <rPh sb="11" eb="12">
      <t>chu</t>
    </rPh>
    <phoneticPr fontId="2" type="noConversion"/>
  </si>
  <si>
    <t>财新服务业PMI（次月初）</t>
    <rPh sb="0" eb="1">
      <t>cai xin zhi zao ye</t>
    </rPh>
    <rPh sb="2" eb="3">
      <t>fu w</t>
    </rPh>
    <rPh sb="9" eb="10">
      <t>ci</t>
    </rPh>
    <rPh sb="11" eb="12">
      <t>chu</t>
    </rPh>
    <phoneticPr fontId="2" type="noConversion"/>
  </si>
  <si>
    <t>LPR（次月中旬）</t>
    <rPh sb="4" eb="5">
      <t>ci</t>
    </rPh>
    <rPh sb="6" eb="7">
      <t>zhong</t>
    </rPh>
    <rPh sb="7" eb="8">
      <t>xun</t>
    </rPh>
    <phoneticPr fontId="2" type="noConversion"/>
  </si>
  <si>
    <t>一年（2019）</t>
    <rPh sb="0" eb="1">
      <t>yi nian</t>
    </rPh>
    <phoneticPr fontId="2" type="noConversion"/>
  </si>
  <si>
    <t>五年（2019）</t>
    <rPh sb="0" eb="1">
      <t>wu nian</t>
    </rPh>
    <phoneticPr fontId="2" type="noConversion"/>
  </si>
  <si>
    <t>失业，投资，消费（次月中旬）</t>
    <rPh sb="0" eb="1">
      <t>shi ye</t>
    </rPh>
    <rPh sb="3" eb="4">
      <t>tou zi</t>
    </rPh>
    <rPh sb="6" eb="7">
      <t>xiao fei</t>
    </rPh>
    <rPh sb="9" eb="10">
      <t>ci</t>
    </rPh>
    <rPh sb="11" eb="12">
      <t>zhong</t>
    </rPh>
    <rPh sb="12" eb="13">
      <t>xun</t>
    </rPh>
    <phoneticPr fontId="2" type="noConversion"/>
  </si>
  <si>
    <t>失业率（2019）</t>
    <rPh sb="0" eb="1">
      <t>shi ye</t>
    </rPh>
    <rPh sb="2" eb="3">
      <t>lü</t>
    </rPh>
    <phoneticPr fontId="2" type="noConversion"/>
  </si>
  <si>
    <t>全国规模工业增加值（2019）</t>
    <rPh sb="0" eb="1">
      <t>quan guo</t>
    </rPh>
    <rPh sb="2" eb="3">
      <t>gui mo</t>
    </rPh>
    <rPh sb="4" eb="5">
      <t>gong ye</t>
    </rPh>
    <rPh sb="6" eb="7">
      <t>zeng jia zhi</t>
    </rPh>
    <phoneticPr fontId="2" type="noConversion"/>
  </si>
  <si>
    <t>固定资产投资（2019）</t>
    <rPh sb="0" eb="1">
      <t>gu ding zi chan tou zi</t>
    </rPh>
    <phoneticPr fontId="2" type="noConversion"/>
  </si>
  <si>
    <t>消费（2019）</t>
    <rPh sb="0" eb="1">
      <t>xiao fei</t>
    </rPh>
    <phoneticPr fontId="2" type="noConversion"/>
  </si>
  <si>
    <t>新出口订单指数，位于临界点之上，表明制造业出口改善</t>
    <rPh sb="5" eb="6">
      <t>zhi shu</t>
    </rPh>
    <rPh sb="8" eb="9">
      <t>wei yu lin jie dian zhi shang</t>
    </rPh>
    <rPh sb="16" eb="17">
      <t>biao ming</t>
    </rPh>
    <rPh sb="18" eb="19">
      <t>zhi zao ye</t>
    </rPh>
    <rPh sb="21" eb="22">
      <t>chu kou</t>
    </rPh>
    <rPh sb="23" eb="24">
      <t>gai shan</t>
    </rPh>
    <phoneticPr fontId="2" type="noConversion"/>
  </si>
  <si>
    <t>进口</t>
    <phoneticPr fontId="2" type="noConversion"/>
  </si>
  <si>
    <t>进口指数，较上月增加，表明制造业进口改善</t>
    <rPh sb="2" eb="3">
      <t>zhi shu</t>
    </rPh>
    <rPh sb="5" eb="6">
      <t>jiao</t>
    </rPh>
    <rPh sb="6" eb="7">
      <t>shang yue</t>
    </rPh>
    <rPh sb="8" eb="9">
      <t>zeng jia</t>
    </rPh>
    <rPh sb="11" eb="12">
      <t>biao ming</t>
    </rPh>
    <rPh sb="13" eb="14">
      <t>zhi zao ye</t>
    </rPh>
    <rPh sb="16" eb="17">
      <t>jin</t>
    </rPh>
    <rPh sb="18" eb="19">
      <t>gai shan</t>
    </rPh>
    <phoneticPr fontId="2" type="noConversion"/>
  </si>
  <si>
    <t>主要原材料购进价格</t>
    <phoneticPr fontId="2" type="noConversion"/>
  </si>
  <si>
    <t>主要原材料购进价格指数，位于临界点上，表明制造业需求增加</t>
    <rPh sb="9" eb="10">
      <t>zhi shu</t>
    </rPh>
    <rPh sb="12" eb="13">
      <t>wei yu lin jie dian shang</t>
    </rPh>
    <rPh sb="19" eb="20">
      <t>biao ming</t>
    </rPh>
    <rPh sb="21" eb="22">
      <t>zhi zao ye</t>
    </rPh>
    <rPh sb="24" eb="25">
      <t>xu qiu zeng jia</t>
    </rPh>
    <phoneticPr fontId="2" type="noConversion"/>
  </si>
  <si>
    <t>出厂价格指数，较上月增加，表明制造业需求改善</t>
    <rPh sb="4" eb="5">
      <t>zhi shu</t>
    </rPh>
    <rPh sb="18" eb="19">
      <t>xu qiu</t>
    </rPh>
    <phoneticPr fontId="2" type="noConversion"/>
  </si>
  <si>
    <t>产成品库存指数，较上个月减少，表明制造业需求增加</t>
    <rPh sb="5" eb="6">
      <t>zhi shu</t>
    </rPh>
    <rPh sb="8" eb="9">
      <t>jiao shang ge yue</t>
    </rPh>
    <rPh sb="12" eb="13">
      <t>jian shao</t>
    </rPh>
    <rPh sb="15" eb="16">
      <t>biao ming</t>
    </rPh>
    <rPh sb="17" eb="18">
      <t>zhi zao ye</t>
    </rPh>
    <rPh sb="20" eb="21">
      <t>xu qiu zeng jia</t>
    </rPh>
    <phoneticPr fontId="2" type="noConversion"/>
  </si>
  <si>
    <t>在手订单指数，较上个月增加，根据新订单指数来判断</t>
    <rPh sb="4" eb="5">
      <t>zhi shu</t>
    </rPh>
    <rPh sb="7" eb="8">
      <t>jiao shang ge yue</t>
    </rPh>
    <rPh sb="11" eb="12">
      <t>zeng jia</t>
    </rPh>
    <rPh sb="14" eb="15">
      <t>gen ju</t>
    </rPh>
    <rPh sb="16" eb="17">
      <t>xin ding dan</t>
    </rPh>
    <rPh sb="19" eb="20">
      <t>zhi shu</t>
    </rPh>
    <rPh sb="21" eb="22">
      <t>lai pan duan</t>
    </rPh>
    <phoneticPr fontId="2" type="noConversion"/>
  </si>
  <si>
    <t>采购量</t>
    <phoneticPr fontId="2" type="noConversion"/>
  </si>
  <si>
    <t>采购量指数，较上月增加，表明制造业需求改善</t>
    <rPh sb="3" eb="4">
      <t>zhi shu</t>
    </rPh>
    <rPh sb="6" eb="7">
      <t>jiao shang yue zeng jia</t>
    </rPh>
    <rPh sb="12" eb="13">
      <t>biao ming</t>
    </rPh>
    <rPh sb="14" eb="15">
      <t>zhi zao ye</t>
    </rPh>
    <rPh sb="17" eb="18">
      <t>xu qiu</t>
    </rPh>
    <rPh sb="19" eb="20">
      <t>gai shan</t>
    </rPh>
    <phoneticPr fontId="2" type="noConversion"/>
  </si>
  <si>
    <t>当月利润增速</t>
    <rPh sb="0" eb="1">
      <t>dang yue</t>
    </rPh>
    <rPh sb="2" eb="3">
      <t>li run</t>
    </rPh>
    <rPh sb="4" eb="5">
      <t>zeng su</t>
    </rPh>
    <phoneticPr fontId="2" type="noConversion"/>
  </si>
  <si>
    <t>增速</t>
    <rPh sb="0" eb="1">
      <t>zeng su</t>
    </rPh>
    <phoneticPr fontId="2" type="noConversion"/>
  </si>
  <si>
    <t>电力、热力生产和供应业（2019）</t>
    <phoneticPr fontId="2" type="noConversion"/>
  </si>
  <si>
    <t>当月涨幅（长江电力，深圳燃气，上海电力）</t>
    <rPh sb="5" eb="6">
      <t>chang jiang dian li</t>
    </rPh>
    <rPh sb="10" eb="11">
      <t>shen zhen ran qi</t>
    </rPh>
    <rPh sb="15" eb="16">
      <t>shang hai dian li</t>
    </rPh>
    <phoneticPr fontId="2" type="noConversion"/>
  </si>
  <si>
    <t>电气机械和器材制造业（2019）</t>
    <phoneticPr fontId="2" type="noConversion"/>
  </si>
  <si>
    <t>当月涨幅（金风科技）</t>
    <rPh sb="5" eb="6">
      <t>jin feng ke ji</t>
    </rPh>
    <phoneticPr fontId="2" type="noConversion"/>
  </si>
  <si>
    <t>石油、煤炭及其他燃料加工业（2019）</t>
    <phoneticPr fontId="2" type="noConversion"/>
  </si>
  <si>
    <t>当月涨幅（上海石化）</t>
    <rPh sb="5" eb="6">
      <t>shang hai shi hua</t>
    </rPh>
    <phoneticPr fontId="2" type="noConversion"/>
  </si>
  <si>
    <t>煤炭开采和洗选业（2019）</t>
    <phoneticPr fontId="2" type="noConversion"/>
  </si>
  <si>
    <t>当月涨幅（陕西煤业）</t>
    <rPh sb="5" eb="6">
      <t>shan xi mei ye</t>
    </rPh>
    <phoneticPr fontId="2" type="noConversion"/>
  </si>
  <si>
    <t>石油和天然气开采业（2019）</t>
    <phoneticPr fontId="2" type="noConversion"/>
  </si>
  <si>
    <t>当月涨幅（中国石化）</t>
    <rPh sb="5" eb="6">
      <t>zhong guo</t>
    </rPh>
    <rPh sb="7" eb="8">
      <t>shi hua</t>
    </rPh>
    <phoneticPr fontId="2" type="noConversion"/>
  </si>
  <si>
    <t>纺织业（2019）</t>
    <rPh sb="0" eb="1">
      <t>fang zhi ye</t>
    </rPh>
    <phoneticPr fontId="2" type="noConversion"/>
  </si>
  <si>
    <t>纺织业（2019）</t>
    <phoneticPr fontId="2" type="noConversion"/>
  </si>
  <si>
    <t>当月涨幅（海澜之家）</t>
    <rPh sb="5" eb="6">
      <t>hai lan zhi jia</t>
    </rPh>
    <phoneticPr fontId="2" type="noConversion"/>
  </si>
  <si>
    <t>当月涨幅（淮柴动力）</t>
    <phoneticPr fontId="2" type="noConversion"/>
  </si>
  <si>
    <t>通信设备制造业增加值（2019）</t>
    <rPh sb="7" eb="8">
      <t>zeng jia zhi</t>
    </rPh>
    <phoneticPr fontId="2" type="noConversion"/>
  </si>
  <si>
    <t>通信设备制造业营业收入（2019）</t>
    <rPh sb="7" eb="8">
      <t>ying ye shou ru</t>
    </rPh>
    <phoneticPr fontId="2" type="noConversion"/>
  </si>
  <si>
    <t>通信设备制造业利润（2019）</t>
    <rPh sb="7" eb="8">
      <t>li run</t>
    </rPh>
    <phoneticPr fontId="2" type="noConversion"/>
  </si>
  <si>
    <t>电子元件制造业增加值（2019）</t>
    <rPh sb="0" eb="1">
      <t>dian zi yuan jian</t>
    </rPh>
    <rPh sb="7" eb="8">
      <t>zeng jia zhi</t>
    </rPh>
    <phoneticPr fontId="2" type="noConversion"/>
  </si>
  <si>
    <t>电子元件制造业营业收入（2019）</t>
    <rPh sb="7" eb="8">
      <t>ying ye shou ru</t>
    </rPh>
    <phoneticPr fontId="2" type="noConversion"/>
  </si>
  <si>
    <t>电子元件制造业利润（2019）</t>
    <rPh sb="7" eb="8">
      <t>li run</t>
    </rPh>
    <phoneticPr fontId="2" type="noConversion"/>
  </si>
  <si>
    <t>电子器件制造业增加值（2019）</t>
    <rPh sb="0" eb="1">
      <t>dian zi yuan jian</t>
    </rPh>
    <rPh sb="2" eb="3">
      <t>qi jian</t>
    </rPh>
    <rPh sb="7" eb="8">
      <t>zeng jia zhi</t>
    </rPh>
    <phoneticPr fontId="2" type="noConversion"/>
  </si>
  <si>
    <t>电子器件制造业营业收入（2019）</t>
    <rPh sb="7" eb="8">
      <t>ying ye shou ru</t>
    </rPh>
    <phoneticPr fontId="2" type="noConversion"/>
  </si>
  <si>
    <t>电子器件制造业利润（2019）</t>
    <rPh sb="7" eb="8">
      <t>li run</t>
    </rPh>
    <phoneticPr fontId="2" type="noConversion"/>
  </si>
  <si>
    <t>计算机制造业增加值（2019）</t>
    <rPh sb="0" eb="1">
      <t>ji suan ji</t>
    </rPh>
    <rPh sb="6" eb="7">
      <t>zeng jia zhi</t>
    </rPh>
    <phoneticPr fontId="2" type="noConversion"/>
  </si>
  <si>
    <t>计算机制造业营业收入（2019）</t>
    <rPh sb="6" eb="7">
      <t>ying ye shou ru</t>
    </rPh>
    <phoneticPr fontId="2" type="noConversion"/>
  </si>
  <si>
    <t>计算机制造业利润（2019）</t>
    <rPh sb="6" eb="7">
      <t>li run</t>
    </rPh>
    <phoneticPr fontId="2" type="noConversion"/>
  </si>
  <si>
    <t>当月涨幅</t>
    <rPh sb="0" eb="4">
      <t>dang yue zhan fu</t>
    </rPh>
    <phoneticPr fontId="2" type="noConversion"/>
  </si>
  <si>
    <t>软件和信息技术服务业收入（2019）</t>
    <phoneticPr fontId="2" type="noConversion"/>
  </si>
  <si>
    <t>软件和信息技术服务业利润（2019）</t>
    <rPh sb="10" eb="11">
      <t>li run</t>
    </rPh>
    <phoneticPr fontId="2" type="noConversion"/>
  </si>
  <si>
    <t>互联网和相关服务业收入（2019）</t>
    <phoneticPr fontId="2" type="noConversion"/>
  </si>
  <si>
    <t>互联网和相关服务业利润（2019）</t>
    <rPh sb="9" eb="10">
      <t>li run</t>
    </rPh>
    <phoneticPr fontId="2" type="noConversion"/>
  </si>
  <si>
    <t>通信设备制造业库存（2019）</t>
    <rPh sb="7" eb="8">
      <t>ku cun</t>
    </rPh>
    <phoneticPr fontId="2" type="noConversion"/>
  </si>
  <si>
    <t>0.6(库存增加)</t>
    <rPh sb="6" eb="7">
      <t>zeng jia</t>
    </rPh>
    <phoneticPr fontId="2" type="noConversion"/>
  </si>
  <si>
    <t>55.8(利润增加)</t>
    <phoneticPr fontId="2" type="noConversion"/>
  </si>
  <si>
    <t>2.3(库存增加)</t>
    <phoneticPr fontId="2" type="noConversion"/>
  </si>
  <si>
    <t>`-13(利润增加)</t>
    <phoneticPr fontId="2" type="noConversion"/>
  </si>
  <si>
    <t>`-13(利润减少)</t>
    <rPh sb="7" eb="8">
      <t>jian shao</t>
    </rPh>
    <phoneticPr fontId="2" type="noConversion"/>
  </si>
  <si>
    <t>7.9(库存增加)</t>
    <phoneticPr fontId="2" type="noConversion"/>
  </si>
  <si>
    <t>10.9(库存增加)</t>
    <phoneticPr fontId="2" type="noConversion"/>
  </si>
  <si>
    <t>14.4(库存增加)</t>
    <phoneticPr fontId="2" type="noConversion"/>
  </si>
  <si>
    <t>7.9(库存减少)</t>
    <rPh sb="6" eb="7">
      <t>jian shao</t>
    </rPh>
    <phoneticPr fontId="2" type="noConversion"/>
  </si>
  <si>
    <t>`-0.4(库存减少)</t>
    <rPh sb="8" eb="9">
      <t>jian shao</t>
    </rPh>
    <phoneticPr fontId="2" type="noConversion"/>
  </si>
  <si>
    <t>2(库存增加)</t>
    <phoneticPr fontId="2" type="noConversion"/>
  </si>
  <si>
    <t>`-0.7(库存减少)</t>
    <rPh sb="8" eb="9">
      <t>jian shao</t>
    </rPh>
    <phoneticPr fontId="2" type="noConversion"/>
  </si>
  <si>
    <t>0.2(库存增加)</t>
    <phoneticPr fontId="2" type="noConversion"/>
  </si>
  <si>
    <t>4.8(利润增加)</t>
    <phoneticPr fontId="2" type="noConversion"/>
  </si>
  <si>
    <t>10.2(利润增加)</t>
    <phoneticPr fontId="2" type="noConversion"/>
  </si>
  <si>
    <t>25.4(利润增加)</t>
    <phoneticPr fontId="2" type="noConversion"/>
  </si>
  <si>
    <t>33.4(利润增加)</t>
    <phoneticPr fontId="2" type="noConversion"/>
  </si>
  <si>
    <t>22.9(利润增加)</t>
    <phoneticPr fontId="2" type="noConversion"/>
  </si>
  <si>
    <t>0.9(库存增加)</t>
    <rPh sb="6" eb="7">
      <t>zeng jia</t>
    </rPh>
    <phoneticPr fontId="2" type="noConversion"/>
  </si>
  <si>
    <t>`-22.3(利润减少)</t>
    <rPh sb="9" eb="10">
      <t>jian shao</t>
    </rPh>
    <phoneticPr fontId="2" type="noConversion"/>
  </si>
  <si>
    <t>19.7(库存增加)</t>
    <phoneticPr fontId="2" type="noConversion"/>
  </si>
  <si>
    <t>37.4(库存增加)</t>
    <phoneticPr fontId="2" type="noConversion"/>
  </si>
  <si>
    <t>53.9(库存增加)</t>
    <phoneticPr fontId="2" type="noConversion"/>
  </si>
  <si>
    <t>67.1(库存增加)</t>
    <phoneticPr fontId="2" type="noConversion"/>
  </si>
  <si>
    <t>79.9(库存增加)</t>
    <rPh sb="7" eb="8">
      <t>zeng jia</t>
    </rPh>
    <phoneticPr fontId="2" type="noConversion"/>
  </si>
  <si>
    <t>93.1(库存增加)</t>
    <rPh sb="7" eb="8">
      <t>zeng jia</t>
    </rPh>
    <phoneticPr fontId="2" type="noConversion"/>
  </si>
  <si>
    <t>112.8(库存增加)</t>
    <rPh sb="8" eb="9">
      <t>zeng jia</t>
    </rPh>
    <phoneticPr fontId="2" type="noConversion"/>
  </si>
  <si>
    <t>131(库存增加)</t>
    <rPh sb="6" eb="7">
      <t>zeng jia</t>
    </rPh>
    <phoneticPr fontId="2" type="noConversion"/>
  </si>
  <si>
    <t>152.6(库存增加)</t>
    <rPh sb="8" eb="9">
      <t>zeng jia</t>
    </rPh>
    <phoneticPr fontId="2" type="noConversion"/>
  </si>
  <si>
    <t>电子元件制造业库存（2019）</t>
    <rPh sb="7" eb="8">
      <t>ku cun</t>
    </rPh>
    <phoneticPr fontId="2" type="noConversion"/>
  </si>
  <si>
    <t>电子器件制造业库存（2019）</t>
    <rPh sb="7" eb="8">
      <t>ku cun</t>
    </rPh>
    <phoneticPr fontId="2" type="noConversion"/>
  </si>
  <si>
    <t>`-15.6(利润减少)</t>
    <phoneticPr fontId="2" type="noConversion"/>
  </si>
  <si>
    <t>1.4(利润增加)</t>
    <rPh sb="6" eb="7">
      <t>zeng jia</t>
    </rPh>
    <phoneticPr fontId="2" type="noConversion"/>
  </si>
  <si>
    <t>0.3(利润减少)</t>
    <phoneticPr fontId="2" type="noConversion"/>
  </si>
  <si>
    <t>`-4.6(利润减少)</t>
    <phoneticPr fontId="2" type="noConversion"/>
  </si>
  <si>
    <t>4.9(利润减少)</t>
    <rPh sb="6" eb="7">
      <t>jian shao</t>
    </rPh>
    <phoneticPr fontId="2" type="noConversion"/>
  </si>
  <si>
    <t>`-2.9(利润增加)</t>
    <rPh sb="8" eb="9">
      <t>zeng jia</t>
    </rPh>
    <phoneticPr fontId="2" type="noConversion"/>
  </si>
  <si>
    <t>`-8.9(利润增加)</t>
    <rPh sb="8" eb="9">
      <t>zeng jia</t>
    </rPh>
    <phoneticPr fontId="2" type="noConversion"/>
  </si>
  <si>
    <t>`-11.2(利润增加)</t>
    <rPh sb="9" eb="10">
      <t>zeng jia</t>
    </rPh>
    <phoneticPr fontId="2" type="noConversion"/>
  </si>
  <si>
    <t>`-8.5(利润增加)</t>
    <rPh sb="8" eb="9">
      <t>zeng jia</t>
    </rPh>
    <phoneticPr fontId="2" type="noConversion"/>
  </si>
  <si>
    <t>`-9.7(利润减少)</t>
    <phoneticPr fontId="2" type="noConversion"/>
  </si>
  <si>
    <t>`-37.2(利润减少)</t>
    <phoneticPr fontId="2" type="noConversion"/>
  </si>
  <si>
    <t>`-24.9(利润增加)</t>
    <rPh sb="9" eb="10">
      <t>zeng jia</t>
    </rPh>
    <phoneticPr fontId="2" type="noConversion"/>
  </si>
  <si>
    <t>`-23.6(利润增加)</t>
    <rPh sb="9" eb="10">
      <t>zeng jia</t>
    </rPh>
    <phoneticPr fontId="2" type="noConversion"/>
  </si>
  <si>
    <t>`-17.6(利润减少)</t>
    <rPh sb="9" eb="10">
      <t>jian shao</t>
    </rPh>
    <phoneticPr fontId="2" type="noConversion"/>
  </si>
  <si>
    <t>`-15.7(利润增加)</t>
    <phoneticPr fontId="2" type="noConversion"/>
  </si>
  <si>
    <t>`-19.6(利润减少)</t>
    <rPh sb="9" eb="10">
      <t>jian shao</t>
    </rPh>
    <phoneticPr fontId="2" type="noConversion"/>
  </si>
  <si>
    <t>`-18.3(利润增加)</t>
    <phoneticPr fontId="2" type="noConversion"/>
  </si>
  <si>
    <t>`-18.6(利润减少)</t>
    <rPh sb="9" eb="10">
      <t>jian shao</t>
    </rPh>
    <phoneticPr fontId="2" type="noConversion"/>
  </si>
  <si>
    <t>`-14.4(利润增加)</t>
    <phoneticPr fontId="2" type="noConversion"/>
  </si>
  <si>
    <t>2(库存增加)</t>
    <rPh sb="4" eb="5">
      <t>zeng jia</t>
    </rPh>
    <phoneticPr fontId="2" type="noConversion"/>
  </si>
  <si>
    <t>`-3.4(库存减少)</t>
    <rPh sb="8" eb="9">
      <t>jian shao</t>
    </rPh>
    <phoneticPr fontId="2" type="noConversion"/>
  </si>
  <si>
    <t>`-5.9(库存减少)</t>
    <rPh sb="8" eb="9">
      <t>jian shao</t>
    </rPh>
    <phoneticPr fontId="2" type="noConversion"/>
  </si>
  <si>
    <t>`-9.5(库存减少)</t>
    <rPh sb="8" eb="9">
      <t>jian shao</t>
    </rPh>
    <phoneticPr fontId="2" type="noConversion"/>
  </si>
  <si>
    <t>`-12.5(库存减少)</t>
    <rPh sb="9" eb="10">
      <t>jian shao</t>
    </rPh>
    <phoneticPr fontId="2" type="noConversion"/>
  </si>
  <si>
    <t>`-16.9(库存减少)</t>
    <rPh sb="9" eb="10">
      <t>jian shao</t>
    </rPh>
    <phoneticPr fontId="2" type="noConversion"/>
  </si>
  <si>
    <t>`-21.9(库存减少)</t>
    <rPh sb="9" eb="10">
      <t>jian shao</t>
    </rPh>
    <phoneticPr fontId="2" type="noConversion"/>
  </si>
  <si>
    <t>`-23.8(库存减少)</t>
    <rPh sb="9" eb="10">
      <t>jian shao</t>
    </rPh>
    <phoneticPr fontId="2" type="noConversion"/>
  </si>
  <si>
    <t>`-25.6(库存减少)</t>
    <rPh sb="9" eb="10">
      <t>jian shao</t>
    </rPh>
    <phoneticPr fontId="2" type="noConversion"/>
  </si>
  <si>
    <t>`-23.4(库存增加)</t>
    <rPh sb="9" eb="10">
      <t>zeng jia</t>
    </rPh>
    <phoneticPr fontId="2" type="noConversion"/>
  </si>
  <si>
    <t>计算机制造业库存（2019）</t>
    <rPh sb="6" eb="7">
      <t>ku cun</t>
    </rPh>
    <phoneticPr fontId="2" type="noConversion"/>
  </si>
  <si>
    <t>36.8(利润增加)</t>
    <phoneticPr fontId="2" type="noConversion"/>
  </si>
  <si>
    <t>`-2.9(库存增加)</t>
    <rPh sb="8" eb="9">
      <t>zeng jia</t>
    </rPh>
    <phoneticPr fontId="2" type="noConversion"/>
  </si>
  <si>
    <t>`-7(库存减少)</t>
    <rPh sb="6" eb="7">
      <t>jian shao</t>
    </rPh>
    <phoneticPr fontId="2" type="noConversion"/>
  </si>
  <si>
    <t>`-10(库存减少)</t>
    <rPh sb="7" eb="8">
      <t>jian shao</t>
    </rPh>
    <phoneticPr fontId="2" type="noConversion"/>
  </si>
  <si>
    <t>51.7(利润增加)</t>
    <phoneticPr fontId="2" type="noConversion"/>
  </si>
  <si>
    <t>`-13.9(库存减少)</t>
    <rPh sb="9" eb="10">
      <t>jian shao</t>
    </rPh>
    <phoneticPr fontId="2" type="noConversion"/>
  </si>
  <si>
    <t>`-8.4(利润减少)</t>
    <rPh sb="8" eb="9">
      <t>jian shao</t>
    </rPh>
    <phoneticPr fontId="2" type="noConversion"/>
  </si>
  <si>
    <t>`-16.2(库存减少)</t>
    <rPh sb="9" eb="10">
      <t>jian shao</t>
    </rPh>
    <phoneticPr fontId="2" type="noConversion"/>
  </si>
  <si>
    <t>`-1.1(利润减少)</t>
    <rPh sb="8" eb="9">
      <t>jian shao</t>
    </rPh>
    <phoneticPr fontId="2" type="noConversion"/>
  </si>
  <si>
    <t>`-18.8(库存减少)</t>
    <rPh sb="9" eb="10">
      <t>jian shao</t>
    </rPh>
    <phoneticPr fontId="2" type="noConversion"/>
  </si>
  <si>
    <t>`-4.2(利润减少)</t>
    <phoneticPr fontId="2" type="noConversion"/>
  </si>
  <si>
    <t>4.9(利润增加)</t>
    <phoneticPr fontId="2" type="noConversion"/>
  </si>
  <si>
    <t>`-20.2(库存减少)</t>
    <rPh sb="9" eb="10">
      <t>jian shao</t>
    </rPh>
    <phoneticPr fontId="2" type="noConversion"/>
  </si>
  <si>
    <t>7.7(利润增加)</t>
    <phoneticPr fontId="2" type="noConversion"/>
  </si>
  <si>
    <t>8.2(利润增加)</t>
    <phoneticPr fontId="2" type="noConversion"/>
  </si>
  <si>
    <t>`-19.7(库存增加)</t>
    <rPh sb="9" eb="10">
      <t>zeng jia</t>
    </rPh>
    <phoneticPr fontId="2" type="noConversion"/>
  </si>
  <si>
    <t>`-16.3(库存减少)</t>
    <rPh sb="9" eb="10">
      <t>jian shao</t>
    </rPh>
    <phoneticPr fontId="2" type="noConversion"/>
  </si>
  <si>
    <t>`-18.2(库存增加)</t>
    <rPh sb="9" eb="10">
      <t>zeng jia</t>
    </rPh>
    <phoneticPr fontId="2" type="noConversion"/>
  </si>
  <si>
    <t>`-11.4(利润增加)</t>
    <rPh sb="9" eb="10">
      <t>zeng jia</t>
    </rPh>
    <phoneticPr fontId="2" type="noConversion"/>
  </si>
  <si>
    <t>14.4(利润增加)</t>
    <phoneticPr fontId="2" type="noConversion"/>
  </si>
  <si>
    <t>6.3(利润减少)</t>
    <rPh sb="6" eb="7">
      <t>jian shao</t>
    </rPh>
    <phoneticPr fontId="2" type="noConversion"/>
  </si>
  <si>
    <t>生产指数，位于临界点之上，表明制造业企业生产扩张持续加快，根据产成品库存确认最终生产</t>
    <rPh sb="0" eb="1">
      <t>sheng chan zhi shu</t>
    </rPh>
    <rPh sb="29" eb="30">
      <t>gen ju</t>
    </rPh>
    <rPh sb="31" eb="32">
      <t>chan cheng pin</t>
    </rPh>
    <rPh sb="34" eb="35">
      <t>ku cun</t>
    </rPh>
    <rPh sb="36" eb="37">
      <t>que ren</t>
    </rPh>
    <rPh sb="38" eb="39">
      <t>zui zhong</t>
    </rPh>
    <rPh sb="40" eb="41">
      <t>sheng chan</t>
    </rPh>
    <phoneticPr fontId="2" type="noConversion"/>
  </si>
  <si>
    <t>新订单指数，位于临界点之上，表明制造业市场需求继续增长，根据新订单确认生产规模，等于国内+出口</t>
    <rPh sb="0" eb="1">
      <t>xin ding dan zhi shu</t>
    </rPh>
    <rPh sb="28" eb="29">
      <t>gen ju xin ding dan</t>
    </rPh>
    <rPh sb="33" eb="34">
      <t>que ren</t>
    </rPh>
    <rPh sb="35" eb="36">
      <t>sheng chan gui mo</t>
    </rPh>
    <rPh sb="40" eb="41">
      <t>deng y</t>
    </rPh>
    <rPh sb="42" eb="43">
      <t>guo nei</t>
    </rPh>
    <rPh sb="45" eb="46">
      <t>chu kou</t>
    </rPh>
    <phoneticPr fontId="2" type="noConversion"/>
  </si>
  <si>
    <t>51.2(-0.1)</t>
    <phoneticPr fontId="2" type="noConversion"/>
  </si>
  <si>
    <t>分析</t>
    <rPh sb="0" eb="1">
      <t>fen xi</t>
    </rPh>
    <phoneticPr fontId="2" type="noConversion"/>
  </si>
  <si>
    <t>原材料库存指数，位于临界点之下，表明制造业主要原材料库存量减少，根据最终生产进行购入</t>
    <rPh sb="0" eb="1">
      <t>yuan cai liao ku cun</t>
    </rPh>
    <rPh sb="5" eb="6">
      <t>zhi shu</t>
    </rPh>
    <rPh sb="32" eb="33">
      <t>gen ju</t>
    </rPh>
    <rPh sb="34" eb="35">
      <t>zui zhong sheng ch</t>
    </rPh>
    <rPh sb="38" eb="39">
      <t>jin xin gou ru</t>
    </rPh>
    <rPh sb="39" eb="40">
      <t>xing</t>
    </rPh>
    <phoneticPr fontId="2" type="noConversion"/>
  </si>
  <si>
    <t>国内订单增加，
产品库存也增加，但是增加采购打算生产，从业人员上升了，看来是觉得库存不够新订单交付，需要加人来增加生产，原材量库存上升了，原材料价格大增</t>
    <rPh sb="0" eb="1">
      <t>guo nei ding dan</t>
    </rPh>
    <rPh sb="4" eb="5">
      <t>zeng jia</t>
    </rPh>
    <rPh sb="8" eb="9">
      <t>chan pin ku cun</t>
    </rPh>
    <rPh sb="12" eb="13">
      <t>ye zeng ia</t>
    </rPh>
    <rPh sb="14" eb="15">
      <t>jia</t>
    </rPh>
    <rPh sb="16" eb="17">
      <t>dan shi bing mei you zeng jia cai gou</t>
    </rPh>
    <rPh sb="27" eb="28">
      <t>cong ye ren yuan xia jiang</t>
    </rPh>
    <rPh sb="31" eb="32">
      <t>shang sheng</t>
    </rPh>
    <rPh sb="33" eb="34">
      <t>le</t>
    </rPh>
    <rPh sb="35" eb="36">
      <t>kan lai shi</t>
    </rPh>
    <rPh sb="38" eb="39">
      <t>jue de</t>
    </rPh>
    <rPh sb="40" eb="41">
      <t>ku cun</t>
    </rPh>
    <rPh sb="42" eb="43">
      <t>bu gou</t>
    </rPh>
    <rPh sb="44" eb="45">
      <t>xin ding dan</t>
    </rPh>
    <rPh sb="47" eb="48">
      <t>jiao fu</t>
    </rPh>
    <rPh sb="50" eb="51">
      <t>xu yao</t>
    </rPh>
    <rPh sb="52" eb="53">
      <t>jia ren</t>
    </rPh>
    <rPh sb="54" eb="55">
      <t>lai zeng jia</t>
    </rPh>
    <rPh sb="57" eb="58">
      <t>sheng chan</t>
    </rPh>
    <rPh sb="60" eb="61">
      <t>yuan cai liang ku cun</t>
    </rPh>
    <rPh sb="65" eb="66">
      <t>shang sheng</t>
    </rPh>
    <rPh sb="69" eb="70">
      <t>yuan cai liao</t>
    </rPh>
    <rPh sb="72" eb="73">
      <t>jia ge</t>
    </rPh>
    <rPh sb="74" eb="75">
      <t>da zeng</t>
    </rPh>
    <phoneticPr fontId="2" type="noConversion"/>
  </si>
  <si>
    <t>国内订单减少，
产品库存也减少，也不打算增加采购来生产，从业人员下降了，看来是觉得库存能够新订单交付，不需要加人来增加生产，原材量库存下降了，原材料价格下降了</t>
    <rPh sb="0" eb="1">
      <t>guo nei ding dan</t>
    </rPh>
    <rPh sb="4" eb="5">
      <t>jian shao</t>
    </rPh>
    <rPh sb="8" eb="9">
      <t>chan pin ku cun</t>
    </rPh>
    <rPh sb="12" eb="13">
      <t>ye zeng ia</t>
    </rPh>
    <rPh sb="13" eb="14">
      <t>jian shao</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xia jiang</t>
    </rPh>
    <rPh sb="71" eb="72">
      <t>yuan cai liao</t>
    </rPh>
    <rPh sb="74" eb="75">
      <t>jia ge</t>
    </rPh>
    <rPh sb="76" eb="77">
      <t>xia jiang le</t>
    </rPh>
    <phoneticPr fontId="2" type="noConversion"/>
  </si>
  <si>
    <t>国内订单减少，
产品库存增加了，也不打算增加采购来生产，从业人员下降了，看来是觉得库存能够新订单交付，不需要加人来增加生产，原材量库存增加了，原材料价格下降了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zeng jia</t>
    </rPh>
    <rPh sb="14" eb="15">
      <t>le</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zeng jia</t>
    </rPh>
    <rPh sb="71" eb="72">
      <t>yuan cai liao</t>
    </rPh>
    <rPh sb="74" eb="75">
      <t>jia ge</t>
    </rPh>
    <rPh sb="76" eb="77">
      <t>xia jiang le</t>
    </rPh>
    <phoneticPr fontId="2" type="noConversion"/>
  </si>
  <si>
    <t>国内订单减少，
产品库存维持不变了，也不打算增加采购来生产，从业人员下降了，看来是觉得库存能够新订单交付，不需要加人来增加生产，原材量库存增加了，原材料价格下降了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wei chi</t>
    </rPh>
    <rPh sb="14" eb="15">
      <t>bu bian</t>
    </rPh>
    <rPh sb="16" eb="17">
      <t>le</t>
    </rPh>
    <rPh sb="18" eb="19">
      <t>ye bu da suan</t>
    </rPh>
    <rPh sb="22" eb="23">
      <t>zeng jia</t>
    </rPh>
    <rPh sb="26" eb="27">
      <t>lai</t>
    </rPh>
    <rPh sb="30" eb="31">
      <t>cong ye ren yuan xia jiang</t>
    </rPh>
    <rPh sb="34" eb="35">
      <t>xia jiang</t>
    </rPh>
    <rPh sb="36" eb="37">
      <t>le</t>
    </rPh>
    <rPh sb="38" eb="39">
      <t>kan lai shi</t>
    </rPh>
    <rPh sb="41" eb="42">
      <t>jue de</t>
    </rPh>
    <rPh sb="43" eb="44">
      <t>ku cun</t>
    </rPh>
    <rPh sb="45" eb="46">
      <t>neng</t>
    </rPh>
    <rPh sb="47" eb="48">
      <t>xin ding dan</t>
    </rPh>
    <rPh sb="50" eb="51">
      <t>jiao fu</t>
    </rPh>
    <rPh sb="53" eb="54">
      <t>bu</t>
    </rPh>
    <rPh sb="54" eb="55">
      <t>xu yao</t>
    </rPh>
    <rPh sb="56" eb="57">
      <t>jia ren</t>
    </rPh>
    <rPh sb="58" eb="59">
      <t>lai zeng jia</t>
    </rPh>
    <rPh sb="61" eb="62">
      <t>sheng chan</t>
    </rPh>
    <rPh sb="64" eb="65">
      <t>yuan cai liang ku cun</t>
    </rPh>
    <rPh sb="69" eb="70">
      <t>zeng jia</t>
    </rPh>
    <rPh sb="73" eb="74">
      <t>yuan cai liao</t>
    </rPh>
    <rPh sb="76" eb="77">
      <t>jia ge</t>
    </rPh>
    <rPh sb="78" eb="79">
      <t>xia jiang le</t>
    </rPh>
    <phoneticPr fontId="2" type="noConversion"/>
  </si>
  <si>
    <t>国内订单减少，
产品库存下降了，但是打算增加采购来生产，从业人员增加了，看来是觉得库存不够新订单交付，要加人来增加生产，原材量库存减少了，原材料价格上升了</t>
    <rPh sb="0" eb="1">
      <t>guo nei ding dan</t>
    </rPh>
    <rPh sb="4" eb="5">
      <t>jian shao</t>
    </rPh>
    <rPh sb="8" eb="9">
      <t>chan pin ku cun</t>
    </rPh>
    <rPh sb="12" eb="13">
      <t>xia jiang</t>
    </rPh>
    <rPh sb="14" eb="15">
      <t>le</t>
    </rPh>
    <rPh sb="16" eb="17">
      <t>dan shi</t>
    </rPh>
    <rPh sb="20" eb="21">
      <t>zeng jia</t>
    </rPh>
    <rPh sb="24" eb="25">
      <t>lai</t>
    </rPh>
    <rPh sb="28" eb="29">
      <t>cong ye ren yuan xia jiang</t>
    </rPh>
    <rPh sb="32" eb="33">
      <t>zeng jia</t>
    </rPh>
    <rPh sb="34" eb="35">
      <t>le</t>
    </rPh>
    <rPh sb="36" eb="37">
      <t>kan lai shi</t>
    </rPh>
    <rPh sb="39" eb="40">
      <t>jue de</t>
    </rPh>
    <rPh sb="41" eb="42">
      <t>ku cun</t>
    </rPh>
    <rPh sb="43" eb="44">
      <t>bu</t>
    </rPh>
    <rPh sb="45" eb="46">
      <t>xin ding dan</t>
    </rPh>
    <rPh sb="48" eb="49">
      <t>jiao fu</t>
    </rPh>
    <rPh sb="52" eb="53">
      <t>jia ren</t>
    </rPh>
    <rPh sb="54" eb="55">
      <t>lai zeng jia</t>
    </rPh>
    <rPh sb="57" eb="58">
      <t>sheng chan</t>
    </rPh>
    <rPh sb="60" eb="61">
      <t>yuan cai liang ku cun</t>
    </rPh>
    <rPh sb="65" eb="66">
      <t>jian shao</t>
    </rPh>
    <rPh sb="69" eb="70">
      <t>yuan cai liao</t>
    </rPh>
    <rPh sb="72" eb="73">
      <t>jia ge</t>
    </rPh>
    <rPh sb="74" eb="75">
      <t>shang sheng</t>
    </rPh>
    <phoneticPr fontId="2" type="noConversion"/>
  </si>
  <si>
    <t>国内订单减少，
产品库存上升了，但是不打算增加采购来生产，从业人员下降了，看来是觉得库存不够新订单交付，要加人来增加生产，原材量库存减少了，原材料价格下降了</t>
    <rPh sb="0" eb="1">
      <t>guo nei ding dan</t>
    </rPh>
    <rPh sb="4" eb="5">
      <t>jian shao</t>
    </rPh>
    <rPh sb="8" eb="9">
      <t>chan pin ku cun</t>
    </rPh>
    <rPh sb="12" eb="13">
      <t>shang sheng</t>
    </rPh>
    <rPh sb="14" eb="15">
      <t>le</t>
    </rPh>
    <rPh sb="16" eb="17">
      <t>dan shi</t>
    </rPh>
    <rPh sb="18" eb="19">
      <t>bu</t>
    </rPh>
    <rPh sb="21" eb="22">
      <t>zeng jia</t>
    </rPh>
    <rPh sb="25" eb="26">
      <t>lai</t>
    </rPh>
    <rPh sb="29" eb="30">
      <t>cong ye ren yuan xia jiang</t>
    </rPh>
    <rPh sb="33" eb="34">
      <t>xia jiang</t>
    </rPh>
    <rPh sb="35" eb="36">
      <t>le</t>
    </rPh>
    <rPh sb="37" eb="38">
      <t>kan lai shi</t>
    </rPh>
    <rPh sb="40" eb="41">
      <t>jue de</t>
    </rPh>
    <rPh sb="42" eb="43">
      <t>ku cun</t>
    </rPh>
    <rPh sb="44" eb="45">
      <t>bu</t>
    </rPh>
    <rPh sb="46" eb="47">
      <t>xin ding dan</t>
    </rPh>
    <rPh sb="49" eb="50">
      <t>jiao fu</t>
    </rPh>
    <rPh sb="53" eb="54">
      <t>jia ren</t>
    </rPh>
    <rPh sb="55" eb="56">
      <t>lai zeng jia</t>
    </rPh>
    <rPh sb="58" eb="59">
      <t>sheng chan</t>
    </rPh>
    <rPh sb="61" eb="62">
      <t>yuan cai liang ku cun</t>
    </rPh>
    <rPh sb="66" eb="67">
      <t>jian shao</t>
    </rPh>
    <rPh sb="70" eb="71">
      <t>yuan cai liao</t>
    </rPh>
    <rPh sb="73" eb="74">
      <t>jia ge</t>
    </rPh>
    <rPh sb="75" eb="76">
      <t>xia jiang</t>
    </rPh>
    <phoneticPr fontId="2" type="noConversion"/>
  </si>
  <si>
    <t>47(0.1)</t>
    <phoneticPr fontId="2" type="noConversion"/>
  </si>
  <si>
    <t>国内订单增加，
产品库存下降了，打算增加采购来生产，从业人员上升了，看来是觉得库存不够新订单交付，要加人来增加生产，原材量库存增加了，原材料价格上升了</t>
    <rPh sb="0" eb="1">
      <t>guo nei ding dan</t>
    </rPh>
    <rPh sb="4" eb="5">
      <t>zeng jia</t>
    </rPh>
    <rPh sb="8" eb="9">
      <t>chan pin ku cun</t>
    </rPh>
    <rPh sb="12" eb="13">
      <t>xia jiang</t>
    </rPh>
    <rPh sb="14" eb="15">
      <t>le</t>
    </rPh>
    <rPh sb="18" eb="19">
      <t>zeng jia</t>
    </rPh>
    <rPh sb="22" eb="23">
      <t>lai</t>
    </rPh>
    <rPh sb="26" eb="27">
      <t>cong ye ren yuan xia jiang</t>
    </rPh>
    <rPh sb="30" eb="31">
      <t>shang sheng</t>
    </rPh>
    <rPh sb="32" eb="33">
      <t>le</t>
    </rPh>
    <rPh sb="34" eb="35">
      <t>kan lai shi</t>
    </rPh>
    <rPh sb="37" eb="38">
      <t>jue de</t>
    </rPh>
    <rPh sb="39" eb="40">
      <t>ku cun</t>
    </rPh>
    <rPh sb="41" eb="42">
      <t>bu</t>
    </rPh>
    <rPh sb="43" eb="44">
      <t>xin ding dan</t>
    </rPh>
    <rPh sb="46" eb="47">
      <t>jiao fu</t>
    </rPh>
    <rPh sb="50" eb="51">
      <t>jia ren</t>
    </rPh>
    <rPh sb="52" eb="53">
      <t>lai zeng jia</t>
    </rPh>
    <rPh sb="55" eb="56">
      <t>sheng chan</t>
    </rPh>
    <rPh sb="58" eb="59">
      <t>yuan cai liang ku cun</t>
    </rPh>
    <rPh sb="63" eb="64">
      <t>zeng jia</t>
    </rPh>
    <rPh sb="67" eb="68">
      <t>yuan cai liao</t>
    </rPh>
    <rPh sb="70" eb="71">
      <t>jia ge</t>
    </rPh>
    <rPh sb="72" eb="73">
      <t>shang sheng</t>
    </rPh>
    <phoneticPr fontId="2" type="noConversion"/>
  </si>
  <si>
    <t>国内订单减少，
产品库存下降了，但是不打算增加采购来生产，从业人员下降了，原材量库存下降了，原材料价格下降了</t>
    <rPh sb="0" eb="1">
      <t>guo nei ding dan</t>
    </rPh>
    <rPh sb="4" eb="5">
      <t>jian shao</t>
    </rPh>
    <rPh sb="8" eb="9">
      <t>chan pin ku cun</t>
    </rPh>
    <rPh sb="12" eb="13">
      <t>xia jiang</t>
    </rPh>
    <rPh sb="14" eb="15">
      <t>le</t>
    </rPh>
    <rPh sb="16" eb="17">
      <t>dan shi</t>
    </rPh>
    <rPh sb="18" eb="19">
      <t>bu</t>
    </rPh>
    <rPh sb="21" eb="22">
      <t>zeng jia</t>
    </rPh>
    <rPh sb="25" eb="26">
      <t>lai</t>
    </rPh>
    <rPh sb="29" eb="30">
      <t>cong ye ren yuan xia jiang</t>
    </rPh>
    <rPh sb="33" eb="34">
      <t>xia jiang</t>
    </rPh>
    <rPh sb="35" eb="36">
      <t>le</t>
    </rPh>
    <rPh sb="37" eb="38">
      <t>yuan cai liang ku cun</t>
    </rPh>
    <rPh sb="42" eb="43">
      <t>xia jiang</t>
    </rPh>
    <rPh sb="46" eb="47">
      <t>yuan cai liao</t>
    </rPh>
    <rPh sb="49" eb="50">
      <t>jia ge</t>
    </rPh>
    <rPh sb="51" eb="52">
      <t>xia jiang</t>
    </rPh>
    <phoneticPr fontId="2" type="noConversion"/>
  </si>
  <si>
    <t>国内订单增加，
产品库存下降了，而且打算增加采购来生产，从业人员不变了，原材量库存上升了，原材料价格下降了</t>
    <rPh sb="0" eb="1">
      <t>guo nei ding dan</t>
    </rPh>
    <rPh sb="4" eb="5">
      <t>zeng jia</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shang sheng</t>
    </rPh>
    <rPh sb="45" eb="46">
      <t>yuan cai liao</t>
    </rPh>
    <rPh sb="48" eb="49">
      <t>jia ge</t>
    </rPh>
    <rPh sb="50" eb="51">
      <t>xia jiang</t>
    </rPh>
    <phoneticPr fontId="2" type="noConversion"/>
  </si>
  <si>
    <t>国内新订单增加，在手订单减少了，
产品库存也减少，但是并没有增加采购打算生产，从业人员下降了，但是原材量库存下降了，原材料价格大增</t>
    <rPh sb="0" eb="1">
      <t>guo nei ding dan</t>
    </rPh>
    <rPh sb="2" eb="3">
      <t>xin</t>
    </rPh>
    <rPh sb="5" eb="6">
      <t>zeng jia</t>
    </rPh>
    <rPh sb="8" eb="9">
      <t>zai shou ding dan</t>
    </rPh>
    <rPh sb="12" eb="13">
      <t>jian shao le</t>
    </rPh>
    <rPh sb="17" eb="18">
      <t>chan pin ku cun</t>
    </rPh>
    <rPh sb="21" eb="22">
      <t>ye</t>
    </rPh>
    <rPh sb="25" eb="26">
      <t>dan shi bing mei you zeng jia cai gou</t>
    </rPh>
    <rPh sb="39" eb="40">
      <t>cong ye ren yuan xia jiang</t>
    </rPh>
    <rPh sb="45" eb="46">
      <t>le</t>
    </rPh>
    <rPh sb="47" eb="48">
      <t>dan shi</t>
    </rPh>
    <rPh sb="49" eb="50">
      <t>yuan cai liang ku cun</t>
    </rPh>
    <rPh sb="54" eb="55">
      <t>xia jiang le</t>
    </rPh>
    <rPh sb="58" eb="59">
      <t>yuan cai liao</t>
    </rPh>
    <rPh sb="61" eb="62">
      <t>jia ge</t>
    </rPh>
    <rPh sb="63" eb="64">
      <t>da zeng</t>
    </rPh>
    <phoneticPr fontId="2" type="noConversion"/>
  </si>
  <si>
    <t>国内新订单减少了，产品库存也相应减少，但是并没有增加采购原材料，
生产缓慢增加了，从业人员下降，但是原材量库存增加，原材料价格上升,在手订单也减少了</t>
    <rPh sb="0" eb="1">
      <t>guo nei ding dan</t>
    </rPh>
    <rPh sb="2" eb="3">
      <t>xin</t>
    </rPh>
    <rPh sb="5" eb="6">
      <t>jian shao</t>
    </rPh>
    <rPh sb="7" eb="8">
      <t>le</t>
    </rPh>
    <rPh sb="9" eb="10">
      <t>chan pin</t>
    </rPh>
    <rPh sb="11" eb="12">
      <t>ku c</t>
    </rPh>
    <rPh sb="13" eb="14">
      <t>ye xiang ying</t>
    </rPh>
    <rPh sb="16" eb="17">
      <t>jian shao</t>
    </rPh>
    <rPh sb="19" eb="20">
      <t>dan shi</t>
    </rPh>
    <rPh sb="22" eb="23">
      <t>mei</t>
    </rPh>
    <rPh sb="28" eb="29">
      <t>yuan cau liao</t>
    </rPh>
    <rPh sb="33" eb="34">
      <t>sheng chan</t>
    </rPh>
    <rPh sb="35" eb="36">
      <t>huan man</t>
    </rPh>
    <rPh sb="37" eb="38">
      <t>zeng jia</t>
    </rPh>
    <rPh sb="39" eb="40">
      <t>le</t>
    </rPh>
    <rPh sb="41" eb="42">
      <t>cont ye ren yuan</t>
    </rPh>
    <rPh sb="45" eb="46">
      <t>xia jiang</t>
    </rPh>
    <rPh sb="48" eb="49">
      <t>dan shi</t>
    </rPh>
    <rPh sb="50" eb="51">
      <t>yuan cai liang ku cun</t>
    </rPh>
    <rPh sb="55" eb="56">
      <t>zeng jia</t>
    </rPh>
    <rPh sb="58" eb="59">
      <t>yuan cai liao jia ge shang sheng</t>
    </rPh>
    <phoneticPr fontId="2" type="noConversion"/>
  </si>
  <si>
    <t>国内订单减少，
产品库存下降了，而且打算增加采购来生产，从业人员不变了，原材量库存下降了，原材料价格上升了</t>
    <rPh sb="0" eb="1">
      <t>guo nei ding dan</t>
    </rPh>
    <rPh sb="4" eb="5">
      <t>jian shao</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xia jiang</t>
    </rPh>
    <rPh sb="43" eb="44">
      <t>le</t>
    </rPh>
    <rPh sb="45" eb="46">
      <t>yuan cai liao</t>
    </rPh>
    <rPh sb="48" eb="49">
      <t>jia ge</t>
    </rPh>
    <rPh sb="50" eb="51">
      <t>shang sheng</t>
    </rPh>
    <phoneticPr fontId="2" type="noConversion"/>
  </si>
  <si>
    <t>汽车制造业产量（2019）</t>
    <rPh sb="0" eb="1">
      <t>qi che</t>
    </rPh>
    <rPh sb="5" eb="6">
      <t>chan liang n</t>
    </rPh>
    <phoneticPr fontId="2" type="noConversion"/>
  </si>
  <si>
    <t>汽车制造业销量（2019）</t>
    <rPh sb="0" eb="1">
      <t>qi che</t>
    </rPh>
    <rPh sb="5" eb="6">
      <t>xiao</t>
    </rPh>
    <phoneticPr fontId="2" type="noConversion"/>
  </si>
  <si>
    <t>CPI-通货膨胀（2019）</t>
    <rPh sb="4" eb="5">
      <t>tong huo peng zhang</t>
    </rPh>
    <phoneticPr fontId="2" type="noConversion"/>
  </si>
  <si>
    <t>PPI-CPI领先指标（2019）</t>
    <phoneticPr fontId="2" type="noConversion"/>
  </si>
  <si>
    <t>对于上游企业来说（上游工业品是上游企业的产出），PPI-CPI的扩大意味着利润增加，
而对于下游企业来说（上游工业品是下游企业的原材料），PPI-CPI的扩大意味着利润减少，
根据郭于玮（兴业研究）的研究表明，PPI与CPI剪刀差收窄后可能触发货币政策调整，
进而带来无风险利率的下行和风险偏好的改善，从而使得PPI与CPI剪刀差对利率和信用利差具有一定的领先型</t>
    <phoneticPr fontId="2" type="noConversion"/>
  </si>
  <si>
    <t>PPI-CPI（2019）</t>
    <phoneticPr fontId="2" type="noConversion"/>
  </si>
  <si>
    <t>USDCNH（汇率）</t>
    <rPh sb="7" eb="8">
      <t>hui lü</t>
    </rPh>
    <phoneticPr fontId="2" type="noConversion"/>
  </si>
  <si>
    <t>金融机构存款准备金率（信贷）</t>
    <rPh sb="0" eb="1">
      <t>jin rong ji gou cun kuan zhun bei jin l</t>
    </rPh>
    <rPh sb="11" eb="12">
      <t>xin dai</t>
    </rPh>
    <phoneticPr fontId="2" type="noConversion"/>
  </si>
  <si>
    <t>存款准备金，是指金融机构为保证客户提取存款和资金清算需要而准备的在中央银行的存款，中央银行要求的存款准备金占其存款总额的比例就是存款准备金率。存款准备金制度设置的最初目的是出于风险控制角度考虑，为了确保商业银行在遇到突然大量提取银行存款时，能有相当充足的清偿能力。后来，存款准备金制度还成为国家调节经济的重要手段。如果存款准备金率提高，就意味着吸纳的存款能够放贷出去的越少，间接性的减少了货币的供应量，反之，则意味着能够放贷出去的钱变多，间接增加货币供应量。
可见存款准备金率的变化与沪深300指数的走势的关系并非确定的。多数情况下，存款准备金率的走势与股市走势相反，通过单独的存款准备金率变化是难以对股市走势做出判断的，但总的来说降准对A股市场是一个积极的信号。</t>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</si>
  <si>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</si>
  <si>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r>
      <t>M0（</t>
    </r>
    <r>
      <rPr>
        <sz val="12"/>
        <color theme="1"/>
        <rFont val="宋体 (正文)"/>
        <family val="1"/>
        <charset val="134"/>
      </rPr>
      <t>流通中现金，即在银行体系以外流通的现金</t>
    </r>
    <r>
      <rPr>
        <sz val="12"/>
        <color theme="1"/>
        <rFont val="宋体"/>
        <family val="2"/>
        <charset val="134"/>
        <scheme val="minor"/>
      </rPr>
      <t>）-M0与消费变动密切相关，是最活跃的货币</t>
    </r>
    <phoneticPr fontId="2" type="noConversion"/>
  </si>
  <si>
    <t>M1（狭义货币供应量，即M0＋企事业单位活期存款）-M1反映居民和企业资金松紧变化，是经济周期波动的先行指标，主要反映经济中的显示购买力</t>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</si>
  <si>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</si>
  <si>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相比反应较慢的长期利率，Shibor:1M反映了中短端利率定价，又不会像隔夜或周度利率噪音较大，是一个合适的利率指标。当资金成本过高时，股票所需资金受到压制，市场资金供给降低，大概率下跌，反之上涨。当PMI上行时经济逐步增长，利率水平较高；当PMI下行时经济开始衰退，利率水平较低。</t>
    <phoneticPr fontId="2" type="noConversion"/>
  </si>
  <si>
    <t>shibor-1M（利率）</t>
    <rPh sb="10" eb="11">
      <t>li lü</t>
    </rPh>
    <phoneticPr fontId="2" type="noConversion"/>
  </si>
  <si>
    <t>国债10年-国债1个月到期收益率（货币：利率-期限利差）</t>
    <phoneticPr fontId="2" type="noConversion"/>
  </si>
  <si>
    <t>利率期限结构是指在某一时点上，不同期限资金的收益率与到期期限之间的关系。利率的期限结构反映了不同期限的资金供求关系。该指标与利率类似，但又不完全相同，期限利差指标反映的是相对利率，而利率指标反映的是绝对利率。如果国债利率近似代表无风险收益率的话，那么不同期限的国债利率，其实就代表的是相应期限的实际收益率和预期的通胀率。理论上，期限长的国债可以看成是滚动持有多个短期国债，但实际上，持有长债并不完全等价于持有短债的组合，投资者的偏好和债券的供需都会带来影响，因而长债比短债收益率又多隐含了一个期限溢价。长端利率的上行放缓甚至回落反映了对未来经济增速预期的降低，是市场对于一系列经济数据综合判断的结果，自然也就和未来的衰退相关；另外，曲线趋于扁平意味着金融机构进行借短放长的收益会降低，使得银行在信贷上趋紧，抑制经济进一步扩张，从而形成了股市的利空信号。</t>
    <phoneticPr fontId="2" type="noConversion"/>
  </si>
  <si>
    <t>AAA企业债-国债到期收益率:1个月（货币：利率-信用利差）</t>
    <phoneticPr fontId="2" type="noConversion"/>
  </si>
  <si>
    <t>信用利差是用以向投资者补偿基础资产违约风险的、高于无风险利率的利差。与期限利差类似，信用利差反映的也是相对利率。信用利差反映了对经济前景的预期，信用利差是总体经济状况的一个函数。信用利差在经济扩张期会下降，而在经济收缩期增加。这是因为在经济收缩期，投资者信心不足，更愿投资于高信用等级债券以回避风险，而公司由于收入下降，现金流减少，为了吸引投资者购买公司债券，发行人必须提供较高的利率，因此会产生较高的信用利差。相反，在经济扩张时期，投资者对未来发展有信心，愿意投资于信用等级较低的证券以获得较高的收益，而公司收入增加，现金流充裕，不需要通过很高的成本来吸引来自外部资金，这样就导致较低的信用利差。鉴于此，可以将信用利差作为预测经济周期活动的一个指标。</t>
    <phoneticPr fontId="2" type="noConversion"/>
  </si>
  <si>
    <t>8，2</t>
    <phoneticPr fontId="2" type="noConversion"/>
  </si>
  <si>
    <r>
      <rPr>
        <sz val="12"/>
        <color rgb="FF333333"/>
        <rFont val="宋体 (正文)"/>
      </rPr>
      <t>计算机、通信和其他电子设备制造业增加值</t>
    </r>
    <r>
      <rPr>
        <sz val="12"/>
        <color rgb="FF333333"/>
        <rFont val="宋体"/>
        <family val="3"/>
        <charset val="134"/>
        <scheme val="minor"/>
      </rPr>
      <t>（2019）</t>
    </r>
    <rPh sb="16" eb="17">
      <t>zeng jia zhi</t>
    </rPh>
    <phoneticPr fontId="2" type="noConversion"/>
  </si>
  <si>
    <t>汽车制造业增加值（2019）</t>
    <rPh sb="0" eb="1">
      <t>qi che</t>
    </rPh>
    <rPh sb="5" eb="6">
      <t>zeng jia zhi</t>
    </rPh>
    <phoneticPr fontId="2" type="noConversion"/>
  </si>
  <si>
    <r>
      <rPr>
        <sz val="12"/>
        <color rgb="FF333333"/>
        <rFont val="宋体 (正文)"/>
      </rPr>
      <t>化学原料和化学制品制造业</t>
    </r>
    <r>
      <rPr>
        <sz val="12"/>
        <color rgb="FF333333"/>
        <rFont val="宋体"/>
        <family val="3"/>
        <charset val="134"/>
        <scheme val="minor"/>
      </rPr>
      <t>（2019）</t>
    </r>
    <phoneticPr fontId="2" type="noConversion"/>
  </si>
  <si>
    <r>
      <rPr>
        <sz val="12"/>
        <color rgb="FF333333"/>
        <rFont val="宋体 (正文)"/>
      </rPr>
      <t>化学原料和化学制品制造业增加值</t>
    </r>
    <r>
      <rPr>
        <sz val="12"/>
        <color rgb="FF333333"/>
        <rFont val="宋体"/>
        <family val="3"/>
        <charset val="134"/>
        <scheme val="minor"/>
      </rPr>
      <t>（2019）</t>
    </r>
    <rPh sb="12" eb="13">
      <t>zeng jia zhi</t>
    </rPh>
    <phoneticPr fontId="2" type="noConversion"/>
  </si>
  <si>
    <t>黑色金属冶炼和压延加工业增加值（2019）</t>
    <rPh sb="12" eb="13">
      <t>zeng jia zhi</t>
    </rPh>
    <phoneticPr fontId="2" type="noConversion"/>
  </si>
  <si>
    <t>有色金属冶炼和压延加工业增加值（2019）</t>
    <rPh sb="12" eb="13">
      <t>zeng jia zhi</t>
    </rPh>
    <phoneticPr fontId="2" type="noConversion"/>
  </si>
  <si>
    <t>非金属矿物制品业增加值（2019）</t>
    <rPh sb="8" eb="9">
      <t>zeng jia zhi</t>
    </rPh>
    <phoneticPr fontId="2" type="noConversion"/>
  </si>
  <si>
    <t>专用设备制造业增加值（2019）</t>
    <rPh sb="7" eb="8">
      <t>zeng jia zhi</t>
    </rPh>
    <phoneticPr fontId="2" type="noConversion"/>
  </si>
  <si>
    <t>农副食品加工业增加值（2019）</t>
    <rPh sb="7" eb="8">
      <t>zeng jia zhi</t>
    </rPh>
    <phoneticPr fontId="2" type="noConversion"/>
  </si>
  <si>
    <t>食品制造业增加值（2019）</t>
    <rPh sb="5" eb="6">
      <t>zeng jia zhi</t>
    </rPh>
    <phoneticPr fontId="2" type="noConversion"/>
  </si>
  <si>
    <t>医药制造业增加值（2019）</t>
    <rPh sb="5" eb="6">
      <t>zeng jia zhi</t>
    </rPh>
    <phoneticPr fontId="2" type="noConversion"/>
  </si>
  <si>
    <r>
      <rPr>
        <sz val="12"/>
        <color rgb="FF333333"/>
        <rFont val="宋体 (正文)"/>
      </rPr>
      <t>医药制造业</t>
    </r>
    <r>
      <rPr>
        <sz val="12"/>
        <color rgb="FF333333"/>
        <rFont val="宋体"/>
        <family val="3"/>
        <charset val="134"/>
        <scheme val="minor"/>
      </rPr>
      <t>（2019）</t>
    </r>
    <phoneticPr fontId="2" type="noConversion"/>
  </si>
  <si>
    <t>电力、热力生产和供应业增加值（2019）</t>
    <rPh sb="11" eb="12">
      <t>zeng jia zhi</t>
    </rPh>
    <phoneticPr fontId="2" type="noConversion"/>
  </si>
  <si>
    <t>电气机械和器材制造业增加值（2019）</t>
    <rPh sb="10" eb="11">
      <t>zeng jia zhi</t>
    </rPh>
    <phoneticPr fontId="2" type="noConversion"/>
  </si>
  <si>
    <t>纺织业增加值（2019）</t>
    <rPh sb="0" eb="1">
      <t>fang zhi ye</t>
    </rPh>
    <rPh sb="3" eb="4">
      <t>zeng jia zhi</t>
    </rPh>
    <phoneticPr fontId="2" type="noConversion"/>
  </si>
  <si>
    <t>行业固投增速（2019同比2018）</t>
    <rPh sb="0" eb="1">
      <t>hang ye</t>
    </rPh>
    <rPh sb="2" eb="3">
      <t>gu tou</t>
    </rPh>
    <rPh sb="11" eb="12">
      <t>tong bi</t>
    </rPh>
    <phoneticPr fontId="2" type="noConversion"/>
  </si>
  <si>
    <t>农副食品加工业固投增速（2019）</t>
    <rPh sb="9" eb="10">
      <t>zeng su</t>
    </rPh>
    <phoneticPr fontId="2" type="noConversion"/>
  </si>
  <si>
    <t>食品制造业固投增速（2019）</t>
    <rPh sb="7" eb="8">
      <t>zeng su</t>
    </rPh>
    <phoneticPr fontId="2" type="noConversion"/>
  </si>
  <si>
    <t>纺织业固投增速（2019）</t>
    <rPh sb="5" eb="6">
      <t>zeng su</t>
    </rPh>
    <phoneticPr fontId="2" type="noConversion"/>
  </si>
  <si>
    <t>医药制造业固投增速（2019）</t>
    <rPh sb="7" eb="8">
      <t>zeng su</t>
    </rPh>
    <phoneticPr fontId="2" type="noConversion"/>
  </si>
  <si>
    <t>有色金属冶炼和压延加工业固投增速（2019）</t>
    <rPh sb="14" eb="15">
      <t>zeng su</t>
    </rPh>
    <phoneticPr fontId="2" type="noConversion"/>
  </si>
  <si>
    <t>金属制品业固投增速（2019）</t>
    <rPh sb="7" eb="8">
      <t>zeng su</t>
    </rPh>
    <phoneticPr fontId="2" type="noConversion"/>
  </si>
  <si>
    <t>通用设备制造业固投增速（2019）</t>
    <rPh sb="9" eb="10">
      <t>zeng su</t>
    </rPh>
    <phoneticPr fontId="2" type="noConversion"/>
  </si>
  <si>
    <t>专用设备制造业固投增速（2019）</t>
    <rPh sb="9" eb="10">
      <t>zeng su</t>
    </rPh>
    <phoneticPr fontId="2" type="noConversion"/>
  </si>
  <si>
    <t>汽车制造业固投增速（2019）</t>
    <rPh sb="7" eb="8">
      <t>zeng su</t>
    </rPh>
    <phoneticPr fontId="2" type="noConversion"/>
  </si>
  <si>
    <t>铁路、船舶、航空航天和其他运输设备制造业固投增速（2019）</t>
    <rPh sb="22" eb="23">
      <t>zeng su</t>
    </rPh>
    <phoneticPr fontId="2" type="noConversion"/>
  </si>
  <si>
    <t>电气机械和器材制造业固投增速（2019）</t>
    <rPh sb="12" eb="13">
      <t>zeng su</t>
    </rPh>
    <phoneticPr fontId="2" type="noConversion"/>
  </si>
  <si>
    <t>计算机、通信和其他电子设备制造业固投增速（2019）</t>
    <rPh sb="18" eb="19">
      <t>zeng su</t>
    </rPh>
    <phoneticPr fontId="2" type="noConversion"/>
  </si>
  <si>
    <t>电力、热力、燃气及水生产和供应业固投增速（2019）</t>
    <rPh sb="18" eb="19">
      <t>zeng su</t>
    </rPh>
    <phoneticPr fontId="2" type="noConversion"/>
  </si>
  <si>
    <t>文化、体育和娱乐业固投增速（2019）</t>
    <rPh sb="11" eb="12">
      <t>zeng su</t>
    </rPh>
    <phoneticPr fontId="2" type="noConversion"/>
  </si>
  <si>
    <t>基础设施投资固投增速（2019）</t>
    <rPh sb="8" eb="9">
      <t>zeng su</t>
    </rPh>
    <phoneticPr fontId="2" type="noConversion"/>
  </si>
  <si>
    <t>规模以上工业增加值（2019同比2018）</t>
    <rPh sb="14" eb="15">
      <t>tong bi</t>
    </rPh>
    <phoneticPr fontId="2" type="noConversion"/>
  </si>
  <si>
    <t>铁路、船舶、航空航天和其他运输设备制造业增加值（2019）</t>
    <phoneticPr fontId="2" type="noConversion"/>
  </si>
  <si>
    <t>通用设备制造业增加值（2019）</t>
    <rPh sb="0" eb="1">
      <t>tong</t>
    </rPh>
    <rPh sb="7" eb="8">
      <t>zeng jia zhi</t>
    </rPh>
    <phoneticPr fontId="2" type="noConversion"/>
  </si>
  <si>
    <t>金属制品业制造业增加值（2019）</t>
    <rPh sb="0" eb="1">
      <t>jin shu zhi pin ye</t>
    </rPh>
    <rPh sb="8" eb="9">
      <t>zeng jia zhi</t>
    </rPh>
    <phoneticPr fontId="2" type="noConversion"/>
  </si>
  <si>
    <t>当月公布时的成交量，很大程度上决定了接下去一段时间的股价顶部和底部。
数据利好时，开盘买入，如果成交量相对之前放大，可结合股票估值成交量和MACD慢慢卖出。如果成交量没有放大，可以考虑隔天卖出再慢慢接回。
数据利空时，开盘卖出，如果成交量有放大，可结合MACD进行买入。如果成交量没有放大，可以考虑隔天卖出再慢慢接回。
当数据呈现箱体运动时，可以根据MACD进行买卖（日K，周K，月K背离）。</t>
    <rPh sb="0" eb="1">
      <t>dang yur gong bu</t>
    </rPh>
    <rPh sb="4" eb="5">
      <t>shi</t>
    </rPh>
    <rPh sb="5" eb="6">
      <t>de</t>
    </rPh>
    <rPh sb="6" eb="7">
      <t>cheng jiao liang</t>
    </rPh>
    <rPh sb="10" eb="11">
      <t>hen da cheng du shang</t>
    </rPh>
    <rPh sb="15" eb="16">
      <t>jue ding</t>
    </rPh>
    <rPh sb="17" eb="18">
      <t>le</t>
    </rPh>
    <rPh sb="18" eb="19">
      <t>jie xia qu yi duan shi jian</t>
    </rPh>
    <rPh sb="25" eb="26">
      <t>de</t>
    </rPh>
    <rPh sb="26" eb="27">
      <t>gu jia</t>
    </rPh>
    <rPh sb="28" eb="29">
      <t>dign bu</t>
    </rPh>
    <rPh sb="30" eb="31">
      <t>he</t>
    </rPh>
    <rPh sb="31" eb="32">
      <t>di bu</t>
    </rPh>
    <rPh sb="61" eb="62">
      <t>gu p</t>
    </rPh>
    <rPh sb="63" eb="64">
      <t>gu zhi</t>
    </rPh>
    <phoneticPr fontId="2" type="noConversion"/>
  </si>
  <si>
    <t>与市场预期一致</t>
    <rPh sb="5" eb="6">
      <t>yi zhi</t>
    </rPh>
    <phoneticPr fontId="2" type="noConversion"/>
  </si>
  <si>
    <t>积极信号</t>
    <rPh sb="0" eb="1">
      <t>ji ji xin hao</t>
    </rPh>
    <phoneticPr fontId="2" type="noConversion"/>
  </si>
  <si>
    <t>M2（广义货币供应量，即M1＋企事业单位定期存款＋居民储蓄存款）-M2流动性偏弱，反映的是社会总需求的变化和未来通货膨胀的压力状况，通常所说的货币供应量，不仅反映显示购买力，还反映潜在购买力</t>
    <phoneticPr fontId="2" type="noConversion"/>
  </si>
  <si>
    <r>
      <t>对于</t>
    </r>
    <r>
      <rPr>
        <sz val="12"/>
        <color rgb="FFFF0000"/>
        <rFont val="宋体 (正文)"/>
      </rPr>
      <t>发达经济体</t>
    </r>
    <r>
      <rPr>
        <sz val="12"/>
        <color theme="1"/>
        <rFont val="宋体"/>
        <family val="2"/>
        <charset val="134"/>
        <scheme val="minor"/>
      </rPr>
      <t>而言，汇率与股市在多数情况下呈现出了负相关的关系。一般而言，汇率贬值反而容易刺激股市上涨。这背后的逻辑可能在于，发达市场大多数企业有大量的海外收入，汇率贬值有利于企业盈利改善，此外这些市场大多存在大量的海外投资者参与，汇率贬值意味着外币可以获取更多的本币资产，有利于吸引海外资金继续进入本国市场。
对于多数</t>
    </r>
    <r>
      <rPr>
        <sz val="12"/>
        <color rgb="FFFF0000"/>
        <rFont val="宋体 (正文)"/>
      </rPr>
      <t>新兴经济体</t>
    </r>
    <r>
      <rPr>
        <sz val="12"/>
        <color theme="1"/>
        <rFont val="宋体"/>
        <family val="2"/>
        <charset val="134"/>
        <scheme val="minor"/>
      </rPr>
      <t>而言，汇率波动往往与国内资产价格呈现出正相关关系，也就是说汇率贬值对于国内股市而言并不是一件好事。对于海外投资者而言，新兴经济体股市往往是一种风险更高的资产，因此对其投资意愿在一定程度上取决于其国内经济与金融体系的稳健性，而汇率预期也体现出了市场对于经济体稳健性的预期。如果国内外经济条件发生变化，导致汇率贬值，一方面会影响市场风险偏好，另一方面可能引起货币政策的收紧，造成国内证券市场的下跌。</t>
    </r>
    <phoneticPr fontId="2" type="noConversion"/>
  </si>
  <si>
    <t>营业收入</t>
    <rPh sb="0" eb="1">
      <t>ying ye shou ru</t>
    </rPh>
    <phoneticPr fontId="2" type="noConversion"/>
  </si>
  <si>
    <t>业务量</t>
    <rPh sb="0" eb="1">
      <t>y w liang</t>
    </rPh>
    <phoneticPr fontId="2" type="noConversion"/>
  </si>
  <si>
    <t>单票收入</t>
    <rPh sb="0" eb="1">
      <t>dan</t>
    </rPh>
    <phoneticPr fontId="2" type="noConversion"/>
  </si>
  <si>
    <t>2月</t>
    <rPh sb="1" eb="2">
      <t>yue</t>
    </rPh>
    <phoneticPr fontId="2" type="noConversion"/>
  </si>
  <si>
    <t>3月</t>
    <rPh sb="1" eb="2">
      <t>yue</t>
    </rPh>
    <phoneticPr fontId="2" type="noConversion"/>
  </si>
  <si>
    <t>4月</t>
    <rPh sb="1" eb="2">
      <t>yue</t>
    </rPh>
    <phoneticPr fontId="2" type="noConversion"/>
  </si>
  <si>
    <t>5月</t>
    <rPh sb="1" eb="2">
      <t>yue</t>
    </rPh>
    <phoneticPr fontId="2" type="noConversion"/>
  </si>
  <si>
    <t>6月</t>
    <rPh sb="1" eb="2">
      <t>yue</t>
    </rPh>
    <phoneticPr fontId="2" type="noConversion"/>
  </si>
  <si>
    <t>7月</t>
    <rPh sb="1" eb="2">
      <t>yue</t>
    </rPh>
    <phoneticPr fontId="2" type="noConversion"/>
  </si>
  <si>
    <t>8月</t>
    <rPh sb="1" eb="2">
      <t>yue</t>
    </rPh>
    <phoneticPr fontId="2" type="noConversion"/>
  </si>
  <si>
    <t>9月</t>
    <rPh sb="1" eb="2">
      <t>yue</t>
    </rPh>
    <phoneticPr fontId="2" type="noConversion"/>
  </si>
  <si>
    <t>10月</t>
    <rPh sb="2" eb="3">
      <t>yue</t>
    </rPh>
    <phoneticPr fontId="2" type="noConversion"/>
  </si>
  <si>
    <t>11月</t>
    <rPh sb="2" eb="3">
      <t>yue</t>
    </rPh>
    <phoneticPr fontId="2" type="noConversion"/>
  </si>
  <si>
    <t>12月</t>
    <rPh sb="2" eb="3">
      <t>yue</t>
    </rPh>
    <phoneticPr fontId="2" type="noConversion"/>
  </si>
  <si>
    <t>顺丰控股</t>
    <rPh sb="0" eb="1">
      <t>shun feng kong gu</t>
    </rPh>
    <phoneticPr fontId="2" type="noConversion"/>
  </si>
  <si>
    <t>韵达快递</t>
    <rPh sb="0" eb="1">
      <t>yun da kuai di</t>
    </rPh>
    <phoneticPr fontId="2" type="noConversion"/>
  </si>
  <si>
    <t>整体情况</t>
    <rPh sb="0" eb="1">
      <t>zheng ti</t>
    </rPh>
    <rPh sb="2" eb="3">
      <t>qing k</t>
    </rPh>
    <phoneticPr fontId="2" type="noConversion"/>
  </si>
  <si>
    <t>圆通快递</t>
    <rPh sb="0" eb="1">
      <t>yuan tong</t>
    </rPh>
    <phoneticPr fontId="2" type="noConversion"/>
  </si>
  <si>
    <t>申通快递</t>
    <rPh sb="0" eb="1">
      <t>shen tong</t>
    </rPh>
    <phoneticPr fontId="2" type="noConversion"/>
  </si>
  <si>
    <t>春秋航空</t>
    <rPh sb="0" eb="1">
      <t>chun qiu hang k</t>
    </rPh>
    <phoneticPr fontId="2" type="noConversion"/>
  </si>
  <si>
    <t>票价</t>
    <rPh sb="0" eb="1">
      <t>piao jia</t>
    </rPh>
    <phoneticPr fontId="2" type="noConversion"/>
  </si>
  <si>
    <t>客座率</t>
    <rPh sb="0" eb="1">
      <t>ke zuo l</t>
    </rPh>
    <phoneticPr fontId="2" type="noConversion"/>
  </si>
  <si>
    <t>中国国航</t>
    <rPh sb="0" eb="1">
      <t>zhong guo guo hang</t>
    </rPh>
    <phoneticPr fontId="2" type="noConversion"/>
  </si>
  <si>
    <t>吉祥航空</t>
    <rPh sb="0" eb="1">
      <t>ji xiang hang kong</t>
    </rPh>
    <phoneticPr fontId="2" type="noConversion"/>
  </si>
  <si>
    <t>广汽汽车</t>
    <rPh sb="0" eb="1">
      <t>guang qi qi che</t>
    </rPh>
    <phoneticPr fontId="2" type="noConversion"/>
  </si>
  <si>
    <t>乘用车产量</t>
    <rPh sb="0" eb="1">
      <t>cheng yong che</t>
    </rPh>
    <rPh sb="3" eb="4">
      <t>chan liang</t>
    </rPh>
    <phoneticPr fontId="2" type="noConversion"/>
  </si>
  <si>
    <t>乘用车销量</t>
    <rPh sb="0" eb="1">
      <t>cheng yong che</t>
    </rPh>
    <rPh sb="3" eb="4">
      <t>xiao</t>
    </rPh>
    <phoneticPr fontId="2" type="noConversion"/>
  </si>
  <si>
    <t>商用车产量</t>
    <rPh sb="0" eb="1">
      <t>shang yong che</t>
    </rPh>
    <rPh sb="3" eb="4">
      <t>cjan liang</t>
    </rPh>
    <phoneticPr fontId="2" type="noConversion"/>
  </si>
  <si>
    <t>商用车销量</t>
    <rPh sb="0" eb="1">
      <t>shang yong che</t>
    </rPh>
    <rPh sb="3" eb="4">
      <t>xiao</t>
    </rPh>
    <phoneticPr fontId="2" type="noConversion"/>
  </si>
  <si>
    <t>汽车产量</t>
    <rPh sb="0" eb="1">
      <t>qi che</t>
    </rPh>
    <rPh sb="2" eb="3">
      <t>chan liang</t>
    </rPh>
    <phoneticPr fontId="2" type="noConversion"/>
  </si>
  <si>
    <t>汽车销量</t>
    <rPh sb="0" eb="1">
      <t>qi che</t>
    </rPh>
    <rPh sb="2" eb="3">
      <t>xiao</t>
    </rPh>
    <phoneticPr fontId="2" type="noConversion"/>
  </si>
  <si>
    <t>比亚迪</t>
    <rPh sb="0" eb="1">
      <t>bi ya di</t>
    </rPh>
    <phoneticPr fontId="2" type="noConversion"/>
  </si>
  <si>
    <t>新能源车</t>
    <rPh sb="0" eb="1">
      <t>xin neng yuan che</t>
    </rPh>
    <phoneticPr fontId="2" type="noConversion"/>
  </si>
  <si>
    <t>燃油汽车</t>
    <rPh sb="0" eb="1">
      <t>ran you qi che</t>
    </rPh>
    <phoneticPr fontId="2" type="noConversion"/>
  </si>
  <si>
    <t>汽车销量</t>
    <rPh sb="2" eb="3">
      <t>xiao liang</t>
    </rPh>
    <phoneticPr fontId="2" type="noConversion"/>
  </si>
  <si>
    <t>长安汽车</t>
    <rPh sb="0" eb="1">
      <t>chang an qi che</t>
    </rPh>
    <phoneticPr fontId="2" type="noConversion"/>
  </si>
  <si>
    <t>汽车产量</t>
    <rPh sb="0" eb="1">
      <t>qi che</t>
    </rPh>
    <rPh sb="2" eb="3">
      <t>chan</t>
    </rPh>
    <phoneticPr fontId="2" type="noConversion"/>
  </si>
  <si>
    <t>长城汽车</t>
    <rPh sb="0" eb="1">
      <t>chang cheng qi c</t>
    </rPh>
    <phoneticPr fontId="2" type="noConversion"/>
  </si>
  <si>
    <t>上汽集团</t>
    <rPh sb="0" eb="1">
      <t>shang qi</t>
    </rPh>
    <phoneticPr fontId="2" type="noConversion"/>
  </si>
  <si>
    <t>东风汽车</t>
    <rPh sb="0" eb="1">
      <t>dong feng qi che</t>
    </rPh>
    <phoneticPr fontId="2" type="noConversion"/>
  </si>
  <si>
    <t>江玲汽车</t>
    <rPh sb="0" eb="1">
      <t>jiang ling</t>
    </rPh>
    <rPh sb="1" eb="2">
      <t>ling</t>
    </rPh>
    <phoneticPr fontId="2" type="noConversion"/>
  </si>
  <si>
    <t>江淮汽车</t>
    <rPh sb="0" eb="1">
      <t>jiang huai</t>
    </rPh>
    <phoneticPr fontId="2" type="noConversion"/>
  </si>
  <si>
    <t>吉利汽车</t>
    <rPh sb="0" eb="1">
      <t>ji li qi che</t>
    </rPh>
    <phoneticPr fontId="2" type="noConversion"/>
  </si>
  <si>
    <t>汽车零部件</t>
    <rPh sb="0" eb="1">
      <t>qi che ling bu jian</t>
    </rPh>
    <phoneticPr fontId="2" type="noConversion"/>
  </si>
  <si>
    <t>华域汽车</t>
    <rPh sb="0" eb="1">
      <t>hua yu qi che</t>
    </rPh>
    <phoneticPr fontId="2" type="noConversion"/>
  </si>
  <si>
    <t>福耀玻璃</t>
    <rPh sb="1" eb="2">
      <t>yao</t>
    </rPh>
    <rPh sb="2" eb="3">
      <t>bo li</t>
    </rPh>
    <phoneticPr fontId="2" type="noConversion"/>
  </si>
  <si>
    <t>均胜电子</t>
    <rPh sb="0" eb="1">
      <t>jun sheng dian zi</t>
    </rPh>
    <phoneticPr fontId="2" type="noConversion"/>
  </si>
  <si>
    <t>星宇股份</t>
    <rPh sb="0" eb="1">
      <t>xing yu gu fen</t>
    </rPh>
    <phoneticPr fontId="2" type="noConversion"/>
  </si>
  <si>
    <t>北汽蓝谷</t>
    <rPh sb="2" eb="3">
      <t>lan</t>
    </rPh>
    <phoneticPr fontId="2" type="noConversion"/>
  </si>
  <si>
    <t>拓普集团</t>
    <rPh sb="0" eb="1">
      <t>tuo</t>
    </rPh>
    <phoneticPr fontId="2" type="noConversion"/>
  </si>
  <si>
    <t>旭升股份</t>
    <phoneticPr fontId="2" type="noConversion"/>
  </si>
  <si>
    <t>德赛西威</t>
    <rPh sb="0" eb="1">
      <t>de sai xi wei</t>
    </rPh>
    <phoneticPr fontId="2" type="noConversion"/>
  </si>
  <si>
    <t>万向钱潮</t>
    <rPh sb="0" eb="1">
      <t>wan xiang qian chao</t>
    </rPh>
    <phoneticPr fontId="2" type="noConversion"/>
  </si>
  <si>
    <t>威孚高科</t>
    <rPh sb="0" eb="1">
      <t>wei fu gao ke</t>
    </rPh>
    <phoneticPr fontId="2" type="noConversion"/>
  </si>
  <si>
    <t>万丰奥威</t>
    <rPh sb="0" eb="1">
      <t>wan feng ao wei</t>
    </rPh>
    <phoneticPr fontId="2" type="noConversion"/>
  </si>
  <si>
    <t>岱美股份</t>
    <phoneticPr fontId="2" type="noConversion"/>
  </si>
  <si>
    <t>万里扬</t>
    <rPh sb="0" eb="1">
      <t>wan li yang</t>
    </rPh>
    <phoneticPr fontId="2" type="noConversion"/>
  </si>
  <si>
    <t>中鼎股份</t>
    <rPh sb="0" eb="1">
      <t>zhong ding gu fen</t>
    </rPh>
    <phoneticPr fontId="2" type="noConversion"/>
  </si>
  <si>
    <t>艾克迪</t>
    <rPh sb="0" eb="1">
      <t>ai ke di</t>
    </rPh>
    <phoneticPr fontId="2" type="noConversion"/>
  </si>
  <si>
    <t>伯特利</t>
    <rPh sb="0" eb="1">
      <t>bo te li</t>
    </rPh>
    <phoneticPr fontId="2" type="noConversion"/>
  </si>
  <si>
    <t>宁波华翔</t>
    <rPh sb="0" eb="1">
      <t>ning bo hua xiang</t>
    </rPh>
    <phoneticPr fontId="2" type="noConversion"/>
  </si>
  <si>
    <t>万得全A成交额</t>
    <rPh sb="0" eb="1">
      <t>wan de quan</t>
    </rPh>
    <rPh sb="4" eb="5">
      <t>cheng jiao e</t>
    </rPh>
    <phoneticPr fontId="2" type="noConversion"/>
  </si>
  <si>
    <t>万得全A成交量</t>
    <rPh sb="0" eb="1">
      <t>wan de quan</t>
    </rPh>
    <rPh sb="4" eb="5">
      <t>cheng jiao e</t>
    </rPh>
    <rPh sb="6" eb="7">
      <t>liang</t>
    </rPh>
    <phoneticPr fontId="2" type="noConversion"/>
  </si>
  <si>
    <t>万得全A成交均价</t>
    <rPh sb="0" eb="1">
      <t>wan de quan</t>
    </rPh>
    <rPh sb="4" eb="5">
      <t>cheng jiao e</t>
    </rPh>
    <rPh sb="6" eb="7">
      <t>jun jia</t>
    </rPh>
    <phoneticPr fontId="2" type="noConversion"/>
  </si>
  <si>
    <t>1号</t>
    <rPh sb="1" eb="2">
      <t>hao</t>
    </rPh>
    <phoneticPr fontId="2" type="noConversion"/>
  </si>
  <si>
    <t>2号</t>
    <rPh sb="1" eb="2">
      <t>hao</t>
    </rPh>
    <phoneticPr fontId="2" type="noConversion"/>
  </si>
  <si>
    <t>3号</t>
    <rPh sb="1" eb="2">
      <t>hao</t>
    </rPh>
    <phoneticPr fontId="2" type="noConversion"/>
  </si>
  <si>
    <t>4号</t>
    <rPh sb="1" eb="2">
      <t>hao</t>
    </rPh>
    <phoneticPr fontId="2" type="noConversion"/>
  </si>
  <si>
    <t>5号</t>
    <rPh sb="1" eb="2">
      <t>hao</t>
    </rPh>
    <phoneticPr fontId="2" type="noConversion"/>
  </si>
  <si>
    <t>6号</t>
    <rPh sb="1" eb="2">
      <t>hao</t>
    </rPh>
    <phoneticPr fontId="2" type="noConversion"/>
  </si>
  <si>
    <t>7号</t>
    <rPh sb="1" eb="2">
      <t>hao</t>
    </rPh>
    <phoneticPr fontId="2" type="noConversion"/>
  </si>
  <si>
    <t>8号</t>
    <rPh sb="1" eb="2">
      <t>hao</t>
    </rPh>
    <phoneticPr fontId="2" type="noConversion"/>
  </si>
  <si>
    <t>9号</t>
    <rPh sb="1" eb="2">
      <t>hao</t>
    </rPh>
    <phoneticPr fontId="2" type="noConversion"/>
  </si>
  <si>
    <t>10号</t>
    <rPh sb="2" eb="3">
      <t>hao</t>
    </rPh>
    <phoneticPr fontId="2" type="noConversion"/>
  </si>
  <si>
    <t>11号</t>
    <rPh sb="2" eb="3">
      <t>hao</t>
    </rPh>
    <phoneticPr fontId="2" type="noConversion"/>
  </si>
  <si>
    <t>12号</t>
    <rPh sb="2" eb="3">
      <t>hao</t>
    </rPh>
    <phoneticPr fontId="2" type="noConversion"/>
  </si>
  <si>
    <t>13号</t>
    <rPh sb="2" eb="3">
      <t>hao</t>
    </rPh>
    <phoneticPr fontId="2" type="noConversion"/>
  </si>
  <si>
    <t>14号</t>
    <rPh sb="2" eb="3">
      <t>hao</t>
    </rPh>
    <phoneticPr fontId="2" type="noConversion"/>
  </si>
  <si>
    <t>15号</t>
    <rPh sb="2" eb="3">
      <t>hao</t>
    </rPh>
    <phoneticPr fontId="2" type="noConversion"/>
  </si>
  <si>
    <t>时间（2020年1月）</t>
    <rPh sb="0" eb="1">
      <t>shi jian</t>
    </rPh>
    <rPh sb="7" eb="8">
      <t>nian</t>
    </rPh>
    <rPh sb="9" eb="10">
      <t>yue</t>
    </rPh>
    <phoneticPr fontId="2" type="noConversion"/>
  </si>
  <si>
    <t>16号</t>
    <rPh sb="2" eb="3">
      <t>hao</t>
    </rPh>
    <phoneticPr fontId="2" type="noConversion"/>
  </si>
  <si>
    <t>17号</t>
    <rPh sb="2" eb="3">
      <t>hao</t>
    </rPh>
    <phoneticPr fontId="2" type="noConversion"/>
  </si>
  <si>
    <t>18号</t>
    <rPh sb="2" eb="3">
      <t>hao</t>
    </rPh>
    <phoneticPr fontId="2" type="noConversion"/>
  </si>
  <si>
    <t>19号</t>
    <rPh sb="2" eb="3">
      <t>hao</t>
    </rPh>
    <phoneticPr fontId="2" type="noConversion"/>
  </si>
  <si>
    <t>20号</t>
    <rPh sb="2" eb="3">
      <t>hao</t>
    </rPh>
    <phoneticPr fontId="2" type="noConversion"/>
  </si>
  <si>
    <t>21号</t>
    <rPh sb="2" eb="3">
      <t>hao</t>
    </rPh>
    <phoneticPr fontId="2" type="noConversion"/>
  </si>
  <si>
    <t>22号</t>
    <rPh sb="2" eb="3">
      <t>hao</t>
    </rPh>
    <phoneticPr fontId="2" type="noConversion"/>
  </si>
  <si>
    <t>23号</t>
    <rPh sb="2" eb="3">
      <t>hao</t>
    </rPh>
    <phoneticPr fontId="2" type="noConversion"/>
  </si>
  <si>
    <t>24号</t>
    <rPh sb="2" eb="3">
      <t>hao</t>
    </rPh>
    <phoneticPr fontId="2" type="noConversion"/>
  </si>
  <si>
    <t>25号</t>
    <rPh sb="2" eb="3">
      <t>hao</t>
    </rPh>
    <phoneticPr fontId="2" type="noConversion"/>
  </si>
  <si>
    <t>26号</t>
    <rPh sb="2" eb="3">
      <t>hao</t>
    </rPh>
    <phoneticPr fontId="2" type="noConversion"/>
  </si>
  <si>
    <t>27号</t>
    <rPh sb="2" eb="3">
      <t>hao</t>
    </rPh>
    <phoneticPr fontId="2" type="noConversion"/>
  </si>
  <si>
    <t>28号</t>
    <rPh sb="2" eb="3">
      <t>hao</t>
    </rPh>
    <phoneticPr fontId="2" type="noConversion"/>
  </si>
  <si>
    <t>29号</t>
    <rPh sb="2" eb="3">
      <t>hao</t>
    </rPh>
    <phoneticPr fontId="2" type="noConversion"/>
  </si>
  <si>
    <t>30号</t>
    <rPh sb="2" eb="3">
      <t>hao</t>
    </rPh>
    <phoneticPr fontId="2" type="noConversion"/>
  </si>
  <si>
    <t>31号</t>
    <rPh sb="2" eb="3">
      <t>hao</t>
    </rPh>
    <phoneticPr fontId="2" type="noConversion"/>
  </si>
  <si>
    <t>时间（2019年12月）</t>
    <rPh sb="0" eb="1">
      <t>shi jian</t>
    </rPh>
    <rPh sb="7" eb="8">
      <t>nian</t>
    </rPh>
    <rPh sb="10" eb="11">
      <t>yue</t>
    </rPh>
    <phoneticPr fontId="2" type="noConversion"/>
  </si>
  <si>
    <t>时间（2019年11月）</t>
    <rPh sb="0" eb="1">
      <t>shi jian</t>
    </rPh>
    <rPh sb="7" eb="8">
      <t>nian</t>
    </rPh>
    <rPh sb="10" eb="11">
      <t>yue</t>
    </rPh>
    <phoneticPr fontId="2" type="noConversion"/>
  </si>
  <si>
    <t>万得全A指数</t>
    <rPh sb="0" eb="1">
      <t>wan de quan</t>
    </rPh>
    <rPh sb="4" eb="5">
      <t>zhi shu</t>
    </rPh>
    <phoneticPr fontId="2" type="noConversion"/>
  </si>
  <si>
    <t>时间（2019年10月）</t>
    <rPh sb="0" eb="1">
      <t>shi jian</t>
    </rPh>
    <rPh sb="7" eb="8">
      <t>nian</t>
    </rPh>
    <rPh sb="10" eb="11">
      <t>yue</t>
    </rPh>
    <phoneticPr fontId="2" type="noConversion"/>
  </si>
  <si>
    <t>时间（2019年9月）</t>
    <rPh sb="0" eb="1">
      <t>shi jian</t>
    </rPh>
    <rPh sb="7" eb="8">
      <t>nian</t>
    </rPh>
    <rPh sb="9" eb="10">
      <t>yue</t>
    </rPh>
    <phoneticPr fontId="2" type="noConversion"/>
  </si>
  <si>
    <t>时间（2019年8月）</t>
    <rPh sb="0" eb="1">
      <t>shi jian</t>
    </rPh>
    <rPh sb="7" eb="8">
      <t>nian</t>
    </rPh>
    <rPh sb="9" eb="10">
      <t>yue</t>
    </rPh>
    <phoneticPr fontId="2" type="noConversion"/>
  </si>
  <si>
    <t>交易规律</t>
    <rPh sb="0" eb="1">
      <t>jiao yi gui l</t>
    </rPh>
    <phoneticPr fontId="2" type="noConversion"/>
  </si>
  <si>
    <r>
      <t>参考房地产景气。</t>
    </r>
    <r>
      <rPr>
        <sz val="12"/>
        <color rgb="FFFF0000"/>
        <rFont val="宋体 (正文)"/>
      </rPr>
      <t>量价具涨</t>
    </r>
    <r>
      <rPr>
        <sz val="12"/>
        <color theme="1"/>
        <rFont val="宋体"/>
        <family val="2"/>
        <charset val="134"/>
        <scheme val="minor"/>
      </rPr>
      <t>（荣景，主动加库存，供不应求）-&gt;</t>
    </r>
    <r>
      <rPr>
        <sz val="12"/>
        <color rgb="FFC00000"/>
        <rFont val="宋体 (正文)"/>
      </rPr>
      <t>价涨量缩</t>
    </r>
    <r>
      <rPr>
        <sz val="12"/>
        <color theme="1"/>
        <rFont val="宋体"/>
        <family val="2"/>
        <charset val="134"/>
        <scheme val="minor"/>
      </rPr>
      <t>（泡沫，被动清库存，供求平衡）-&gt;</t>
    </r>
    <r>
      <rPr>
        <sz val="12"/>
        <color rgb="FF00B050"/>
        <rFont val="宋体 (正文)"/>
      </rPr>
      <t>量价具跌</t>
    </r>
    <r>
      <rPr>
        <sz val="12"/>
        <color theme="1"/>
        <rFont val="宋体"/>
        <family val="2"/>
        <charset val="134"/>
        <scheme val="minor"/>
      </rPr>
      <t>（衰退，主动清库存，供过于求）-&gt;价跌量涨（复苏，被动加库存，供不应求）</t>
    </r>
    <rPh sb="0" eb="1">
      <t>can kao</t>
    </rPh>
    <rPh sb="2" eb="3">
      <t>fang di chan</t>
    </rPh>
    <rPh sb="5" eb="6">
      <t>jing qi</t>
    </rPh>
    <rPh sb="8" eb="9">
      <t>liang jia</t>
    </rPh>
    <rPh sb="13" eb="14">
      <t>rong jing</t>
    </rPh>
    <rPh sb="16" eb="17">
      <t>zhu dong</t>
    </rPh>
    <rPh sb="18" eb="19">
      <t>jia ku cn</t>
    </rPh>
    <rPh sb="22" eb="23">
      <t>gong bu ying qiu</t>
    </rPh>
    <rPh sb="29" eb="30">
      <t>jia wen liang suo</t>
    </rPh>
    <rPh sb="30" eb="31">
      <t>zhang</t>
    </rPh>
    <rPh sb="34" eb="35">
      <t>pao mo</t>
    </rPh>
    <rPh sb="37" eb="38">
      <t>bei dong</t>
    </rPh>
    <rPh sb="39" eb="40">
      <t>qing ku cun</t>
    </rPh>
    <rPh sb="43" eb="44">
      <t>gong guo yu qiu</t>
    </rPh>
    <rPh sb="44" eb="45">
      <t>qiu</t>
    </rPh>
    <rPh sb="45" eb="46">
      <t>ping heng</t>
    </rPh>
    <rPh sb="50" eb="51">
      <t>liang jia ju die</t>
    </rPh>
    <rPh sb="55" eb="56">
      <t>shuai tui</t>
    </rPh>
    <rPh sb="58" eb="59">
      <t>zhu dong</t>
    </rPh>
    <rPh sb="60" eb="61">
      <t>qing ku cun</t>
    </rPh>
    <rPh sb="64" eb="65">
      <t>gong guo yu qiu</t>
    </rPh>
    <rPh sb="71" eb="72">
      <t>jia die liang zhang</t>
    </rPh>
    <rPh sb="76" eb="77">
      <t>fu su</t>
    </rPh>
    <rPh sb="79" eb="80">
      <t>bei dong jia ku cun</t>
    </rPh>
    <rPh sb="85" eb="86">
      <t>gong bu ying qiu</t>
    </rPh>
    <phoneticPr fontId="2" type="noConversion"/>
  </si>
  <si>
    <t>PMI（2020）</t>
    <phoneticPr fontId="2" type="noConversion"/>
  </si>
  <si>
    <t>51.3(-1.9)</t>
    <phoneticPr fontId="2" type="noConversion"/>
  </si>
  <si>
    <t>51.4(0.2)</t>
    <phoneticPr fontId="2" type="noConversion"/>
  </si>
  <si>
    <t>47.1(-0.1)</t>
    <phoneticPr fontId="2" type="noConversion"/>
  </si>
  <si>
    <t>47.5(0.2)</t>
    <phoneticPr fontId="2" type="noConversion"/>
  </si>
  <si>
    <t>49.9(1.2)</t>
    <phoneticPr fontId="2" type="noConversion"/>
  </si>
  <si>
    <t>48.7(-1.6)</t>
    <phoneticPr fontId="2" type="noConversion"/>
  </si>
  <si>
    <t>49(-0.9)</t>
    <phoneticPr fontId="2" type="noConversion"/>
  </si>
  <si>
    <t>51.6(0.3)</t>
    <phoneticPr fontId="2" type="noConversion"/>
  </si>
  <si>
    <t>53.8(2)</t>
    <phoneticPr fontId="2" type="noConversion"/>
  </si>
  <si>
    <t>49(-0.2)</t>
    <phoneticPr fontId="2" type="noConversion"/>
  </si>
  <si>
    <t>46(-0.4)</t>
    <phoneticPr fontId="2" type="noConversion"/>
  </si>
  <si>
    <t>46.3(1.3)</t>
    <phoneticPr fontId="2" type="noConversion"/>
  </si>
  <si>
    <t>57.9(3.5)</t>
    <phoneticPr fontId="2" type="noConversion"/>
  </si>
  <si>
    <t>PMI（2020）</t>
    <phoneticPr fontId="2" type="noConversion"/>
  </si>
  <si>
    <r>
      <rPr>
        <sz val="12"/>
        <color rgb="FF333333"/>
        <rFont val="宋体 (正文)"/>
      </rPr>
      <t>计算机、通信和其他电子设备制造业</t>
    </r>
    <r>
      <rPr>
        <sz val="12"/>
        <color rgb="FF333333"/>
        <rFont val="宋体"/>
        <family val="3"/>
        <charset val="134"/>
        <scheme val="minor"/>
      </rPr>
      <t>（2019）</t>
    </r>
    <phoneticPr fontId="2" type="noConversion"/>
  </si>
  <si>
    <t>黑色金属冶炼和压延加工业（2019）</t>
    <phoneticPr fontId="2" type="noConversion"/>
  </si>
  <si>
    <t>有色金属冶炼和压延加工业（2019）</t>
    <phoneticPr fontId="2" type="noConversion"/>
  </si>
  <si>
    <t>非金属矿物制品业（2019）</t>
    <phoneticPr fontId="2" type="noConversion"/>
  </si>
  <si>
    <t>农副食品加工业（2019）</t>
    <phoneticPr fontId="2" type="noConversion"/>
  </si>
  <si>
    <t>食品制造业（2019）</t>
    <phoneticPr fontId="2" type="noConversion"/>
  </si>
  <si>
    <r>
      <rPr>
        <sz val="12"/>
        <color rgb="FF333333"/>
        <rFont val="宋体 (正文)"/>
      </rPr>
      <t>酒、饮料和精制茶制造业</t>
    </r>
    <r>
      <rPr>
        <sz val="12"/>
        <color rgb="FF333333"/>
        <rFont val="宋体"/>
        <family val="3"/>
        <charset val="134"/>
        <scheme val="minor"/>
      </rPr>
      <t>（2019）</t>
    </r>
    <phoneticPr fontId="2" type="noConversion"/>
  </si>
  <si>
    <r>
      <rPr>
        <sz val="12"/>
        <color rgb="FF333333"/>
        <rFont val="宋体 (正文)"/>
      </rPr>
      <t>文教、工美、体育和娱乐用品制造业</t>
    </r>
    <r>
      <rPr>
        <sz val="12"/>
        <color rgb="FF333333"/>
        <rFont val="宋体"/>
        <family val="3"/>
        <charset val="134"/>
        <scheme val="minor"/>
      </rPr>
      <t>（2019）</t>
    </r>
    <phoneticPr fontId="2" type="noConversion"/>
  </si>
  <si>
    <t>电气机械和器材制造业（2019）</t>
    <phoneticPr fontId="2" type="noConversion"/>
  </si>
  <si>
    <t>石油、煤炭及其他燃料加工业（2019）</t>
    <phoneticPr fontId="2" type="noConversion"/>
  </si>
  <si>
    <t>煤炭开采和洗选业（2019）</t>
    <phoneticPr fontId="2" type="noConversion"/>
  </si>
  <si>
    <r>
      <rPr>
        <sz val="12"/>
        <color rgb="FF333333"/>
        <rFont val="宋体 (正文)"/>
      </rPr>
      <t>石油和天然气开采业</t>
    </r>
    <r>
      <rPr>
        <sz val="12"/>
        <color rgb="FF333333"/>
        <rFont val="宋体"/>
        <family val="3"/>
        <charset val="134"/>
        <scheme val="minor"/>
      </rPr>
      <t>（2019）</t>
    </r>
    <phoneticPr fontId="2" type="noConversion"/>
  </si>
  <si>
    <t>AAA企业债-Baa企业债风险利差</t>
    <rPh sb="3" eb="4">
      <t>qi ye zhai</t>
    </rPh>
    <rPh sb="10" eb="11">
      <t>qi ye zhai</t>
    </rPh>
    <rPh sb="13" eb="14">
      <t>feng xian li cha</t>
    </rPh>
    <phoneticPr fontId="2" type="noConversion"/>
  </si>
  <si>
    <t>风险利差升高代表着资本市场对于风险的厌恶，股市倾向于下跌；风险利差收缩代表着资本市场对于风险偏好提升。</t>
    <rPh sb="0" eb="1">
      <t>feng xian li cha</t>
    </rPh>
    <rPh sb="4" eb="5">
      <t>sheng gao</t>
    </rPh>
    <rPh sb="6" eb="7">
      <t>dai biao zhe</t>
    </rPh>
    <rPh sb="9" eb="10">
      <t>zi ben shi chang</t>
    </rPh>
    <rPh sb="13" eb="14">
      <t>dui yu feng xian</t>
    </rPh>
    <rPh sb="17" eb="18">
      <t>de</t>
    </rPh>
    <rPh sb="18" eb="19">
      <t>yan wu</t>
    </rPh>
    <rPh sb="21" eb="22">
      <t>gu shi qing xiang yu</t>
    </rPh>
    <rPh sb="26" eb="27">
      <t>xia die</t>
    </rPh>
    <rPh sb="29" eb="30">
      <t>feng xian li cha</t>
    </rPh>
    <rPh sb="33" eb="34">
      <t>shou suo</t>
    </rPh>
    <rPh sb="35" eb="36">
      <t>dai biao zhe</t>
    </rPh>
    <rPh sb="38" eb="39">
      <t>zi ben shi chang</t>
    </rPh>
    <rPh sb="42" eb="43">
      <t>dui yu</t>
    </rPh>
    <rPh sb="44" eb="45">
      <t>feng xian</t>
    </rPh>
    <rPh sb="46" eb="47">
      <t>pian hao</t>
    </rPh>
    <rPh sb="48" eb="49">
      <t>ti sheng</t>
    </rPh>
    <phoneticPr fontId="2" type="noConversion"/>
  </si>
  <si>
    <t>一年（2020）</t>
    <rPh sb="0" eb="1">
      <t>yi nian</t>
    </rPh>
    <phoneticPr fontId="2" type="noConversion"/>
  </si>
  <si>
    <t>五年（2020）</t>
    <rPh sb="0" eb="1">
      <t>wu nian</t>
    </rPh>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</si>
  <si>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</si>
  <si>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PMI（2020）</t>
    <phoneticPr fontId="2" type="noConversion"/>
  </si>
  <si>
    <t>CPI-通货膨胀</t>
    <rPh sb="4" eb="5">
      <t>tong huo peng zhang</t>
    </rPh>
    <phoneticPr fontId="2" type="noConversion"/>
  </si>
  <si>
    <t>PPI-CPI领先指标</t>
    <phoneticPr fontId="2" type="noConversion"/>
  </si>
  <si>
    <t>PPI-CPI</t>
    <phoneticPr fontId="2" type="noConversion"/>
  </si>
  <si>
    <t>全国规模工业增加值</t>
    <rPh sb="0" eb="1">
      <t>quan guo</t>
    </rPh>
    <rPh sb="2" eb="3">
      <t>gui mo</t>
    </rPh>
    <rPh sb="4" eb="5">
      <t>gong ye</t>
    </rPh>
    <rPh sb="6" eb="7">
      <t>zeng jia zhi</t>
    </rPh>
    <phoneticPr fontId="2" type="noConversion"/>
  </si>
  <si>
    <t>失业率</t>
    <rPh sb="0" eb="1">
      <t>shi ye</t>
    </rPh>
    <rPh sb="2" eb="3">
      <t>lü</t>
    </rPh>
    <phoneticPr fontId="2" type="noConversion"/>
  </si>
  <si>
    <t>固定资产投资</t>
    <rPh sb="0" eb="1">
      <t>gu ding zi chan tou zi</t>
    </rPh>
    <phoneticPr fontId="2" type="noConversion"/>
  </si>
  <si>
    <t>消费</t>
    <rPh sb="0" eb="1">
      <t>xiao fei</t>
    </rPh>
    <phoneticPr fontId="2" type="noConversion"/>
  </si>
  <si>
    <t>行业固投增速（2020同比2018）</t>
    <rPh sb="0" eb="1">
      <t>hang ye</t>
    </rPh>
    <rPh sb="2" eb="3">
      <t>gu tou</t>
    </rPh>
    <rPh sb="11" eb="12">
      <t>tong bi</t>
    </rPh>
    <phoneticPr fontId="2" type="noConversion"/>
  </si>
  <si>
    <t>农副食品加工业固投增速（2020）</t>
    <rPh sb="9" eb="10">
      <t>zeng su</t>
    </rPh>
    <phoneticPr fontId="2" type="noConversion"/>
  </si>
  <si>
    <t>食品制造业固投增速（2020）</t>
    <rPh sb="7" eb="8">
      <t>zeng su</t>
    </rPh>
    <phoneticPr fontId="2" type="noConversion"/>
  </si>
  <si>
    <t>纺织业固投增速（2020）</t>
    <rPh sb="5" eb="6">
      <t>zeng su</t>
    </rPh>
    <phoneticPr fontId="2" type="noConversion"/>
  </si>
  <si>
    <t>化学原料和化学制品制造业（2020）</t>
  </si>
  <si>
    <t>医药制造业固投增速（2020）</t>
    <rPh sb="7" eb="8">
      <t>zeng su</t>
    </rPh>
    <phoneticPr fontId="2" type="noConversion"/>
  </si>
  <si>
    <t>有色金属冶炼和压延加工业固投增速（2020）</t>
    <rPh sb="14" eb="15">
      <t>zeng su</t>
    </rPh>
    <phoneticPr fontId="2" type="noConversion"/>
  </si>
  <si>
    <t>金属制品业固投增速（2020）</t>
    <rPh sb="7" eb="8">
      <t>zeng su</t>
    </rPh>
    <phoneticPr fontId="2" type="noConversion"/>
  </si>
  <si>
    <t>通用设备制造业固投增速（2020）</t>
    <rPh sb="9" eb="10">
      <t>zeng su</t>
    </rPh>
    <phoneticPr fontId="2" type="noConversion"/>
  </si>
  <si>
    <t>专用设备制造业固投增速（2020）</t>
    <rPh sb="9" eb="10">
      <t>zeng su</t>
    </rPh>
    <phoneticPr fontId="2" type="noConversion"/>
  </si>
  <si>
    <t>汽车制造业固投增速（2020）</t>
    <rPh sb="7" eb="8">
      <t>zeng su</t>
    </rPh>
    <phoneticPr fontId="2" type="noConversion"/>
  </si>
  <si>
    <t>铁路、船舶、航空航天和其他运输设备制造业固投增速（2020）</t>
    <rPh sb="22" eb="23">
      <t>zeng su</t>
    </rPh>
    <phoneticPr fontId="2" type="noConversion"/>
  </si>
  <si>
    <t>电气机械和器材制造业固投增速（2020）</t>
    <rPh sb="12" eb="13">
      <t>zeng su</t>
    </rPh>
    <phoneticPr fontId="2" type="noConversion"/>
  </si>
  <si>
    <t>计算机、通信和其他电子设备制造业固投增速（2020）</t>
    <rPh sb="18" eb="19">
      <t>zeng su</t>
    </rPh>
    <phoneticPr fontId="2" type="noConversion"/>
  </si>
  <si>
    <t>电力、热力、燃气及水生产和供应业固投增速（2020）</t>
    <rPh sb="18" eb="19">
      <t>zeng su</t>
    </rPh>
    <phoneticPr fontId="2" type="noConversion"/>
  </si>
  <si>
    <t>文化、体育和娱乐业固投增速（2020）</t>
    <rPh sb="11" eb="12">
      <t>zeng su</t>
    </rPh>
    <phoneticPr fontId="2" type="noConversion"/>
  </si>
  <si>
    <t>基础设施投资固投增速（2020）</t>
    <rPh sb="8" eb="9">
      <t>zeng su</t>
    </rPh>
    <phoneticPr fontId="2" type="noConversion"/>
  </si>
  <si>
    <t>规模以上工业增加值（2020同比2018）</t>
    <rPh sb="14" eb="15">
      <t>tong bi</t>
    </rPh>
    <phoneticPr fontId="2" type="noConversion"/>
  </si>
  <si>
    <t>农副食品加工业增加值（2020）</t>
    <rPh sb="7" eb="8">
      <t>zeng jia zhi</t>
    </rPh>
    <phoneticPr fontId="2" type="noConversion"/>
  </si>
  <si>
    <t>食品制造业增加值（2020）</t>
    <rPh sb="5" eb="6">
      <t>zeng jia zhi</t>
    </rPh>
    <phoneticPr fontId="2" type="noConversion"/>
  </si>
  <si>
    <t>纺织业增加值（2020）</t>
    <rPh sb="0" eb="1">
      <t>fang zhi ye</t>
    </rPh>
    <rPh sb="3" eb="4">
      <t>zeng jia zhi</t>
    </rPh>
    <phoneticPr fontId="2" type="noConversion"/>
  </si>
  <si>
    <t>化学原料和化学制品制造业增加值（2020）</t>
    <rPh sb="12" eb="13">
      <t>zeng jia zhi</t>
    </rPh>
    <phoneticPr fontId="2" type="noConversion"/>
  </si>
  <si>
    <t>医药制造业增加值（2020）</t>
    <rPh sb="5" eb="6">
      <t>zeng jia zhi</t>
    </rPh>
    <phoneticPr fontId="2" type="noConversion"/>
  </si>
  <si>
    <t>非金属矿物制品业增加值（2020）</t>
    <rPh sb="8" eb="9">
      <t>zeng jia zhi</t>
    </rPh>
    <phoneticPr fontId="2" type="noConversion"/>
  </si>
  <si>
    <t>黑色金属冶炼和压延加工业增加值（2020）</t>
    <rPh sb="12" eb="13">
      <t>zeng jia zhi</t>
    </rPh>
    <phoneticPr fontId="2" type="noConversion"/>
  </si>
  <si>
    <t>有色金属冶炼和压延加工业增加值（2020）</t>
    <rPh sb="12" eb="13">
      <t>zeng jia zhi</t>
    </rPh>
    <phoneticPr fontId="2" type="noConversion"/>
  </si>
  <si>
    <t>金属制品业制造业增加值（2020）</t>
    <rPh sb="0" eb="1">
      <t>jin shu zhi pin ye</t>
    </rPh>
    <rPh sb="8" eb="9">
      <t>zeng jia zhi</t>
    </rPh>
    <phoneticPr fontId="2" type="noConversion"/>
  </si>
  <si>
    <t>通用设备制造业增加值（2020）</t>
    <rPh sb="0" eb="1">
      <t>tong</t>
    </rPh>
    <rPh sb="7" eb="8">
      <t>zeng jia zhi</t>
    </rPh>
    <phoneticPr fontId="2" type="noConversion"/>
  </si>
  <si>
    <t>专用设备制造业增加值（2020）</t>
    <rPh sb="7" eb="8">
      <t>zeng jia zhi</t>
    </rPh>
    <phoneticPr fontId="2" type="noConversion"/>
  </si>
  <si>
    <t>汽车制造业增加值（2020）</t>
    <rPh sb="0" eb="1">
      <t>qi che</t>
    </rPh>
    <rPh sb="5" eb="6">
      <t>zeng jia zhi</t>
    </rPh>
    <phoneticPr fontId="2" type="noConversion"/>
  </si>
  <si>
    <t>铁路、船舶、航空航天和其他运输设备制造业增加值（2020）</t>
  </si>
  <si>
    <t>电气机械和器材制造业增加值（2020）</t>
    <rPh sb="10" eb="11">
      <t>zeng jia zhi</t>
    </rPh>
    <phoneticPr fontId="2" type="noConversion"/>
  </si>
  <si>
    <t>计算机、通信和其他电子设备制造业增加值（2020）</t>
    <rPh sb="16" eb="17">
      <t>zeng jia zhi</t>
    </rPh>
    <phoneticPr fontId="2" type="noConversion"/>
  </si>
  <si>
    <t>电力、热力生产和供应业增加值（2020）</t>
    <rPh sb="11" eb="12">
      <t>zeng jia zhi</t>
    </rPh>
    <phoneticPr fontId="2" type="noConversion"/>
  </si>
  <si>
    <t>计算机、通信和其他电子设备制造业（2020）</t>
  </si>
  <si>
    <t>通信设备制造业增加值（2020）</t>
    <rPh sb="7" eb="8">
      <t>zeng jia zhi</t>
    </rPh>
    <phoneticPr fontId="2" type="noConversion"/>
  </si>
  <si>
    <t>通信设备制造业营业收入（2020）</t>
    <rPh sb="7" eb="8">
      <t>ying ye shou ru</t>
    </rPh>
    <phoneticPr fontId="2" type="noConversion"/>
  </si>
  <si>
    <t>通信设备制造业利润（2020）</t>
    <rPh sb="7" eb="8">
      <t>li run</t>
    </rPh>
    <phoneticPr fontId="2" type="noConversion"/>
  </si>
  <si>
    <t>通信设备制造业库存（2020）</t>
    <rPh sb="7" eb="8">
      <t>ku cun</t>
    </rPh>
    <phoneticPr fontId="2" type="noConversion"/>
  </si>
  <si>
    <t>电子元件制造业增加值（2020）</t>
    <rPh sb="0" eb="1">
      <t>dian zi yuan jian</t>
    </rPh>
    <rPh sb="7" eb="8">
      <t>zeng jia zhi</t>
    </rPh>
    <phoneticPr fontId="2" type="noConversion"/>
  </si>
  <si>
    <t>电子元件制造业营业收入（2020）</t>
    <rPh sb="7" eb="8">
      <t>ying ye shou ru</t>
    </rPh>
    <phoneticPr fontId="2" type="noConversion"/>
  </si>
  <si>
    <t>电子元件制造业利润（2020）</t>
    <rPh sb="7" eb="8">
      <t>li run</t>
    </rPh>
    <phoneticPr fontId="2" type="noConversion"/>
  </si>
  <si>
    <t>电子元件制造业库存（2020）</t>
    <rPh sb="7" eb="8">
      <t>ku cun</t>
    </rPh>
    <phoneticPr fontId="2" type="noConversion"/>
  </si>
  <si>
    <t>电子器件制造业增加值（2020）</t>
    <rPh sb="0" eb="1">
      <t>dian zi yuan jian</t>
    </rPh>
    <rPh sb="2" eb="3">
      <t>qi jian</t>
    </rPh>
    <rPh sb="7" eb="8">
      <t>zeng jia zhi</t>
    </rPh>
    <phoneticPr fontId="2" type="noConversion"/>
  </si>
  <si>
    <t>电子器件制造业营业收入（2020）</t>
    <rPh sb="7" eb="8">
      <t>ying ye shou ru</t>
    </rPh>
    <phoneticPr fontId="2" type="noConversion"/>
  </si>
  <si>
    <t>电子器件制造业利润（2020）</t>
    <rPh sb="7" eb="8">
      <t>li run</t>
    </rPh>
    <phoneticPr fontId="2" type="noConversion"/>
  </si>
  <si>
    <t>电子器件制造业库存（2020）</t>
    <rPh sb="7" eb="8">
      <t>ku cun</t>
    </rPh>
    <phoneticPr fontId="2" type="noConversion"/>
  </si>
  <si>
    <t>计算机制造业增加值（2020）</t>
    <rPh sb="0" eb="1">
      <t>ji suan ji</t>
    </rPh>
    <rPh sb="6" eb="7">
      <t>zeng jia zhi</t>
    </rPh>
    <phoneticPr fontId="2" type="noConversion"/>
  </si>
  <si>
    <t>计算机制造业营业收入（2020）</t>
    <rPh sb="6" eb="7">
      <t>ying ye shou ru</t>
    </rPh>
    <phoneticPr fontId="2" type="noConversion"/>
  </si>
  <si>
    <t>计算机制造业利润（2020）</t>
    <rPh sb="6" eb="7">
      <t>li run</t>
    </rPh>
    <phoneticPr fontId="2" type="noConversion"/>
  </si>
  <si>
    <t>计算机制造业库存（2020）</t>
    <rPh sb="6" eb="7">
      <t>ku cun</t>
    </rPh>
    <phoneticPr fontId="2" type="noConversion"/>
  </si>
  <si>
    <t>软件和信息技术服务业收入（2020）</t>
  </si>
  <si>
    <t>软件和信息技术服务业利润（2020）</t>
    <rPh sb="10" eb="11">
      <t>li run</t>
    </rPh>
    <phoneticPr fontId="2" type="noConversion"/>
  </si>
  <si>
    <t>互联网和相关服务业收入（2020）</t>
  </si>
  <si>
    <t>互联网和相关服务业利润（2020）</t>
    <rPh sb="9" eb="10">
      <t>li run</t>
    </rPh>
    <phoneticPr fontId="2" type="noConversion"/>
  </si>
  <si>
    <t>汽车制造业产量（2020）</t>
    <rPh sb="0" eb="1">
      <t>qi che</t>
    </rPh>
    <rPh sb="5" eb="6">
      <t>chan liang n</t>
    </rPh>
    <phoneticPr fontId="2" type="noConversion"/>
  </si>
  <si>
    <t>汽车制造业销量（2020）</t>
    <rPh sb="0" eb="1">
      <t>qi che</t>
    </rPh>
    <rPh sb="5" eb="6">
      <t>xiao</t>
    </rPh>
    <phoneticPr fontId="2" type="noConversion"/>
  </si>
  <si>
    <t>汽车制造业（2020）</t>
    <rPh sb="0" eb="1">
      <t>qi che</t>
    </rPh>
    <phoneticPr fontId="2" type="noConversion"/>
  </si>
  <si>
    <t>黑色金属冶炼和压延加工业（2020）</t>
  </si>
  <si>
    <t>有色金属冶炼和压延加工业（2020）</t>
  </si>
  <si>
    <t>非金属矿物制品业（2020）</t>
  </si>
  <si>
    <t>专用设备制造业（2020）</t>
  </si>
  <si>
    <t>农副食品加工业（2020）</t>
  </si>
  <si>
    <t>食品制造业（2020）</t>
  </si>
  <si>
    <t>酒、饮料和精制茶制造业（2020）</t>
  </si>
  <si>
    <t>医药制造业（2020）</t>
  </si>
  <si>
    <t>文教、工美、体育和娱乐用品制造业（2020）</t>
  </si>
  <si>
    <t>电力、热力生产和供应业（2020）</t>
  </si>
  <si>
    <t>电气机械和器材制造业（2020）</t>
  </si>
  <si>
    <t>石油、煤炭及其他燃料加工业（2020）</t>
  </si>
  <si>
    <t>煤炭开采和洗选业（2020）</t>
  </si>
  <si>
    <t>石油和天然气开采业（2020）</t>
  </si>
  <si>
    <t>纺织业（2020）</t>
  </si>
  <si>
    <t>纺织业（2020）</t>
    <rPh sb="0" eb="1">
      <t>fang zhi ye</t>
    </rPh>
    <phoneticPr fontId="2" type="noConversion"/>
  </si>
  <si>
    <t>PMI（2019）</t>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</si>
  <si>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</si>
  <si>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t>27.9（利润增加）</t>
    <rPh sb="5" eb="6">
      <t>li run zeng jia</t>
    </rPh>
    <phoneticPr fontId="2" type="noConversion"/>
  </si>
  <si>
    <t>0.2(库存增加)</t>
    <phoneticPr fontId="2" type="noConversion"/>
  </si>
  <si>
    <t>50700（10.7）</t>
    <phoneticPr fontId="2" type="noConversion"/>
  </si>
  <si>
    <t>27.8(-23.5)</t>
    <phoneticPr fontId="2" type="noConversion"/>
  </si>
  <si>
    <t>33.9(-13.2)</t>
    <phoneticPr fontId="2" type="noConversion"/>
  </si>
  <si>
    <t>29.3(-22.1)</t>
    <phoneticPr fontId="2" type="noConversion"/>
  </si>
  <si>
    <t>31.8(-15.7)</t>
    <phoneticPr fontId="2" type="noConversion"/>
  </si>
  <si>
    <t>32.1(-17.8)</t>
    <phoneticPr fontId="2" type="noConversion"/>
  </si>
  <si>
    <t>28.7(-20)</t>
    <phoneticPr fontId="2" type="noConversion"/>
  </si>
  <si>
    <t>31.9(-17.1)</t>
    <phoneticPr fontId="2" type="noConversion"/>
  </si>
  <si>
    <t>29.3(-21.3)</t>
    <phoneticPr fontId="2" type="noConversion"/>
  </si>
  <si>
    <t>51.4(-2.4)</t>
    <phoneticPr fontId="2" type="noConversion"/>
  </si>
  <si>
    <t>44.3(-4.7)</t>
    <phoneticPr fontId="2" type="noConversion"/>
  </si>
  <si>
    <t>46.1(0.1)</t>
    <phoneticPr fontId="2" type="noConversion"/>
  </si>
  <si>
    <t>35.6(-10.7)</t>
    <phoneticPr fontId="2" type="noConversion"/>
  </si>
  <si>
    <t>41.8(-16.1)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</si>
</sst>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18" x14ac:knownFonts="1">
    <font>
      <sz val="12"/>
      <color theme="1"/>
      <name val="宋体"/>
      <family val="2"/>
      <charset val="134"/>
      <scheme val="minor"/>
    </font>
    <font>
      <sz val="12"/>
      <color rgb="FF333333"/>
      <name val="宋体"/>
      <family val="3"/>
      <charset val="134"/>
      <scheme val="minor"/>
    </font>
    <font>
      <sz val="9"/>
      <name val="宋体"/>
      <family val="2"/>
      <charset val="134"/>
      <scheme val="minor"/>
    </font>
    <font>
      <sz val="12"/>
      <color rgb="FF333333"/>
      <name val="Times New Roman"/>
    </font>
    <font>
      <sz val="12"/>
      <color rgb="FF333333"/>
      <name val="Abadi MT Condensed Extra Bold"/>
    </font>
    <font>
      <sz val="12"/>
      <color rgb="FF000000"/>
      <name val="宋体"/>
      <family val="3"/>
      <charset val="134"/>
      <scheme val="minor"/>
    </font>
    <font>
      <sz val="12"/>
      <color rgb="FF000000"/>
      <name val="Times New Roman"/>
    </font>
    <font>
      <sz val="12"/>
      <color theme="1"/>
      <name val="产成品库存"/>
      <family val="3"/>
      <charset val="134"/>
    </font>
    <font>
      <sz val="12"/>
      <color theme="1"/>
      <name val="在手订单"/>
      <family val="3"/>
      <charset val="134"/>
    </font>
    <font>
      <sz val="14"/>
      <color rgb="FF070707"/>
      <name val="宋体"/>
      <family val="3"/>
      <charset val="134"/>
      <scheme val="minor"/>
    </font>
    <font>
      <sz val="12"/>
      <color theme="1"/>
      <name val="宋体 (正文)"/>
      <family val="1"/>
      <charset val="134"/>
    </font>
    <font>
      <sz val="16"/>
      <color rgb="FF33353C"/>
      <name val="Helvetica Neue"/>
    </font>
    <font>
      <sz val="12"/>
      <color rgb="FF333333"/>
      <name val="宋体 (正文)"/>
    </font>
    <font>
      <sz val="16"/>
      <color rgb="FF333333"/>
      <name val="宋体"/>
      <family val="3"/>
      <charset val="134"/>
      <scheme val="minor"/>
    </font>
    <font>
      <b/>
      <sz val="26"/>
      <color rgb="FF1F5781"/>
      <name val="黑体"/>
      <charset val="136"/>
    </font>
    <font>
      <sz val="12"/>
      <color rgb="FFFF0000"/>
      <name val="宋体 (正文)"/>
    </font>
    <font>
      <sz val="12"/>
      <color rgb="FFC00000"/>
      <name val="宋体 (正文)"/>
    </font>
    <font>
      <sz val="12"/>
      <color rgb="FF00B050"/>
      <name val="宋体 (正文)"/>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4"/>
        <bgColor indexed="64"/>
      </patternFill>
    </fill>
    <fill>
      <patternFill patternType="solid">
        <fgColor rgb="FFFFC000"/>
        <bgColor indexed="64"/>
      </patternFill>
    </fill>
    <fill>
      <patternFill patternType="solid">
        <fgColor rgb="FFC0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56">
    <xf numFmtId="0" fontId="0" fillId="0" borderId="0" xfId="0"/>
    <xf numFmtId="0" fontId="1" fillId="0" borderId="0" xfId="0" applyFont="1"/>
    <xf numFmtId="0" fontId="3" fillId="0" borderId="0" xfId="0" applyFont="1"/>
    <xf numFmtId="0" fontId="0" fillId="2" borderId="0" xfId="0" applyFont="1" applyFill="1"/>
    <xf numFmtId="0" fontId="0" fillId="2" borderId="0" xfId="0" applyFill="1"/>
    <xf numFmtId="0" fontId="0" fillId="3" borderId="0" xfId="0" applyFill="1"/>
    <xf numFmtId="0" fontId="0" fillId="0" borderId="0" xfId="0" applyFill="1"/>
    <xf numFmtId="0" fontId="0" fillId="4" borderId="0" xfId="0" applyFill="1"/>
    <xf numFmtId="0" fontId="4" fillId="0" borderId="0" xfId="0" applyFont="1"/>
    <xf numFmtId="0" fontId="0" fillId="2" borderId="0" xfId="0" applyFont="1" applyFill="1" applyAlignment="1">
      <alignment horizontal="center" vertical="center"/>
    </xf>
    <xf numFmtId="0" fontId="0" fillId="5" borderId="0" xfId="0" applyFill="1"/>
    <xf numFmtId="0" fontId="3" fillId="0" borderId="0" xfId="0" applyFont="1" applyFill="1"/>
    <xf numFmtId="0" fontId="5" fillId="0" borderId="0" xfId="0" applyFont="1"/>
    <xf numFmtId="0" fontId="6" fillId="0" borderId="0" xfId="0" applyFont="1"/>
    <xf numFmtId="0" fontId="7" fillId="0" borderId="0" xfId="0" applyFont="1" applyFill="1"/>
    <xf numFmtId="0" fontId="8" fillId="0" borderId="0" xfId="0" applyFont="1" applyFill="1"/>
    <xf numFmtId="0" fontId="0" fillId="0" borderId="0" xfId="0" applyAlignment="1">
      <alignment wrapText="1"/>
    </xf>
    <xf numFmtId="0" fontId="9" fillId="0" borderId="0" xfId="0" applyFont="1"/>
    <xf numFmtId="0" fontId="6" fillId="2" borderId="0" xfId="0" applyFont="1" applyFill="1"/>
    <xf numFmtId="0" fontId="6" fillId="4" borderId="0" xfId="0" applyFont="1" applyFill="1"/>
    <xf numFmtId="0" fontId="3" fillId="4" borderId="0" xfId="0" applyFont="1" applyFill="1"/>
    <xf numFmtId="0" fontId="6" fillId="3" borderId="0" xfId="0" applyFont="1" applyFill="1"/>
    <xf numFmtId="0" fontId="3" fillId="2" borderId="0" xfId="0" applyFont="1" applyFill="1"/>
    <xf numFmtId="0" fontId="0" fillId="2" borderId="0" xfId="0" applyFont="1" applyFill="1" applyAlignment="1">
      <alignment horizontal="center" vertical="center"/>
    </xf>
    <xf numFmtId="0" fontId="3" fillId="3" borderId="0" xfId="0" applyFont="1" applyFill="1"/>
    <xf numFmtId="0" fontId="0" fillId="0" borderId="0" xfId="0" applyAlignment="1">
      <alignment horizontal="center" vertical="center"/>
    </xf>
    <xf numFmtId="0" fontId="0" fillId="0" borderId="0" xfId="0" applyAlignment="1">
      <alignment wrapText="1"/>
    </xf>
    <xf numFmtId="0" fontId="0" fillId="0" borderId="0" xfId="0" applyAlignment="1"/>
    <xf numFmtId="0" fontId="0" fillId="0" borderId="0" xfId="0" applyFill="1" applyAlignment="1">
      <alignment vertical="center"/>
    </xf>
    <xf numFmtId="0" fontId="0" fillId="0" borderId="0" xfId="0" applyFill="1" applyAlignment="1">
      <alignment wrapText="1"/>
    </xf>
    <xf numFmtId="0" fontId="11" fillId="0" borderId="0" xfId="0" applyFont="1"/>
    <xf numFmtId="0" fontId="0" fillId="0" borderId="0" xfId="0" applyFill="1" applyAlignment="1">
      <alignment vertical="center" wrapText="1"/>
    </xf>
    <xf numFmtId="0" fontId="13" fillId="0" borderId="0" xfId="0" applyFont="1"/>
    <xf numFmtId="0" fontId="14" fillId="0" borderId="0" xfId="0" applyFont="1"/>
    <xf numFmtId="0" fontId="0" fillId="6" borderId="0" xfId="0" applyFill="1"/>
    <xf numFmtId="0" fontId="1" fillId="6" borderId="0" xfId="0" applyFont="1" applyFill="1"/>
    <xf numFmtId="10" fontId="0" fillId="6" borderId="0" xfId="0" applyNumberFormat="1" applyFill="1"/>
    <xf numFmtId="10" fontId="0" fillId="0" borderId="0" xfId="0" applyNumberFormat="1"/>
    <xf numFmtId="176" fontId="0" fillId="0" borderId="0" xfId="0" applyNumberFormat="1"/>
    <xf numFmtId="0" fontId="1" fillId="0" borderId="0" xfId="0" applyFont="1" applyFill="1"/>
    <xf numFmtId="0" fontId="0" fillId="6" borderId="0" xfId="0" applyFill="1" applyAlignment="1">
      <alignment horizontal="center" vertical="center"/>
    </xf>
    <xf numFmtId="0" fontId="0" fillId="7" borderId="0" xfId="0" applyFill="1"/>
    <xf numFmtId="0" fontId="0" fillId="8" borderId="0" xfId="0" applyFill="1"/>
    <xf numFmtId="0" fontId="0" fillId="0" borderId="0" xfId="0" applyAlignment="1">
      <alignment wrapText="1"/>
    </xf>
    <xf numFmtId="0" fontId="0" fillId="0" borderId="0" xfId="0" applyFill="1" applyAlignment="1">
      <alignment wrapText="1"/>
    </xf>
    <xf numFmtId="0" fontId="0" fillId="0" borderId="0" xfId="0" applyAlignment="1">
      <alignment horizontal="center" vertical="center"/>
    </xf>
    <xf numFmtId="0" fontId="0" fillId="2" borderId="0" xfId="0" applyFont="1" applyFill="1"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xf>
    <xf numFmtId="0" fontId="0" fillId="0" borderId="0" xfId="0" applyFill="1" applyAlignment="1">
      <alignment wrapText="1"/>
    </xf>
    <xf numFmtId="0" fontId="0" fillId="0" borderId="0" xfId="0" applyAlignment="1">
      <alignment wrapText="1"/>
    </xf>
    <xf numFmtId="0" fontId="0" fillId="2" borderId="0" xfId="0" applyFont="1" applyFill="1" applyAlignment="1">
      <alignment horizontal="center" vertical="center" wrapText="1"/>
    </xf>
    <xf numFmtId="0" fontId="0" fillId="2" borderId="0" xfId="0" applyFont="1" applyFill="1" applyAlignment="1">
      <alignment horizontal="center" vertical="center"/>
    </xf>
    <xf numFmtId="0" fontId="0" fillId="0" borderId="0" xfId="0" applyFill="1" applyAlignment="1">
      <alignment horizontal="center" vertical="center" wrapText="1"/>
    </xf>
    <xf numFmtId="0" fontId="0" fillId="0" borderId="0" xfId="0" applyAlignment="1">
      <alignment horizontal="center" vertical="center" wrapText="1"/>
    </xf>
    <xf numFmtId="0" fontId="0" fillId="6" borderId="0" xfId="0" applyFill="1" applyAlignment="1">
      <alignment horizontal="center" vertical="center" wrapText="1"/>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9"/>
  <sheetViews>
    <sheetView tabSelected="1" topLeftCell="A61" workbookViewId="0">
      <selection activeCell="A67" sqref="A67:XFD67"/>
    </sheetView>
  </sheetViews>
  <sheetFormatPr baseColWidth="10" defaultRowHeight="15" x14ac:dyDescent="0.15"/>
  <cols>
    <col min="1" max="1" width="42" customWidth="1"/>
    <col min="4" max="4" width="15.83203125" customWidth="1"/>
    <col min="5" max="5" width="10.5" customWidth="1"/>
    <col min="6" max="6" width="15.83203125" customWidth="1"/>
    <col min="7" max="7" width="10.5" customWidth="1"/>
    <col min="8" max="8" width="15.83203125" customWidth="1"/>
    <col min="9" max="9" width="10.5" customWidth="1"/>
    <col min="10" max="10" width="15.5" customWidth="1"/>
    <col min="11" max="11" width="10.5" customWidth="1"/>
    <col min="12" max="12" width="16.1640625" customWidth="1"/>
    <col min="13" max="13" width="10.5" customWidth="1"/>
    <col min="14" max="14" width="15.33203125" customWidth="1"/>
    <col min="15" max="15" width="10.5" customWidth="1"/>
    <col min="16" max="16" width="16.33203125" customWidth="1"/>
    <col min="17" max="17" width="10.5" customWidth="1"/>
    <col min="18" max="18" width="16.33203125" customWidth="1"/>
    <col min="19" max="19" width="10.5" customWidth="1"/>
    <col min="20" max="20" width="15.83203125" customWidth="1"/>
    <col min="21" max="21" width="10.5" customWidth="1"/>
    <col min="22" max="22" width="14" customWidth="1"/>
    <col min="23" max="23" width="10.5" customWidth="1"/>
    <col min="25" max="25" width="10.5" customWidth="1"/>
    <col min="26" max="26" width="96.33203125" customWidth="1"/>
  </cols>
  <sheetData>
    <row r="1" spans="1:26" s="3" customFormat="1" ht="77" customHeight="1" x14ac:dyDescent="0.15">
      <c r="A1" s="9" t="s">
        <v>28</v>
      </c>
      <c r="B1" s="51" t="s">
        <v>426</v>
      </c>
      <c r="C1" s="51"/>
      <c r="D1" s="52"/>
      <c r="E1" s="52"/>
      <c r="F1" s="52"/>
      <c r="G1" s="52"/>
      <c r="H1" s="52"/>
      <c r="I1" s="52"/>
      <c r="J1" s="52"/>
      <c r="K1" s="52"/>
      <c r="L1" s="52"/>
      <c r="M1" s="52"/>
      <c r="N1" s="52"/>
      <c r="O1" s="52"/>
      <c r="P1" s="52"/>
      <c r="Q1" s="52"/>
      <c r="R1" s="52"/>
      <c r="S1" s="52"/>
      <c r="T1" s="52"/>
      <c r="U1" s="52"/>
      <c r="V1" s="52"/>
      <c r="W1" s="52"/>
      <c r="X1" s="52"/>
      <c r="Y1" s="23"/>
    </row>
    <row r="2" spans="1:26" s="6" customFormat="1" x14ac:dyDescent="0.15">
      <c r="B2" t="s">
        <v>31</v>
      </c>
      <c r="C2" t="s">
        <v>356</v>
      </c>
      <c r="D2" t="s">
        <v>32</v>
      </c>
      <c r="E2" t="s">
        <v>356</v>
      </c>
      <c r="F2" t="s">
        <v>33</v>
      </c>
      <c r="G2" t="s">
        <v>356</v>
      </c>
      <c r="H2" t="s">
        <v>34</v>
      </c>
      <c r="I2" t="s">
        <v>356</v>
      </c>
      <c r="J2" t="s">
        <v>35</v>
      </c>
      <c r="K2" t="s">
        <v>356</v>
      </c>
      <c r="L2" t="s">
        <v>36</v>
      </c>
      <c r="M2" t="s">
        <v>356</v>
      </c>
      <c r="N2" t="s">
        <v>37</v>
      </c>
      <c r="O2" t="s">
        <v>356</v>
      </c>
      <c r="P2" t="s">
        <v>38</v>
      </c>
      <c r="Q2" t="s">
        <v>356</v>
      </c>
      <c r="R2" t="s">
        <v>39</v>
      </c>
      <c r="S2" t="s">
        <v>356</v>
      </c>
      <c r="T2" t="s">
        <v>40</v>
      </c>
      <c r="U2" t="s">
        <v>356</v>
      </c>
      <c r="V2" t="s">
        <v>41</v>
      </c>
      <c r="W2" t="s">
        <v>356</v>
      </c>
      <c r="X2" t="s">
        <v>42</v>
      </c>
      <c r="Y2" t="s">
        <v>356</v>
      </c>
    </row>
    <row r="3" spans="1:26" s="6" customFormat="1" ht="43" customHeight="1" x14ac:dyDescent="0.15">
      <c r="A3" s="6" t="s">
        <v>214</v>
      </c>
      <c r="B3">
        <v>46179</v>
      </c>
      <c r="C3"/>
      <c r="D3">
        <v>7089</v>
      </c>
      <c r="E3"/>
      <c r="F3">
        <v>28737</v>
      </c>
      <c r="G3"/>
      <c r="H3">
        <v>14084</v>
      </c>
      <c r="I3"/>
      <c r="J3">
        <v>14524</v>
      </c>
      <c r="K3"/>
      <c r="L3">
        <v>22998</v>
      </c>
      <c r="M3"/>
      <c r="N3">
        <v>10830</v>
      </c>
      <c r="O3"/>
      <c r="P3">
        <v>10830</v>
      </c>
      <c r="Q3"/>
      <c r="R3">
        <v>23569</v>
      </c>
      <c r="S3"/>
      <c r="T3">
        <v>6619</v>
      </c>
      <c r="U3"/>
      <c r="V3">
        <v>17547</v>
      </c>
      <c r="W3"/>
      <c r="X3">
        <v>17200</v>
      </c>
      <c r="Y3" s="26" t="s">
        <v>427</v>
      </c>
      <c r="Z3" s="53" t="s">
        <v>216</v>
      </c>
    </row>
    <row r="4" spans="1:26" s="6" customFormat="1" ht="45" customHeight="1" x14ac:dyDescent="0.2">
      <c r="A4" s="29" t="s">
        <v>381</v>
      </c>
      <c r="B4">
        <v>17.2</v>
      </c>
      <c r="C4"/>
      <c r="D4">
        <v>-2.4</v>
      </c>
      <c r="E4"/>
      <c r="F4">
        <v>3.1</v>
      </c>
      <c r="G4"/>
      <c r="H4">
        <v>3.5</v>
      </c>
      <c r="I4"/>
      <c r="J4">
        <v>4.3</v>
      </c>
      <c r="K4"/>
      <c r="L4">
        <v>4.3</v>
      </c>
      <c r="M4"/>
      <c r="N4">
        <v>4.5</v>
      </c>
      <c r="O4"/>
      <c r="P4">
        <v>4.8</v>
      </c>
      <c r="Q4"/>
      <c r="R4">
        <v>4</v>
      </c>
      <c r="S4"/>
      <c r="T4">
        <v>4.7</v>
      </c>
      <c r="U4"/>
      <c r="V4">
        <v>4.8</v>
      </c>
      <c r="W4"/>
      <c r="X4" s="6">
        <v>5.2</v>
      </c>
      <c r="Y4" t="s">
        <v>428</v>
      </c>
      <c r="Z4" s="53"/>
    </row>
    <row r="5" spans="1:26" s="6" customFormat="1" ht="58" customHeight="1" x14ac:dyDescent="0.15">
      <c r="A5" s="29" t="s">
        <v>382</v>
      </c>
      <c r="B5">
        <v>0.4</v>
      </c>
      <c r="C5"/>
      <c r="D5">
        <v>2</v>
      </c>
      <c r="E5"/>
      <c r="F5">
        <v>4.5999999999999996</v>
      </c>
      <c r="G5"/>
      <c r="H5">
        <v>2.9</v>
      </c>
      <c r="I5"/>
      <c r="J5">
        <v>3.4</v>
      </c>
      <c r="K5"/>
      <c r="L5">
        <v>4.4000000000000004</v>
      </c>
      <c r="M5"/>
      <c r="N5">
        <v>3.1</v>
      </c>
      <c r="O5"/>
      <c r="P5">
        <v>3.4</v>
      </c>
      <c r="Q5"/>
      <c r="R5">
        <v>3.4</v>
      </c>
      <c r="S5"/>
      <c r="T5">
        <v>3.3</v>
      </c>
      <c r="U5"/>
      <c r="V5">
        <v>3.5</v>
      </c>
      <c r="W5"/>
      <c r="X5" s="6">
        <v>4.4000000000000004</v>
      </c>
      <c r="Y5" t="s">
        <v>428</v>
      </c>
      <c r="Z5" s="48"/>
    </row>
    <row r="6" spans="1:26" s="6" customFormat="1" ht="84" customHeight="1" x14ac:dyDescent="0.15">
      <c r="A6" s="29" t="s">
        <v>429</v>
      </c>
      <c r="B6">
        <v>8.4</v>
      </c>
      <c r="C6"/>
      <c r="D6">
        <v>8</v>
      </c>
      <c r="E6"/>
      <c r="F6">
        <v>8.6</v>
      </c>
      <c r="G6"/>
      <c r="H6">
        <v>8.5</v>
      </c>
      <c r="I6"/>
      <c r="J6">
        <v>8.5</v>
      </c>
      <c r="K6"/>
      <c r="L6">
        <v>8.5</v>
      </c>
      <c r="M6"/>
      <c r="N6">
        <v>8.1</v>
      </c>
      <c r="O6"/>
      <c r="P6">
        <v>8.1999999999999993</v>
      </c>
      <c r="Q6"/>
      <c r="R6">
        <v>8.4</v>
      </c>
      <c r="S6"/>
      <c r="T6">
        <v>8.4</v>
      </c>
      <c r="U6"/>
      <c r="V6" t="s">
        <v>390</v>
      </c>
      <c r="W6"/>
      <c r="X6" s="6">
        <v>8.6999999999999993</v>
      </c>
      <c r="Y6" s="6" t="s">
        <v>428</v>
      </c>
      <c r="Z6" s="48"/>
    </row>
    <row r="7" spans="1:26" s="6" customFormat="1" ht="38" customHeight="1" x14ac:dyDescent="0.15">
      <c r="A7" s="49" t="s">
        <v>383</v>
      </c>
      <c r="B7" s="50"/>
      <c r="C7" s="50"/>
      <c r="D7" s="50"/>
      <c r="E7" s="50"/>
      <c r="F7" s="50"/>
      <c r="G7" s="50"/>
      <c r="H7" s="50"/>
      <c r="I7" s="50"/>
      <c r="J7" s="50"/>
      <c r="K7" s="50"/>
      <c r="L7" s="50"/>
      <c r="M7" s="50"/>
      <c r="N7" s="50"/>
      <c r="O7" s="50"/>
      <c r="P7" s="50"/>
      <c r="Q7"/>
      <c r="R7"/>
      <c r="S7"/>
      <c r="T7"/>
      <c r="U7"/>
      <c r="V7"/>
      <c r="W7"/>
      <c r="Y7"/>
      <c r="Z7" s="25"/>
    </row>
    <row r="8" spans="1:26" s="6" customFormat="1" ht="56" customHeight="1" x14ac:dyDescent="0.15">
      <c r="A8" s="49" t="s">
        <v>380</v>
      </c>
      <c r="B8" s="50"/>
      <c r="C8" s="50"/>
      <c r="D8" s="50"/>
      <c r="E8" s="50"/>
      <c r="F8" s="50"/>
      <c r="G8" s="50"/>
      <c r="H8" s="50"/>
      <c r="I8" s="50"/>
      <c r="J8" s="50"/>
      <c r="K8" s="50"/>
      <c r="L8" s="50"/>
      <c r="M8" s="50"/>
      <c r="N8" s="50"/>
      <c r="O8" s="50"/>
      <c r="P8" s="50"/>
    </row>
    <row r="9" spans="1:26" s="6" customFormat="1" ht="20" x14ac:dyDescent="0.2">
      <c r="A9" s="30"/>
    </row>
    <row r="10" spans="1:26" s="34" customFormat="1" x14ac:dyDescent="0.15">
      <c r="A10" s="35" t="s">
        <v>212</v>
      </c>
      <c r="B10" s="34" t="s">
        <v>31</v>
      </c>
      <c r="C10" s="34" t="s">
        <v>356</v>
      </c>
      <c r="D10" s="34" t="s">
        <v>32</v>
      </c>
      <c r="E10" s="34" t="s">
        <v>356</v>
      </c>
      <c r="F10" s="34" t="s">
        <v>33</v>
      </c>
      <c r="G10" s="34" t="s">
        <v>356</v>
      </c>
      <c r="H10" s="34" t="s">
        <v>34</v>
      </c>
      <c r="I10" s="34" t="s">
        <v>356</v>
      </c>
      <c r="J10" s="34" t="s">
        <v>35</v>
      </c>
      <c r="K10" s="34" t="s">
        <v>356</v>
      </c>
      <c r="L10" s="34" t="s">
        <v>36</v>
      </c>
      <c r="M10" s="34" t="s">
        <v>356</v>
      </c>
      <c r="N10" s="34" t="s">
        <v>37</v>
      </c>
      <c r="O10" s="34" t="s">
        <v>356</v>
      </c>
      <c r="P10" s="34" t="s">
        <v>38</v>
      </c>
      <c r="Q10" s="34" t="s">
        <v>356</v>
      </c>
      <c r="R10" s="34" t="s">
        <v>39</v>
      </c>
      <c r="S10" s="34" t="s">
        <v>356</v>
      </c>
      <c r="T10" s="34" t="s">
        <v>40</v>
      </c>
      <c r="U10" s="34" t="s">
        <v>356</v>
      </c>
      <c r="V10" s="34" t="s">
        <v>41</v>
      </c>
      <c r="W10" s="34" t="s">
        <v>356</v>
      </c>
      <c r="X10" s="34" t="s">
        <v>42</v>
      </c>
      <c r="Y10" s="34" t="s">
        <v>356</v>
      </c>
    </row>
    <row r="11" spans="1:26" s="34" customFormat="1" x14ac:dyDescent="0.15">
      <c r="A11" s="34" t="s">
        <v>29</v>
      </c>
      <c r="B11" s="34">
        <v>51.3</v>
      </c>
      <c r="D11" s="34">
        <v>50.3</v>
      </c>
      <c r="F11" s="34">
        <v>51.5</v>
      </c>
      <c r="H11" s="34">
        <v>51.4</v>
      </c>
      <c r="J11" s="34">
        <v>51.9</v>
      </c>
      <c r="L11" s="34">
        <v>51.5</v>
      </c>
      <c r="N11" s="34">
        <v>51.2</v>
      </c>
      <c r="P11" s="34">
        <v>51.3</v>
      </c>
      <c r="R11" s="34">
        <v>50.8</v>
      </c>
      <c r="T11" s="34">
        <v>50.2</v>
      </c>
      <c r="V11" s="34">
        <v>50</v>
      </c>
      <c r="X11" s="34">
        <v>49.4</v>
      </c>
    </row>
    <row r="12" spans="1:26" s="34" customFormat="1" x14ac:dyDescent="0.15">
      <c r="A12" s="35" t="s">
        <v>30</v>
      </c>
      <c r="B12" s="34">
        <v>49.5</v>
      </c>
      <c r="D12" s="34">
        <v>49.2</v>
      </c>
      <c r="F12" s="34">
        <v>50.5</v>
      </c>
      <c r="H12" s="34">
        <v>50.1</v>
      </c>
      <c r="J12" s="34">
        <v>49.4</v>
      </c>
      <c r="L12" s="34">
        <v>49.4</v>
      </c>
      <c r="N12" s="34">
        <v>49.7</v>
      </c>
      <c r="P12" s="34">
        <v>49.5</v>
      </c>
      <c r="R12" s="34">
        <v>49.8</v>
      </c>
      <c r="T12" s="34">
        <v>49.3</v>
      </c>
      <c r="V12" s="34">
        <v>50.2</v>
      </c>
      <c r="X12" s="34">
        <v>50.2</v>
      </c>
    </row>
    <row r="13" spans="1:26" s="10" customFormat="1" x14ac:dyDescent="0.15">
      <c r="A13" s="10" t="s">
        <v>43</v>
      </c>
      <c r="B13" s="10">
        <v>0.1</v>
      </c>
      <c r="D13" s="10">
        <v>-0.3</v>
      </c>
      <c r="F13" s="10">
        <v>1.3</v>
      </c>
      <c r="H13" s="10">
        <v>-0.4</v>
      </c>
      <c r="J13" s="10">
        <v>-0.7</v>
      </c>
      <c r="L13" s="10">
        <v>0</v>
      </c>
      <c r="N13" s="10">
        <v>0.3</v>
      </c>
      <c r="P13" s="10">
        <v>-0.2</v>
      </c>
      <c r="R13" s="10">
        <v>0.3</v>
      </c>
      <c r="T13" s="10">
        <v>-0.5</v>
      </c>
      <c r="V13" s="10">
        <v>0.9</v>
      </c>
      <c r="X13" s="10">
        <v>0</v>
      </c>
    </row>
    <row r="14" spans="1:26" s="10" customFormat="1" x14ac:dyDescent="0.15">
      <c r="A14" s="10" t="s">
        <v>213</v>
      </c>
    </row>
    <row r="15" spans="1:26" s="6" customFormat="1" ht="16" x14ac:dyDescent="0.2">
      <c r="A15" s="6" t="s">
        <v>45</v>
      </c>
      <c r="B15" s="18" t="s">
        <v>103</v>
      </c>
      <c r="C15" s="47" t="s">
        <v>369</v>
      </c>
      <c r="D15" s="19" t="s">
        <v>50</v>
      </c>
      <c r="E15" s="47" t="s">
        <v>368</v>
      </c>
      <c r="F15" s="18" t="s">
        <v>55</v>
      </c>
      <c r="G15" s="47" t="s">
        <v>358</v>
      </c>
      <c r="H15" s="19" t="s">
        <v>60</v>
      </c>
      <c r="I15" s="47" t="s">
        <v>359</v>
      </c>
      <c r="J15" s="19" t="s">
        <v>65</v>
      </c>
      <c r="K15" s="47" t="s">
        <v>360</v>
      </c>
      <c r="L15" s="20" t="s">
        <v>70</v>
      </c>
      <c r="M15" s="47" t="s">
        <v>361</v>
      </c>
      <c r="N15" s="22" t="s">
        <v>75</v>
      </c>
      <c r="O15" s="47" t="s">
        <v>362</v>
      </c>
      <c r="P15" s="20" t="s">
        <v>80</v>
      </c>
      <c r="Q15" s="47" t="s">
        <v>363</v>
      </c>
      <c r="R15" s="22" t="s">
        <v>85</v>
      </c>
      <c r="S15" s="47" t="s">
        <v>365</v>
      </c>
      <c r="T15" s="20" t="s">
        <v>89</v>
      </c>
      <c r="U15" s="47" t="s">
        <v>366</v>
      </c>
      <c r="V15" s="22" t="s">
        <v>94</v>
      </c>
      <c r="W15" s="47" t="s">
        <v>367</v>
      </c>
      <c r="X15" s="22" t="s">
        <v>99</v>
      </c>
      <c r="Y15" s="47" t="s">
        <v>370</v>
      </c>
      <c r="Z15" s="2" t="s">
        <v>353</v>
      </c>
    </row>
    <row r="16" spans="1:26" s="6" customFormat="1" ht="16" x14ac:dyDescent="0.2">
      <c r="A16" s="6" t="s">
        <v>46</v>
      </c>
      <c r="B16" s="19" t="s">
        <v>104</v>
      </c>
      <c r="C16" s="48"/>
      <c r="D16" s="18" t="s">
        <v>51</v>
      </c>
      <c r="E16" s="48"/>
      <c r="F16" s="18" t="s">
        <v>56</v>
      </c>
      <c r="G16" s="48"/>
      <c r="H16" s="19" t="s">
        <v>61</v>
      </c>
      <c r="I16" s="48"/>
      <c r="J16" s="19" t="s">
        <v>66</v>
      </c>
      <c r="K16" s="48"/>
      <c r="L16" s="20" t="s">
        <v>71</v>
      </c>
      <c r="M16" s="48"/>
      <c r="N16" s="22" t="s">
        <v>76</v>
      </c>
      <c r="O16" s="48"/>
      <c r="P16" s="20" t="s">
        <v>81</v>
      </c>
      <c r="Q16" s="48"/>
      <c r="R16" s="22" t="s">
        <v>86</v>
      </c>
      <c r="S16" s="48"/>
      <c r="T16" s="20" t="s">
        <v>90</v>
      </c>
      <c r="U16" s="48"/>
      <c r="V16" s="22" t="s">
        <v>95</v>
      </c>
      <c r="W16" s="48"/>
      <c r="X16" s="20" t="s">
        <v>355</v>
      </c>
      <c r="Y16" s="48"/>
      <c r="Z16" s="2" t="s">
        <v>354</v>
      </c>
    </row>
    <row r="17" spans="1:26" s="6" customFormat="1" ht="16" x14ac:dyDescent="0.2">
      <c r="A17" s="6" t="s">
        <v>47</v>
      </c>
      <c r="B17" s="18" t="s">
        <v>105</v>
      </c>
      <c r="C17" s="48"/>
      <c r="D17" s="19" t="s">
        <v>52</v>
      </c>
      <c r="E17" s="48"/>
      <c r="F17" s="18" t="s">
        <v>57</v>
      </c>
      <c r="G17" s="48"/>
      <c r="H17" s="19" t="s">
        <v>62</v>
      </c>
      <c r="I17" s="48"/>
      <c r="J17" s="18" t="s">
        <v>67</v>
      </c>
      <c r="K17" s="48"/>
      <c r="L17" s="22" t="s">
        <v>72</v>
      </c>
      <c r="M17" s="48"/>
      <c r="N17" s="20" t="s">
        <v>77</v>
      </c>
      <c r="O17" s="48"/>
      <c r="P17" s="20" t="s">
        <v>82</v>
      </c>
      <c r="Q17" s="48"/>
      <c r="R17" s="22" t="s">
        <v>87</v>
      </c>
      <c r="S17" s="48"/>
      <c r="T17" s="20" t="s">
        <v>91</v>
      </c>
      <c r="U17" s="48"/>
      <c r="V17" s="22" t="s">
        <v>96</v>
      </c>
      <c r="W17" s="48"/>
      <c r="X17" s="20" t="s">
        <v>100</v>
      </c>
      <c r="Y17" s="48"/>
      <c r="Z17" s="2" t="s">
        <v>357</v>
      </c>
    </row>
    <row r="18" spans="1:26" s="6" customFormat="1" ht="16" x14ac:dyDescent="0.2">
      <c r="A18" s="6" t="s">
        <v>48</v>
      </c>
      <c r="B18" s="19" t="s">
        <v>106</v>
      </c>
      <c r="C18" s="48"/>
      <c r="D18" s="19" t="s">
        <v>53</v>
      </c>
      <c r="E18" s="48"/>
      <c r="F18" s="18" t="s">
        <v>58</v>
      </c>
      <c r="G18" s="48"/>
      <c r="H18" s="19" t="s">
        <v>63</v>
      </c>
      <c r="I18" s="48"/>
      <c r="J18" s="19" t="s">
        <v>68</v>
      </c>
      <c r="K18" s="48"/>
      <c r="L18" s="20" t="s">
        <v>73</v>
      </c>
      <c r="M18" s="48"/>
      <c r="N18" s="22" t="s">
        <v>78</v>
      </c>
      <c r="O18" s="48"/>
      <c r="P18" s="20" t="s">
        <v>83</v>
      </c>
      <c r="Q18" s="48"/>
      <c r="R18" s="22" t="s">
        <v>364</v>
      </c>
      <c r="S18" s="48"/>
      <c r="T18" s="20" t="s">
        <v>92</v>
      </c>
      <c r="U18" s="48"/>
      <c r="V18" s="24" t="s">
        <v>97</v>
      </c>
      <c r="W18" s="48"/>
      <c r="X18" s="24" t="s">
        <v>101</v>
      </c>
      <c r="Y18" s="48"/>
      <c r="Z18" s="2" t="s">
        <v>209</v>
      </c>
    </row>
    <row r="19" spans="1:26" s="6" customFormat="1" ht="16" x14ac:dyDescent="0.2">
      <c r="A19" s="6" t="s">
        <v>49</v>
      </c>
      <c r="B19" s="13" t="s">
        <v>107</v>
      </c>
      <c r="C19" s="48"/>
      <c r="D19" s="13" t="s">
        <v>54</v>
      </c>
      <c r="E19" s="48"/>
      <c r="F19" s="13" t="s">
        <v>59</v>
      </c>
      <c r="G19" s="48"/>
      <c r="H19" s="13" t="s">
        <v>64</v>
      </c>
      <c r="I19" s="48"/>
      <c r="J19" s="13" t="s">
        <v>69</v>
      </c>
      <c r="K19" s="48"/>
      <c r="L19" s="2" t="s">
        <v>74</v>
      </c>
      <c r="M19" s="48"/>
      <c r="N19" s="2" t="s">
        <v>79</v>
      </c>
      <c r="O19" s="48"/>
      <c r="P19" s="2" t="s">
        <v>84</v>
      </c>
      <c r="Q19" s="48"/>
      <c r="R19" s="2" t="s">
        <v>88</v>
      </c>
      <c r="S19" s="48"/>
      <c r="T19" s="2" t="s">
        <v>93</v>
      </c>
      <c r="U19" s="48"/>
      <c r="V19" s="2" t="s">
        <v>98</v>
      </c>
      <c r="W19" s="48"/>
      <c r="X19" s="11" t="s">
        <v>102</v>
      </c>
      <c r="Y19" s="48"/>
      <c r="Z19" s="2" t="s">
        <v>210</v>
      </c>
    </row>
    <row r="20" spans="1:26" s="6" customFormat="1" ht="16" x14ac:dyDescent="0.2">
      <c r="A20" s="6" t="s">
        <v>108</v>
      </c>
      <c r="B20" s="18" t="s">
        <v>113</v>
      </c>
      <c r="C20" s="48"/>
      <c r="D20" s="19" t="s">
        <v>114</v>
      </c>
      <c r="E20" s="48"/>
      <c r="F20" s="18" t="s">
        <v>115</v>
      </c>
      <c r="G20" s="48"/>
      <c r="H20" s="18" t="s">
        <v>116</v>
      </c>
      <c r="I20" s="48"/>
      <c r="J20" s="19" t="s">
        <v>117</v>
      </c>
      <c r="K20" s="48"/>
      <c r="L20" s="19" t="s">
        <v>118</v>
      </c>
      <c r="M20" s="48"/>
      <c r="N20" s="18" t="s">
        <v>119</v>
      </c>
      <c r="O20" s="48"/>
      <c r="P20" s="18" t="s">
        <v>120</v>
      </c>
      <c r="Q20" s="48"/>
      <c r="R20" s="18" t="s">
        <v>121</v>
      </c>
      <c r="S20" s="48"/>
      <c r="T20" s="19" t="s">
        <v>122</v>
      </c>
      <c r="U20" s="48"/>
      <c r="V20" s="18" t="s">
        <v>123</v>
      </c>
      <c r="W20" s="48"/>
      <c r="X20" s="18" t="s">
        <v>124</v>
      </c>
      <c r="Y20" s="48"/>
      <c r="Z20" s="11" t="s">
        <v>227</v>
      </c>
    </row>
    <row r="21" spans="1:26" s="6" customFormat="1" ht="16" x14ac:dyDescent="0.2">
      <c r="A21" s="12" t="s">
        <v>228</v>
      </c>
      <c r="B21" s="13" t="s">
        <v>125</v>
      </c>
      <c r="C21" s="48"/>
      <c r="D21" s="13" t="s">
        <v>126</v>
      </c>
      <c r="E21" s="48"/>
      <c r="F21" s="13" t="s">
        <v>127</v>
      </c>
      <c r="G21" s="48"/>
      <c r="H21" s="13" t="s">
        <v>128</v>
      </c>
      <c r="I21" s="48"/>
      <c r="J21" s="13" t="s">
        <v>129</v>
      </c>
      <c r="K21" s="48"/>
      <c r="L21" s="13" t="s">
        <v>130</v>
      </c>
      <c r="M21" s="48"/>
      <c r="N21" s="13" t="s">
        <v>131</v>
      </c>
      <c r="O21" s="48"/>
      <c r="P21" s="13" t="s">
        <v>132</v>
      </c>
      <c r="Q21" s="48"/>
      <c r="R21" s="13" t="s">
        <v>133</v>
      </c>
      <c r="S21" s="48"/>
      <c r="T21" s="13" t="s">
        <v>134</v>
      </c>
      <c r="U21" s="48"/>
      <c r="V21" s="13" t="s">
        <v>135</v>
      </c>
      <c r="W21" s="48"/>
      <c r="X21" s="13" t="s">
        <v>136</v>
      </c>
      <c r="Y21" s="48"/>
      <c r="Z21" s="11" t="s">
        <v>229</v>
      </c>
    </row>
    <row r="22" spans="1:26" s="6" customFormat="1" ht="16" x14ac:dyDescent="0.2">
      <c r="A22" s="12" t="s">
        <v>235</v>
      </c>
      <c r="B22" s="19" t="s">
        <v>137</v>
      </c>
      <c r="C22" s="48"/>
      <c r="D22" s="19" t="s">
        <v>138</v>
      </c>
      <c r="E22" s="48"/>
      <c r="F22" s="18" t="s">
        <v>139</v>
      </c>
      <c r="G22" s="48"/>
      <c r="H22" s="19" t="s">
        <v>140</v>
      </c>
      <c r="I22" s="48"/>
      <c r="J22" s="19" t="s">
        <v>141</v>
      </c>
      <c r="K22" s="48"/>
      <c r="L22" s="19" t="s">
        <v>142</v>
      </c>
      <c r="M22" s="48"/>
      <c r="N22" s="18" t="s">
        <v>143</v>
      </c>
      <c r="O22" s="48"/>
      <c r="P22" s="19" t="s">
        <v>144</v>
      </c>
      <c r="Q22" s="48"/>
      <c r="R22" s="18" t="s">
        <v>145</v>
      </c>
      <c r="S22" s="48"/>
      <c r="T22" s="19" t="s">
        <v>146</v>
      </c>
      <c r="U22" s="48"/>
      <c r="V22" s="18" t="s">
        <v>147</v>
      </c>
      <c r="W22" s="48"/>
      <c r="X22" s="18" t="s">
        <v>148</v>
      </c>
      <c r="Y22" s="48"/>
      <c r="Z22" s="11" t="s">
        <v>236</v>
      </c>
    </row>
    <row r="23" spans="1:26" s="6" customFormat="1" ht="16" x14ac:dyDescent="0.2">
      <c r="A23" s="6" t="s">
        <v>230</v>
      </c>
      <c r="B23" s="18" t="s">
        <v>149</v>
      </c>
      <c r="C23" s="48"/>
      <c r="D23" s="18" t="s">
        <v>150</v>
      </c>
      <c r="E23" s="48"/>
      <c r="F23" s="18" t="s">
        <v>151</v>
      </c>
      <c r="G23" s="48"/>
      <c r="H23" s="19" t="s">
        <v>152</v>
      </c>
      <c r="I23" s="48"/>
      <c r="J23" s="19" t="s">
        <v>153</v>
      </c>
      <c r="K23" s="48"/>
      <c r="L23" s="19" t="s">
        <v>154</v>
      </c>
      <c r="M23" s="48"/>
      <c r="N23" s="18" t="s">
        <v>155</v>
      </c>
      <c r="O23" s="48"/>
      <c r="P23" s="19" t="s">
        <v>156</v>
      </c>
      <c r="Q23" s="48"/>
      <c r="R23" s="18" t="s">
        <v>157</v>
      </c>
      <c r="S23" s="48"/>
      <c r="T23" s="19" t="s">
        <v>158</v>
      </c>
      <c r="U23" s="48"/>
      <c r="V23" s="19" t="s">
        <v>159</v>
      </c>
      <c r="W23" s="48"/>
      <c r="X23" s="18" t="s">
        <v>160</v>
      </c>
      <c r="Y23" s="48"/>
      <c r="Z23" s="11" t="s">
        <v>231</v>
      </c>
    </row>
    <row r="24" spans="1:26" s="6" customFormat="1" ht="16" x14ac:dyDescent="0.2">
      <c r="A24" s="6" t="s">
        <v>109</v>
      </c>
      <c r="B24" s="13" t="s">
        <v>161</v>
      </c>
      <c r="C24" s="48"/>
      <c r="D24" s="13" t="s">
        <v>162</v>
      </c>
      <c r="E24" s="48"/>
      <c r="F24" s="13" t="s">
        <v>163</v>
      </c>
      <c r="G24" s="48"/>
      <c r="H24" s="13" t="s">
        <v>164</v>
      </c>
      <c r="I24" s="48"/>
      <c r="J24" s="13" t="s">
        <v>165</v>
      </c>
      <c r="K24" s="48"/>
      <c r="L24" s="13" t="s">
        <v>166</v>
      </c>
      <c r="M24" s="48"/>
      <c r="N24" s="13" t="s">
        <v>167</v>
      </c>
      <c r="O24" s="48"/>
      <c r="P24" s="13" t="s">
        <v>168</v>
      </c>
      <c r="Q24" s="48"/>
      <c r="R24" s="13" t="s">
        <v>169</v>
      </c>
      <c r="S24" s="48"/>
      <c r="T24" s="13" t="s">
        <v>170</v>
      </c>
      <c r="U24" s="48"/>
      <c r="V24" s="13" t="s">
        <v>171</v>
      </c>
      <c r="W24" s="48"/>
      <c r="X24" s="13" t="s">
        <v>172</v>
      </c>
      <c r="Y24" s="48"/>
      <c r="Z24" s="6" t="s">
        <v>232</v>
      </c>
    </row>
    <row r="25" spans="1:26" s="6" customFormat="1" ht="16" x14ac:dyDescent="0.2">
      <c r="A25" s="12" t="s">
        <v>110</v>
      </c>
      <c r="B25" s="19" t="s">
        <v>173</v>
      </c>
      <c r="C25" s="48"/>
      <c r="D25" s="19" t="s">
        <v>174</v>
      </c>
      <c r="E25" s="48"/>
      <c r="F25" s="18" t="s">
        <v>175</v>
      </c>
      <c r="G25" s="48"/>
      <c r="H25" s="19" t="s">
        <v>176</v>
      </c>
      <c r="I25" s="48"/>
      <c r="J25" s="18" t="s">
        <v>177</v>
      </c>
      <c r="K25" s="48"/>
      <c r="L25" s="21" t="s">
        <v>178</v>
      </c>
      <c r="M25" s="48"/>
      <c r="N25" s="19" t="s">
        <v>179</v>
      </c>
      <c r="O25" s="48"/>
      <c r="P25" s="18" t="s">
        <v>180</v>
      </c>
      <c r="Q25" s="48"/>
      <c r="R25" s="19" t="s">
        <v>181</v>
      </c>
      <c r="S25" s="48"/>
      <c r="T25" s="19" t="s">
        <v>182</v>
      </c>
      <c r="U25" s="48"/>
      <c r="V25" s="19" t="s">
        <v>183</v>
      </c>
      <c r="W25" s="48"/>
      <c r="X25" s="19" t="s">
        <v>184</v>
      </c>
      <c r="Y25" s="48"/>
      <c r="Z25" s="14" t="s">
        <v>233</v>
      </c>
    </row>
    <row r="26" spans="1:26" s="6" customFormat="1" ht="16" x14ac:dyDescent="0.2">
      <c r="A26" s="6" t="s">
        <v>111</v>
      </c>
      <c r="B26" s="19" t="s">
        <v>185</v>
      </c>
      <c r="C26" s="48"/>
      <c r="D26" s="19" t="s">
        <v>186</v>
      </c>
      <c r="E26" s="48"/>
      <c r="F26" s="13" t="s">
        <v>187</v>
      </c>
      <c r="G26" s="48"/>
      <c r="H26" s="13" t="s">
        <v>188</v>
      </c>
      <c r="I26" s="48"/>
      <c r="J26" s="13" t="s">
        <v>189</v>
      </c>
      <c r="K26" s="48"/>
      <c r="L26" s="13" t="s">
        <v>190</v>
      </c>
      <c r="M26" s="48"/>
      <c r="N26" s="13" t="s">
        <v>191</v>
      </c>
      <c r="O26" s="48"/>
      <c r="P26" s="13" t="s">
        <v>192</v>
      </c>
      <c r="Q26" s="48"/>
      <c r="R26" s="13" t="s">
        <v>193</v>
      </c>
      <c r="S26" s="48"/>
      <c r="T26" s="13" t="s">
        <v>194</v>
      </c>
      <c r="U26" s="48"/>
      <c r="V26" s="13" t="s">
        <v>195</v>
      </c>
      <c r="W26" s="48"/>
      <c r="X26" s="13" t="s">
        <v>196</v>
      </c>
      <c r="Y26" s="48"/>
      <c r="Z26" s="15" t="s">
        <v>234</v>
      </c>
    </row>
    <row r="27" spans="1:26" s="6" customFormat="1" ht="16" x14ac:dyDescent="0.2">
      <c r="A27" s="6" t="s">
        <v>112</v>
      </c>
      <c r="B27" s="13" t="s">
        <v>197</v>
      </c>
      <c r="C27" s="48"/>
      <c r="D27" s="13" t="s">
        <v>198</v>
      </c>
      <c r="E27" s="48"/>
      <c r="F27" s="13" t="s">
        <v>199</v>
      </c>
      <c r="G27" s="48"/>
      <c r="H27" s="13" t="s">
        <v>200</v>
      </c>
      <c r="I27" s="48"/>
      <c r="J27" s="13" t="s">
        <v>201</v>
      </c>
      <c r="K27" s="48"/>
      <c r="L27" s="13" t="s">
        <v>202</v>
      </c>
      <c r="M27" s="48"/>
      <c r="N27" s="13" t="s">
        <v>203</v>
      </c>
      <c r="O27" s="48"/>
      <c r="P27" s="13" t="s">
        <v>204</v>
      </c>
      <c r="Q27" s="48"/>
      <c r="R27" s="13" t="s">
        <v>205</v>
      </c>
      <c r="S27" s="48"/>
      <c r="T27" s="13" t="s">
        <v>206</v>
      </c>
      <c r="U27" s="48"/>
      <c r="V27" s="13" t="s">
        <v>207</v>
      </c>
      <c r="W27" s="48"/>
      <c r="X27" s="13" t="s">
        <v>208</v>
      </c>
      <c r="Y27" s="48"/>
    </row>
    <row r="28" spans="1:26" s="7" customFormat="1" x14ac:dyDescent="0.15">
      <c r="A28" s="7" t="s">
        <v>44</v>
      </c>
      <c r="B28" s="7" t="s">
        <v>0</v>
      </c>
      <c r="D28" s="7" t="s">
        <v>1</v>
      </c>
      <c r="F28" s="7" t="s">
        <v>0</v>
      </c>
      <c r="H28" s="7" t="s">
        <v>0</v>
      </c>
      <c r="J28" s="7" t="s">
        <v>1</v>
      </c>
      <c r="L28" s="7" t="s">
        <v>0</v>
      </c>
      <c r="N28" s="7" t="s">
        <v>1</v>
      </c>
      <c r="P28" s="7" t="s">
        <v>0</v>
      </c>
      <c r="R28" s="7" t="s">
        <v>1</v>
      </c>
      <c r="T28" s="7" t="s">
        <v>1</v>
      </c>
      <c r="V28" s="7" t="s">
        <v>0</v>
      </c>
      <c r="X28" s="7" t="s">
        <v>0</v>
      </c>
    </row>
    <row r="29" spans="1:26" s="34" customFormat="1" x14ac:dyDescent="0.15">
      <c r="A29" s="35" t="s">
        <v>212</v>
      </c>
      <c r="B29" s="34" t="s">
        <v>31</v>
      </c>
      <c r="C29" s="34" t="s">
        <v>356</v>
      </c>
      <c r="D29" s="34" t="s">
        <v>32</v>
      </c>
      <c r="E29" s="34" t="s">
        <v>356</v>
      </c>
      <c r="F29" s="34" t="s">
        <v>33</v>
      </c>
      <c r="G29" s="34" t="s">
        <v>356</v>
      </c>
      <c r="H29" s="34" t="s">
        <v>34</v>
      </c>
      <c r="I29" s="34" t="s">
        <v>356</v>
      </c>
      <c r="J29" s="34" t="s">
        <v>35</v>
      </c>
      <c r="K29" s="34" t="s">
        <v>356</v>
      </c>
      <c r="L29" s="34" t="s">
        <v>36</v>
      </c>
      <c r="M29" s="34" t="s">
        <v>356</v>
      </c>
      <c r="N29" s="34" t="s">
        <v>37</v>
      </c>
      <c r="O29" s="34" t="s">
        <v>356</v>
      </c>
      <c r="P29" s="34" t="s">
        <v>38</v>
      </c>
      <c r="Q29" s="34" t="s">
        <v>356</v>
      </c>
      <c r="R29" s="34" t="s">
        <v>39</v>
      </c>
      <c r="S29" s="34" t="s">
        <v>356</v>
      </c>
      <c r="T29" s="34" t="s">
        <v>40</v>
      </c>
      <c r="U29" s="34" t="s">
        <v>356</v>
      </c>
      <c r="V29" s="34" t="s">
        <v>41</v>
      </c>
      <c r="W29" s="34" t="s">
        <v>356</v>
      </c>
      <c r="X29" s="34" t="s">
        <v>42</v>
      </c>
      <c r="Y29" s="34" t="s">
        <v>356</v>
      </c>
    </row>
    <row r="30" spans="1:26" s="34" customFormat="1" x14ac:dyDescent="0.15">
      <c r="A30" s="35" t="s">
        <v>535</v>
      </c>
      <c r="B30" s="34">
        <v>50</v>
      </c>
      <c r="D30" s="34">
        <v>49.2</v>
      </c>
      <c r="F30" s="34">
        <v>50.5</v>
      </c>
      <c r="H30" s="34">
        <v>50.1</v>
      </c>
      <c r="J30" s="34">
        <v>49.4</v>
      </c>
      <c r="L30" s="34">
        <v>49.4</v>
      </c>
      <c r="N30" s="34">
        <v>49.7</v>
      </c>
      <c r="P30" s="34">
        <v>49.5</v>
      </c>
      <c r="R30" s="34">
        <v>49.8</v>
      </c>
      <c r="T30" s="34">
        <v>49.3</v>
      </c>
      <c r="V30" s="34">
        <v>50.2</v>
      </c>
      <c r="X30" s="34">
        <v>50.2</v>
      </c>
    </row>
    <row r="31" spans="1:26" s="10" customFormat="1" x14ac:dyDescent="0.15">
      <c r="A31" s="10" t="s">
        <v>43</v>
      </c>
      <c r="B31" s="10">
        <v>-0.2</v>
      </c>
      <c r="D31" s="10">
        <v>-0.3</v>
      </c>
      <c r="F31" s="10">
        <v>1.3</v>
      </c>
      <c r="H31" s="10">
        <v>-0.4</v>
      </c>
      <c r="J31" s="10">
        <v>-0.7</v>
      </c>
      <c r="L31" s="10">
        <v>0</v>
      </c>
      <c r="N31" s="10">
        <v>0.3</v>
      </c>
      <c r="P31" s="10">
        <v>-0.2</v>
      </c>
      <c r="R31" s="10">
        <v>0.3</v>
      </c>
      <c r="T31" s="10">
        <v>-0.5</v>
      </c>
      <c r="V31" s="10">
        <v>0.9</v>
      </c>
      <c r="X31" s="10">
        <v>0</v>
      </c>
    </row>
    <row r="32" spans="1:26" s="10" customFormat="1" x14ac:dyDescent="0.15">
      <c r="A32" s="10" t="s">
        <v>213</v>
      </c>
    </row>
    <row r="33" spans="1:26" s="6" customFormat="1" ht="16" x14ac:dyDescent="0.2">
      <c r="A33" s="6" t="s">
        <v>45</v>
      </c>
      <c r="B33" s="22" t="s">
        <v>536</v>
      </c>
      <c r="C33" s="47" t="s">
        <v>369</v>
      </c>
      <c r="D33" s="19" t="s">
        <v>50</v>
      </c>
      <c r="E33" s="47" t="s">
        <v>368</v>
      </c>
      <c r="F33" s="18" t="s">
        <v>55</v>
      </c>
      <c r="G33" s="47" t="s">
        <v>358</v>
      </c>
      <c r="H33" s="19" t="s">
        <v>60</v>
      </c>
      <c r="I33" s="47" t="s">
        <v>359</v>
      </c>
      <c r="J33" s="19" t="s">
        <v>65</v>
      </c>
      <c r="K33" s="47" t="s">
        <v>360</v>
      </c>
      <c r="L33" s="20" t="s">
        <v>70</v>
      </c>
      <c r="M33" s="47" t="s">
        <v>361</v>
      </c>
      <c r="N33" s="22" t="s">
        <v>75</v>
      </c>
      <c r="O33" s="47" t="s">
        <v>362</v>
      </c>
      <c r="P33" s="20" t="s">
        <v>80</v>
      </c>
      <c r="Q33" s="47" t="s">
        <v>363</v>
      </c>
      <c r="R33" s="22" t="s">
        <v>85</v>
      </c>
      <c r="S33" s="47" t="s">
        <v>365</v>
      </c>
      <c r="T33" s="20" t="s">
        <v>89</v>
      </c>
      <c r="U33" s="47" t="s">
        <v>366</v>
      </c>
      <c r="V33" s="22" t="s">
        <v>94</v>
      </c>
      <c r="W33" s="47" t="s">
        <v>367</v>
      </c>
      <c r="X33" s="22" t="s">
        <v>99</v>
      </c>
      <c r="Y33" s="47" t="s">
        <v>370</v>
      </c>
      <c r="Z33" s="2" t="s">
        <v>353</v>
      </c>
    </row>
    <row r="34" spans="1:26" s="6" customFormat="1" ht="16" x14ac:dyDescent="0.2">
      <c r="A34" s="6" t="s">
        <v>46</v>
      </c>
      <c r="B34" s="20" t="s">
        <v>537</v>
      </c>
      <c r="C34" s="48"/>
      <c r="D34" s="18" t="s">
        <v>51</v>
      </c>
      <c r="E34" s="48"/>
      <c r="F34" s="18" t="s">
        <v>56</v>
      </c>
      <c r="G34" s="48"/>
      <c r="H34" s="19" t="s">
        <v>61</v>
      </c>
      <c r="I34" s="48"/>
      <c r="J34" s="19" t="s">
        <v>66</v>
      </c>
      <c r="K34" s="48"/>
      <c r="L34" s="20" t="s">
        <v>71</v>
      </c>
      <c r="M34" s="48"/>
      <c r="N34" s="22" t="s">
        <v>76</v>
      </c>
      <c r="O34" s="48"/>
      <c r="P34" s="20" t="s">
        <v>81</v>
      </c>
      <c r="Q34" s="48"/>
      <c r="R34" s="22" t="s">
        <v>86</v>
      </c>
      <c r="S34" s="48"/>
      <c r="T34" s="20" t="s">
        <v>90</v>
      </c>
      <c r="U34" s="48"/>
      <c r="V34" s="22" t="s">
        <v>95</v>
      </c>
      <c r="W34" s="48"/>
      <c r="X34" s="20" t="s">
        <v>355</v>
      </c>
      <c r="Y34" s="48"/>
      <c r="Z34" s="2" t="s">
        <v>354</v>
      </c>
    </row>
    <row r="35" spans="1:26" s="6" customFormat="1" ht="16" x14ac:dyDescent="0.2">
      <c r="A35" s="6" t="s">
        <v>47</v>
      </c>
      <c r="B35" s="20" t="s">
        <v>538</v>
      </c>
      <c r="C35" s="48"/>
      <c r="D35" s="19" t="s">
        <v>52</v>
      </c>
      <c r="E35" s="48"/>
      <c r="F35" s="18" t="s">
        <v>57</v>
      </c>
      <c r="G35" s="48"/>
      <c r="H35" s="19" t="s">
        <v>62</v>
      </c>
      <c r="I35" s="48"/>
      <c r="J35" s="18" t="s">
        <v>67</v>
      </c>
      <c r="K35" s="48"/>
      <c r="L35" s="22" t="s">
        <v>72</v>
      </c>
      <c r="M35" s="48"/>
      <c r="N35" s="20" t="s">
        <v>77</v>
      </c>
      <c r="O35" s="48"/>
      <c r="P35" s="20" t="s">
        <v>82</v>
      </c>
      <c r="Q35" s="48"/>
      <c r="R35" s="22" t="s">
        <v>87</v>
      </c>
      <c r="S35" s="48"/>
      <c r="T35" s="20" t="s">
        <v>91</v>
      </c>
      <c r="U35" s="48"/>
      <c r="V35" s="22" t="s">
        <v>96</v>
      </c>
      <c r="W35" s="48"/>
      <c r="X35" s="20" t="s">
        <v>100</v>
      </c>
      <c r="Y35" s="48"/>
      <c r="Z35" s="2" t="s">
        <v>357</v>
      </c>
    </row>
    <row r="36" spans="1:26" s="6" customFormat="1" ht="16" x14ac:dyDescent="0.2">
      <c r="A36" s="6" t="s">
        <v>48</v>
      </c>
      <c r="B36" s="24" t="s">
        <v>539</v>
      </c>
      <c r="C36" s="48"/>
      <c r="D36" s="19" t="s">
        <v>53</v>
      </c>
      <c r="E36" s="48"/>
      <c r="F36" s="18" t="s">
        <v>58</v>
      </c>
      <c r="G36" s="48"/>
      <c r="H36" s="19" t="s">
        <v>63</v>
      </c>
      <c r="I36" s="48"/>
      <c r="J36" s="19" t="s">
        <v>68</v>
      </c>
      <c r="K36" s="48"/>
      <c r="L36" s="20" t="s">
        <v>73</v>
      </c>
      <c r="M36" s="48"/>
      <c r="N36" s="22" t="s">
        <v>78</v>
      </c>
      <c r="O36" s="48"/>
      <c r="P36" s="20" t="s">
        <v>83</v>
      </c>
      <c r="Q36" s="48"/>
      <c r="R36" s="22" t="s">
        <v>364</v>
      </c>
      <c r="S36" s="48"/>
      <c r="T36" s="20" t="s">
        <v>92</v>
      </c>
      <c r="U36" s="48"/>
      <c r="V36" s="24" t="s">
        <v>97</v>
      </c>
      <c r="W36" s="48"/>
      <c r="X36" s="24" t="s">
        <v>101</v>
      </c>
      <c r="Y36" s="48"/>
      <c r="Z36" s="2" t="s">
        <v>209</v>
      </c>
    </row>
    <row r="37" spans="1:26" s="6" customFormat="1" ht="16" x14ac:dyDescent="0.2">
      <c r="A37" s="6" t="s">
        <v>49</v>
      </c>
      <c r="B37" s="11" t="s">
        <v>540</v>
      </c>
      <c r="C37" s="48"/>
      <c r="D37" s="13" t="s">
        <v>54</v>
      </c>
      <c r="E37" s="48"/>
      <c r="F37" s="13" t="s">
        <v>59</v>
      </c>
      <c r="G37" s="48"/>
      <c r="H37" s="13" t="s">
        <v>64</v>
      </c>
      <c r="I37" s="48"/>
      <c r="J37" s="13" t="s">
        <v>69</v>
      </c>
      <c r="K37" s="48"/>
      <c r="L37" s="2" t="s">
        <v>74</v>
      </c>
      <c r="M37" s="48"/>
      <c r="N37" s="2" t="s">
        <v>79</v>
      </c>
      <c r="O37" s="48"/>
      <c r="P37" s="2" t="s">
        <v>84</v>
      </c>
      <c r="Q37" s="48"/>
      <c r="R37" s="2" t="s">
        <v>88</v>
      </c>
      <c r="S37" s="48"/>
      <c r="T37" s="2" t="s">
        <v>93</v>
      </c>
      <c r="U37" s="48"/>
      <c r="V37" s="2" t="s">
        <v>98</v>
      </c>
      <c r="W37" s="48"/>
      <c r="X37" s="11" t="s">
        <v>102</v>
      </c>
      <c r="Y37" s="48"/>
      <c r="Z37" s="2" t="s">
        <v>210</v>
      </c>
    </row>
    <row r="38" spans="1:26" s="6" customFormat="1" ht="16" x14ac:dyDescent="0.2">
      <c r="A38" s="6" t="s">
        <v>108</v>
      </c>
      <c r="B38" s="18" t="s">
        <v>541</v>
      </c>
      <c r="C38" s="48"/>
      <c r="D38" s="19" t="s">
        <v>114</v>
      </c>
      <c r="E38" s="48"/>
      <c r="F38" s="18" t="s">
        <v>115</v>
      </c>
      <c r="G38" s="48"/>
      <c r="H38" s="18" t="s">
        <v>116</v>
      </c>
      <c r="I38" s="48"/>
      <c r="J38" s="19" t="s">
        <v>117</v>
      </c>
      <c r="K38" s="48"/>
      <c r="L38" s="19" t="s">
        <v>118</v>
      </c>
      <c r="M38" s="48"/>
      <c r="N38" s="18" t="s">
        <v>119</v>
      </c>
      <c r="O38" s="48"/>
      <c r="P38" s="18" t="s">
        <v>120</v>
      </c>
      <c r="Q38" s="48"/>
      <c r="R38" s="18" t="s">
        <v>121</v>
      </c>
      <c r="S38" s="48"/>
      <c r="T38" s="19" t="s">
        <v>122</v>
      </c>
      <c r="U38" s="48"/>
      <c r="V38" s="18" t="s">
        <v>123</v>
      </c>
      <c r="W38" s="48"/>
      <c r="X38" s="18" t="s">
        <v>124</v>
      </c>
      <c r="Y38" s="48"/>
      <c r="Z38" s="11" t="s">
        <v>227</v>
      </c>
    </row>
    <row r="39" spans="1:26" s="6" customFormat="1" ht="16" x14ac:dyDescent="0.2">
      <c r="A39" s="12" t="s">
        <v>228</v>
      </c>
      <c r="B39" s="13" t="s">
        <v>542</v>
      </c>
      <c r="C39" s="48"/>
      <c r="D39" s="13" t="s">
        <v>126</v>
      </c>
      <c r="E39" s="48"/>
      <c r="F39" s="13" t="s">
        <v>127</v>
      </c>
      <c r="G39" s="48"/>
      <c r="H39" s="13" t="s">
        <v>128</v>
      </c>
      <c r="I39" s="48"/>
      <c r="J39" s="13" t="s">
        <v>129</v>
      </c>
      <c r="K39" s="48"/>
      <c r="L39" s="13" t="s">
        <v>130</v>
      </c>
      <c r="M39" s="48"/>
      <c r="N39" s="13" t="s">
        <v>131</v>
      </c>
      <c r="O39" s="48"/>
      <c r="P39" s="13" t="s">
        <v>132</v>
      </c>
      <c r="Q39" s="48"/>
      <c r="R39" s="13" t="s">
        <v>133</v>
      </c>
      <c r="S39" s="48"/>
      <c r="T39" s="13" t="s">
        <v>134</v>
      </c>
      <c r="U39" s="48"/>
      <c r="V39" s="13" t="s">
        <v>135</v>
      </c>
      <c r="W39" s="48"/>
      <c r="X39" s="13" t="s">
        <v>136</v>
      </c>
      <c r="Y39" s="48"/>
      <c r="Z39" s="11" t="s">
        <v>229</v>
      </c>
    </row>
    <row r="40" spans="1:26" s="6" customFormat="1" ht="16" x14ac:dyDescent="0.2">
      <c r="A40" s="12" t="s">
        <v>235</v>
      </c>
      <c r="B40" s="18" t="s">
        <v>543</v>
      </c>
      <c r="C40" s="48"/>
      <c r="D40" s="19" t="s">
        <v>138</v>
      </c>
      <c r="E40" s="48"/>
      <c r="F40" s="18" t="s">
        <v>139</v>
      </c>
      <c r="G40" s="48"/>
      <c r="H40" s="19" t="s">
        <v>140</v>
      </c>
      <c r="I40" s="48"/>
      <c r="J40" s="19" t="s">
        <v>141</v>
      </c>
      <c r="K40" s="48"/>
      <c r="L40" s="19" t="s">
        <v>142</v>
      </c>
      <c r="M40" s="48"/>
      <c r="N40" s="18" t="s">
        <v>143</v>
      </c>
      <c r="O40" s="48"/>
      <c r="P40" s="19" t="s">
        <v>144</v>
      </c>
      <c r="Q40" s="48"/>
      <c r="R40" s="18" t="s">
        <v>145</v>
      </c>
      <c r="S40" s="48"/>
      <c r="T40" s="19" t="s">
        <v>146</v>
      </c>
      <c r="U40" s="48"/>
      <c r="V40" s="18" t="s">
        <v>147</v>
      </c>
      <c r="W40" s="48"/>
      <c r="X40" s="18" t="s">
        <v>148</v>
      </c>
      <c r="Y40" s="48"/>
      <c r="Z40" s="11" t="s">
        <v>236</v>
      </c>
    </row>
    <row r="41" spans="1:26" s="6" customFormat="1" ht="16" x14ac:dyDescent="0.2">
      <c r="A41" s="6" t="s">
        <v>230</v>
      </c>
      <c r="B41" s="18" t="s">
        <v>544</v>
      </c>
      <c r="C41" s="48"/>
      <c r="D41" s="18" t="s">
        <v>150</v>
      </c>
      <c r="E41" s="48"/>
      <c r="F41" s="18" t="s">
        <v>151</v>
      </c>
      <c r="G41" s="48"/>
      <c r="H41" s="19" t="s">
        <v>152</v>
      </c>
      <c r="I41" s="48"/>
      <c r="J41" s="19" t="s">
        <v>153</v>
      </c>
      <c r="K41" s="48"/>
      <c r="L41" s="19" t="s">
        <v>154</v>
      </c>
      <c r="M41" s="48"/>
      <c r="N41" s="18" t="s">
        <v>155</v>
      </c>
      <c r="O41" s="48"/>
      <c r="P41" s="19" t="s">
        <v>156</v>
      </c>
      <c r="Q41" s="48"/>
      <c r="R41" s="18" t="s">
        <v>157</v>
      </c>
      <c r="S41" s="48"/>
      <c r="T41" s="19" t="s">
        <v>158</v>
      </c>
      <c r="U41" s="48"/>
      <c r="V41" s="19" t="s">
        <v>159</v>
      </c>
      <c r="W41" s="48"/>
      <c r="X41" s="18" t="s">
        <v>160</v>
      </c>
      <c r="Y41" s="48"/>
      <c r="Z41" s="11" t="s">
        <v>231</v>
      </c>
    </row>
    <row r="42" spans="1:26" s="6" customFormat="1" ht="16" x14ac:dyDescent="0.2">
      <c r="A42" s="6" t="s">
        <v>109</v>
      </c>
      <c r="B42" s="13" t="s">
        <v>545</v>
      </c>
      <c r="C42" s="48"/>
      <c r="D42" s="13" t="s">
        <v>162</v>
      </c>
      <c r="E42" s="48"/>
      <c r="F42" s="13" t="s">
        <v>163</v>
      </c>
      <c r="G42" s="48"/>
      <c r="H42" s="13" t="s">
        <v>164</v>
      </c>
      <c r="I42" s="48"/>
      <c r="J42" s="13" t="s">
        <v>165</v>
      </c>
      <c r="K42" s="48"/>
      <c r="L42" s="13" t="s">
        <v>166</v>
      </c>
      <c r="M42" s="48"/>
      <c r="N42" s="13" t="s">
        <v>167</v>
      </c>
      <c r="O42" s="48"/>
      <c r="P42" s="13" t="s">
        <v>168</v>
      </c>
      <c r="Q42" s="48"/>
      <c r="R42" s="13" t="s">
        <v>169</v>
      </c>
      <c r="S42" s="48"/>
      <c r="T42" s="13" t="s">
        <v>170</v>
      </c>
      <c r="U42" s="48"/>
      <c r="V42" s="13" t="s">
        <v>171</v>
      </c>
      <c r="W42" s="48"/>
      <c r="X42" s="13" t="s">
        <v>172</v>
      </c>
      <c r="Y42" s="48"/>
      <c r="Z42" s="6" t="s">
        <v>232</v>
      </c>
    </row>
    <row r="43" spans="1:26" s="6" customFormat="1" ht="16" x14ac:dyDescent="0.2">
      <c r="A43" s="12" t="s">
        <v>110</v>
      </c>
      <c r="B43" s="19" t="s">
        <v>546</v>
      </c>
      <c r="C43" s="48"/>
      <c r="D43" s="19" t="s">
        <v>174</v>
      </c>
      <c r="E43" s="48"/>
      <c r="F43" s="18" t="s">
        <v>175</v>
      </c>
      <c r="G43" s="48"/>
      <c r="H43" s="19" t="s">
        <v>176</v>
      </c>
      <c r="I43" s="48"/>
      <c r="J43" s="18" t="s">
        <v>177</v>
      </c>
      <c r="K43" s="48"/>
      <c r="L43" s="21" t="s">
        <v>178</v>
      </c>
      <c r="M43" s="48"/>
      <c r="N43" s="19" t="s">
        <v>179</v>
      </c>
      <c r="O43" s="48"/>
      <c r="P43" s="18" t="s">
        <v>180</v>
      </c>
      <c r="Q43" s="48"/>
      <c r="R43" s="19" t="s">
        <v>181</v>
      </c>
      <c r="S43" s="48"/>
      <c r="T43" s="19" t="s">
        <v>182</v>
      </c>
      <c r="U43" s="48"/>
      <c r="V43" s="19" t="s">
        <v>183</v>
      </c>
      <c r="W43" s="48"/>
      <c r="X43" s="19" t="s">
        <v>184</v>
      </c>
      <c r="Y43" s="48"/>
      <c r="Z43" s="14" t="s">
        <v>233</v>
      </c>
    </row>
    <row r="44" spans="1:26" s="6" customFormat="1" ht="16" x14ac:dyDescent="0.2">
      <c r="A44" s="6" t="s">
        <v>111</v>
      </c>
      <c r="B44" s="13" t="s">
        <v>547</v>
      </c>
      <c r="C44" s="48"/>
      <c r="D44" s="19" t="s">
        <v>186</v>
      </c>
      <c r="E44" s="48"/>
      <c r="F44" s="13" t="s">
        <v>187</v>
      </c>
      <c r="G44" s="48"/>
      <c r="H44" s="13" t="s">
        <v>188</v>
      </c>
      <c r="I44" s="48"/>
      <c r="J44" s="13" t="s">
        <v>189</v>
      </c>
      <c r="K44" s="48"/>
      <c r="L44" s="13" t="s">
        <v>190</v>
      </c>
      <c r="M44" s="48"/>
      <c r="N44" s="13" t="s">
        <v>191</v>
      </c>
      <c r="O44" s="48"/>
      <c r="P44" s="13" t="s">
        <v>192</v>
      </c>
      <c r="Q44" s="48"/>
      <c r="R44" s="13" t="s">
        <v>193</v>
      </c>
      <c r="S44" s="48"/>
      <c r="T44" s="13" t="s">
        <v>194</v>
      </c>
      <c r="U44" s="48"/>
      <c r="V44" s="13" t="s">
        <v>195</v>
      </c>
      <c r="W44" s="48"/>
      <c r="X44" s="13" t="s">
        <v>196</v>
      </c>
      <c r="Y44" s="48"/>
      <c r="Z44" s="15" t="s">
        <v>234</v>
      </c>
    </row>
    <row r="45" spans="1:26" s="6" customFormat="1" ht="16" x14ac:dyDescent="0.2">
      <c r="A45" s="6" t="s">
        <v>112</v>
      </c>
      <c r="B45" s="13" t="s">
        <v>548</v>
      </c>
      <c r="C45" s="48"/>
      <c r="D45" s="13" t="s">
        <v>198</v>
      </c>
      <c r="E45" s="48"/>
      <c r="F45" s="13" t="s">
        <v>199</v>
      </c>
      <c r="G45" s="48"/>
      <c r="H45" s="13" t="s">
        <v>200</v>
      </c>
      <c r="I45" s="48"/>
      <c r="J45" s="13" t="s">
        <v>201</v>
      </c>
      <c r="K45" s="48"/>
      <c r="L45" s="13" t="s">
        <v>202</v>
      </c>
      <c r="M45" s="48"/>
      <c r="N45" s="13" t="s">
        <v>203</v>
      </c>
      <c r="O45" s="48"/>
      <c r="P45" s="13" t="s">
        <v>204</v>
      </c>
      <c r="Q45" s="48"/>
      <c r="R45" s="13" t="s">
        <v>205</v>
      </c>
      <c r="S45" s="48"/>
      <c r="T45" s="13" t="s">
        <v>206</v>
      </c>
      <c r="U45" s="48"/>
      <c r="V45" s="13" t="s">
        <v>207</v>
      </c>
      <c r="W45" s="48"/>
      <c r="X45" s="13" t="s">
        <v>208</v>
      </c>
      <c r="Y45" s="48"/>
    </row>
    <row r="46" spans="1:26" s="7" customFormat="1" x14ac:dyDescent="0.15">
      <c r="A46" s="7" t="s">
        <v>44</v>
      </c>
      <c r="B46" s="7" t="s">
        <v>0</v>
      </c>
      <c r="D46" s="7" t="s">
        <v>1</v>
      </c>
      <c r="F46" s="7" t="s">
        <v>0</v>
      </c>
      <c r="H46" s="7" t="s">
        <v>0</v>
      </c>
      <c r="J46" s="7" t="s">
        <v>1</v>
      </c>
      <c r="L46" s="7" t="s">
        <v>0</v>
      </c>
      <c r="N46" s="7" t="s">
        <v>1</v>
      </c>
      <c r="P46" s="7" t="s">
        <v>0</v>
      </c>
      <c r="R46" s="7" t="s">
        <v>1</v>
      </c>
      <c r="T46" s="7" t="s">
        <v>1</v>
      </c>
      <c r="V46" s="7" t="s">
        <v>0</v>
      </c>
      <c r="X46" s="7" t="s">
        <v>0</v>
      </c>
    </row>
    <row r="47" spans="1:26" s="6" customFormat="1" x14ac:dyDescent="0.15"/>
    <row r="48" spans="1:26" x14ac:dyDescent="0.15">
      <c r="A48" s="1" t="s">
        <v>217</v>
      </c>
      <c r="B48" t="s">
        <v>31</v>
      </c>
      <c r="D48" t="s">
        <v>32</v>
      </c>
      <c r="F48" t="s">
        <v>33</v>
      </c>
      <c r="H48" t="s">
        <v>34</v>
      </c>
      <c r="J48" t="s">
        <v>35</v>
      </c>
      <c r="L48" t="s">
        <v>36</v>
      </c>
      <c r="N48" t="s">
        <v>37</v>
      </c>
      <c r="P48" t="s">
        <v>38</v>
      </c>
      <c r="R48" t="s">
        <v>39</v>
      </c>
      <c r="T48" t="s">
        <v>40</v>
      </c>
      <c r="V48" t="s">
        <v>41</v>
      </c>
      <c r="X48" t="s">
        <v>42</v>
      </c>
    </row>
    <row r="49" spans="1:24" x14ac:dyDescent="0.15">
      <c r="A49" s="1" t="s">
        <v>30</v>
      </c>
      <c r="B49">
        <v>48.3</v>
      </c>
      <c r="D49">
        <v>49.9</v>
      </c>
      <c r="F49">
        <v>50.8</v>
      </c>
      <c r="H49">
        <v>50.2</v>
      </c>
      <c r="J49">
        <v>50.2</v>
      </c>
      <c r="L49">
        <v>49.4</v>
      </c>
      <c r="N49">
        <v>49.9</v>
      </c>
      <c r="P49">
        <v>50.4</v>
      </c>
      <c r="R49">
        <v>51.4</v>
      </c>
      <c r="T49">
        <v>51.7</v>
      </c>
      <c r="V49">
        <v>51.8</v>
      </c>
      <c r="X49">
        <v>51.5</v>
      </c>
    </row>
    <row r="50" spans="1:24" s="10" customFormat="1" ht="16" customHeight="1" x14ac:dyDescent="0.15">
      <c r="A50" s="10" t="s">
        <v>43</v>
      </c>
      <c r="B50" s="10">
        <v>-1.4</v>
      </c>
      <c r="D50" s="10">
        <v>1.6</v>
      </c>
      <c r="F50" s="10">
        <v>0.9</v>
      </c>
      <c r="H50" s="10">
        <v>-0.6</v>
      </c>
      <c r="J50" s="10">
        <v>0</v>
      </c>
      <c r="L50" s="10">
        <v>-0.8</v>
      </c>
      <c r="N50" s="10">
        <v>0.5</v>
      </c>
      <c r="P50" s="10">
        <v>0.5</v>
      </c>
      <c r="R50" s="10">
        <v>1</v>
      </c>
      <c r="T50" s="10">
        <v>0.3</v>
      </c>
      <c r="V50" s="10">
        <v>0.1</v>
      </c>
      <c r="X50" s="10">
        <v>0</v>
      </c>
    </row>
    <row r="51" spans="1:24" x14ac:dyDescent="0.15">
      <c r="A51" s="1" t="s">
        <v>549</v>
      </c>
      <c r="B51">
        <v>51.1</v>
      </c>
      <c r="D51">
        <v>49.9</v>
      </c>
      <c r="F51">
        <v>50.8</v>
      </c>
      <c r="H51">
        <v>50.2</v>
      </c>
      <c r="J51">
        <v>50.2</v>
      </c>
      <c r="L51">
        <v>49.4</v>
      </c>
      <c r="N51">
        <v>49.9</v>
      </c>
      <c r="P51">
        <v>50.4</v>
      </c>
      <c r="R51">
        <v>51.4</v>
      </c>
      <c r="T51">
        <v>51.7</v>
      </c>
      <c r="V51">
        <v>51.8</v>
      </c>
      <c r="X51">
        <v>51.5</v>
      </c>
    </row>
    <row r="52" spans="1:24" s="10" customFormat="1" ht="16" customHeight="1" x14ac:dyDescent="0.15">
      <c r="A52" s="10" t="s">
        <v>43</v>
      </c>
      <c r="B52" s="10">
        <v>-0.4</v>
      </c>
      <c r="D52" s="10">
        <v>1.6</v>
      </c>
      <c r="F52" s="10">
        <v>0.9</v>
      </c>
      <c r="H52" s="10">
        <v>-0.6</v>
      </c>
      <c r="J52" s="10">
        <v>0</v>
      </c>
      <c r="L52" s="10">
        <v>-0.8</v>
      </c>
      <c r="N52" s="10">
        <v>0.5</v>
      </c>
      <c r="P52" s="10">
        <v>0.5</v>
      </c>
      <c r="R52" s="10">
        <v>1</v>
      </c>
      <c r="T52" s="10">
        <v>0.3</v>
      </c>
      <c r="V52" s="10">
        <v>0.1</v>
      </c>
      <c r="X52" s="10">
        <v>0</v>
      </c>
    </row>
    <row r="53" spans="1:24" x14ac:dyDescent="0.15">
      <c r="A53" s="1" t="s">
        <v>218</v>
      </c>
      <c r="B53" t="s">
        <v>31</v>
      </c>
      <c r="D53" t="s">
        <v>32</v>
      </c>
      <c r="F53" t="s">
        <v>33</v>
      </c>
      <c r="H53" t="s">
        <v>34</v>
      </c>
      <c r="J53" t="s">
        <v>35</v>
      </c>
      <c r="L53" t="s">
        <v>36</v>
      </c>
      <c r="N53" t="s">
        <v>37</v>
      </c>
      <c r="P53" t="s">
        <v>38</v>
      </c>
      <c r="R53" t="s">
        <v>39</v>
      </c>
      <c r="T53" t="s">
        <v>40</v>
      </c>
      <c r="V53" t="s">
        <v>41</v>
      </c>
      <c r="X53" t="s">
        <v>42</v>
      </c>
    </row>
    <row r="54" spans="1:24" x14ac:dyDescent="0.15">
      <c r="A54" s="1" t="s">
        <v>30</v>
      </c>
      <c r="B54">
        <v>53.6</v>
      </c>
      <c r="D54">
        <v>51.1</v>
      </c>
      <c r="F54">
        <v>54.4</v>
      </c>
      <c r="H54">
        <v>54.5</v>
      </c>
      <c r="J54">
        <v>52.7</v>
      </c>
      <c r="L54">
        <v>52</v>
      </c>
      <c r="N54">
        <v>51.6</v>
      </c>
      <c r="P54">
        <v>52.1</v>
      </c>
      <c r="R54">
        <v>51.3</v>
      </c>
      <c r="T54">
        <v>51.1</v>
      </c>
      <c r="V54">
        <v>53.5</v>
      </c>
    </row>
    <row r="55" spans="1:24" s="10" customFormat="1" x14ac:dyDescent="0.15">
      <c r="A55" s="10" t="s">
        <v>43</v>
      </c>
      <c r="B55" s="10">
        <v>-0.3</v>
      </c>
      <c r="D55" s="10">
        <v>-2.5</v>
      </c>
      <c r="F55" s="10">
        <v>3.3</v>
      </c>
      <c r="H55" s="10">
        <v>0.1</v>
      </c>
      <c r="J55" s="10">
        <v>-1.8</v>
      </c>
      <c r="L55" s="10">
        <v>-0.7</v>
      </c>
      <c r="N55" s="10">
        <v>-0.4</v>
      </c>
      <c r="P55" s="10">
        <v>0.5</v>
      </c>
      <c r="R55" s="10">
        <v>-0.8</v>
      </c>
      <c r="T55" s="10">
        <v>-0.2</v>
      </c>
      <c r="V55" s="10">
        <v>2.4</v>
      </c>
      <c r="X55" s="10">
        <v>0</v>
      </c>
    </row>
    <row r="56" spans="1:24" s="6" customFormat="1" x14ac:dyDescent="0.15"/>
    <row r="57" spans="1:24" s="6" customFormat="1" ht="94" customHeight="1" x14ac:dyDescent="0.15">
      <c r="A57" s="28" t="s">
        <v>377</v>
      </c>
      <c r="B57" s="49" t="s">
        <v>430</v>
      </c>
      <c r="C57" s="50"/>
      <c r="D57" s="50"/>
      <c r="E57" s="50"/>
      <c r="F57" s="50"/>
      <c r="G57" s="50"/>
      <c r="H57" s="50"/>
      <c r="I57" s="50"/>
      <c r="J57" s="50"/>
      <c r="K57" s="50"/>
      <c r="L57" s="50"/>
      <c r="M57" s="50"/>
      <c r="N57" s="50"/>
      <c r="O57" s="50"/>
      <c r="P57" s="50"/>
      <c r="Q57" s="26"/>
      <c r="R57" s="26"/>
    </row>
    <row r="58" spans="1:24" s="6" customFormat="1" ht="96" customHeight="1" x14ac:dyDescent="0.15">
      <c r="A58" s="28" t="s">
        <v>378</v>
      </c>
      <c r="B58" s="49" t="s">
        <v>379</v>
      </c>
      <c r="C58" s="50"/>
      <c r="D58" s="50"/>
      <c r="E58" s="50"/>
      <c r="F58" s="50"/>
      <c r="G58" s="50"/>
      <c r="H58" s="50"/>
      <c r="I58" s="50"/>
      <c r="J58" s="50"/>
      <c r="K58" s="50"/>
      <c r="L58" s="50"/>
      <c r="M58" s="50"/>
      <c r="N58" s="50"/>
      <c r="O58" s="50"/>
      <c r="P58" s="50"/>
      <c r="Q58" s="16"/>
      <c r="R58" s="16"/>
    </row>
    <row r="59" spans="1:24" s="6" customFormat="1" ht="44" customHeight="1" x14ac:dyDescent="0.15">
      <c r="A59" s="28" t="s">
        <v>385</v>
      </c>
      <c r="B59" s="53" t="s">
        <v>384</v>
      </c>
      <c r="C59" s="54"/>
      <c r="D59" s="54"/>
      <c r="E59" s="54"/>
      <c r="F59" s="54"/>
      <c r="G59" s="54"/>
      <c r="H59" s="54"/>
      <c r="I59" s="54"/>
      <c r="J59" s="54"/>
      <c r="K59" s="54"/>
      <c r="L59" s="54"/>
      <c r="M59" s="54"/>
      <c r="N59" s="54"/>
      <c r="O59" s="54"/>
      <c r="P59" s="54"/>
      <c r="Q59" s="16"/>
      <c r="R59" s="16"/>
    </row>
    <row r="60" spans="1:24" s="6" customFormat="1" ht="73" customHeight="1" x14ac:dyDescent="0.15">
      <c r="A60" s="31" t="s">
        <v>386</v>
      </c>
      <c r="B60" s="53" t="s">
        <v>387</v>
      </c>
      <c r="C60" s="54"/>
      <c r="D60" s="54"/>
      <c r="E60" s="54"/>
      <c r="F60" s="54"/>
      <c r="G60" s="54"/>
      <c r="H60" s="54"/>
      <c r="I60" s="54"/>
      <c r="J60" s="54"/>
      <c r="K60" s="54"/>
      <c r="L60" s="54"/>
      <c r="M60" s="54"/>
      <c r="N60" s="54"/>
      <c r="O60" s="54"/>
      <c r="P60" s="54"/>
      <c r="Q60" s="16"/>
      <c r="R60" s="16"/>
    </row>
    <row r="61" spans="1:24" s="6" customFormat="1" ht="79" customHeight="1" x14ac:dyDescent="0.15">
      <c r="A61" s="31" t="s">
        <v>388</v>
      </c>
      <c r="B61" s="53" t="s">
        <v>389</v>
      </c>
      <c r="C61" s="54"/>
      <c r="D61" s="54"/>
      <c r="E61" s="54"/>
      <c r="F61" s="54"/>
      <c r="G61" s="54"/>
      <c r="H61" s="54"/>
      <c r="I61" s="54"/>
      <c r="J61" s="54"/>
      <c r="K61" s="54"/>
      <c r="L61" s="54"/>
      <c r="M61" s="54"/>
      <c r="N61" s="54"/>
      <c r="O61" s="54"/>
      <c r="P61" s="54"/>
      <c r="Q61" s="16"/>
      <c r="R61" s="16"/>
    </row>
    <row r="62" spans="1:24" x14ac:dyDescent="0.15">
      <c r="A62" s="1" t="s">
        <v>562</v>
      </c>
      <c r="B62" t="s">
        <v>563</v>
      </c>
    </row>
    <row r="67" spans="1:26" x14ac:dyDescent="0.15">
      <c r="A67" s="1"/>
      <c r="B67" t="s">
        <v>31</v>
      </c>
      <c r="D67" t="s">
        <v>32</v>
      </c>
      <c r="F67" t="s">
        <v>33</v>
      </c>
      <c r="H67" t="s">
        <v>34</v>
      </c>
      <c r="J67" t="s">
        <v>35</v>
      </c>
      <c r="L67" t="s">
        <v>36</v>
      </c>
      <c r="N67" t="s">
        <v>37</v>
      </c>
      <c r="P67" t="s">
        <v>38</v>
      </c>
      <c r="R67" t="s">
        <v>39</v>
      </c>
      <c r="T67" t="s">
        <v>40</v>
      </c>
      <c r="V67" t="s">
        <v>41</v>
      </c>
      <c r="X67" t="s">
        <v>42</v>
      </c>
    </row>
    <row r="68" spans="1:26" x14ac:dyDescent="0.15">
      <c r="A68" s="1" t="s">
        <v>373</v>
      </c>
      <c r="B68">
        <v>1.7</v>
      </c>
      <c r="D68">
        <v>1.5</v>
      </c>
      <c r="F68">
        <v>2.2999999999999998</v>
      </c>
      <c r="H68">
        <v>2.5</v>
      </c>
      <c r="J68">
        <v>2.7</v>
      </c>
      <c r="L68">
        <v>2.7</v>
      </c>
      <c r="N68">
        <v>2.8</v>
      </c>
      <c r="P68">
        <v>2.8</v>
      </c>
      <c r="R68">
        <v>3</v>
      </c>
      <c r="T68">
        <v>3.8</v>
      </c>
      <c r="V68">
        <v>4.5</v>
      </c>
      <c r="X68">
        <v>4.5</v>
      </c>
      <c r="Z68" s="54" t="s">
        <v>375</v>
      </c>
    </row>
    <row r="69" spans="1:26" x14ac:dyDescent="0.15">
      <c r="A69" s="1" t="s">
        <v>374</v>
      </c>
      <c r="B69">
        <v>0.1</v>
      </c>
      <c r="D69">
        <v>0.1</v>
      </c>
      <c r="F69">
        <v>0.4</v>
      </c>
      <c r="H69">
        <v>0.9</v>
      </c>
      <c r="J69">
        <v>0.6</v>
      </c>
      <c r="L69">
        <v>0</v>
      </c>
      <c r="N69">
        <v>-0.3</v>
      </c>
      <c r="P69">
        <v>-0.8</v>
      </c>
      <c r="R69">
        <v>-1.2</v>
      </c>
      <c r="T69">
        <v>-1.6</v>
      </c>
      <c r="V69">
        <v>-1.4</v>
      </c>
      <c r="X69">
        <v>-0.5</v>
      </c>
      <c r="Z69" s="54"/>
    </row>
    <row r="70" spans="1:26" x14ac:dyDescent="0.15">
      <c r="A70" s="1" t="s">
        <v>376</v>
      </c>
      <c r="B70" s="27">
        <v>-1.6</v>
      </c>
      <c r="C70" s="27"/>
      <c r="D70">
        <v>-1.4</v>
      </c>
      <c r="F70">
        <v>-1.9</v>
      </c>
      <c r="H70">
        <v>-1.6</v>
      </c>
      <c r="J70">
        <v>-2.1</v>
      </c>
      <c r="L70">
        <v>-2.7</v>
      </c>
      <c r="N70">
        <v>-3.1</v>
      </c>
      <c r="P70">
        <v>-3.6</v>
      </c>
      <c r="R70">
        <v>-4.2</v>
      </c>
      <c r="T70">
        <v>-5.4</v>
      </c>
      <c r="V70">
        <v>-5.9</v>
      </c>
      <c r="X70">
        <v>-5</v>
      </c>
      <c r="Z70" s="50"/>
    </row>
    <row r="71" spans="1:26" x14ac:dyDescent="0.15">
      <c r="Z71" s="50"/>
    </row>
    <row r="72" spans="1:26" x14ac:dyDescent="0.15">
      <c r="A72" s="1" t="s">
        <v>222</v>
      </c>
      <c r="B72" t="s">
        <v>31</v>
      </c>
      <c r="D72" t="s">
        <v>32</v>
      </c>
      <c r="F72" t="s">
        <v>33</v>
      </c>
      <c r="H72" t="s">
        <v>34</v>
      </c>
      <c r="J72" t="s">
        <v>35</v>
      </c>
      <c r="L72" t="s">
        <v>36</v>
      </c>
      <c r="N72" t="s">
        <v>37</v>
      </c>
      <c r="P72" t="s">
        <v>38</v>
      </c>
      <c r="R72" t="s">
        <v>39</v>
      </c>
      <c r="T72" t="s">
        <v>40</v>
      </c>
      <c r="V72" t="s">
        <v>41</v>
      </c>
      <c r="X72" t="s">
        <v>42</v>
      </c>
    </row>
    <row r="73" spans="1:26" x14ac:dyDescent="0.15">
      <c r="A73" s="1" t="s">
        <v>223</v>
      </c>
      <c r="B73">
        <v>4.9000000000000004</v>
      </c>
      <c r="D73">
        <v>5.3</v>
      </c>
      <c r="F73">
        <v>5.2</v>
      </c>
      <c r="H73">
        <v>5</v>
      </c>
      <c r="J73">
        <v>5</v>
      </c>
      <c r="L73">
        <v>5.0999999999999996</v>
      </c>
      <c r="N73">
        <v>5.3</v>
      </c>
      <c r="P73">
        <v>5.2</v>
      </c>
      <c r="R73">
        <v>5.2</v>
      </c>
      <c r="T73">
        <v>5.0999999999999996</v>
      </c>
      <c r="V73">
        <v>5.0999999999999996</v>
      </c>
      <c r="X73">
        <v>5.2</v>
      </c>
    </row>
    <row r="74" spans="1:26" x14ac:dyDescent="0.15">
      <c r="A74" s="1" t="s">
        <v>224</v>
      </c>
      <c r="D74">
        <v>5.3</v>
      </c>
      <c r="F74">
        <v>8.5</v>
      </c>
      <c r="H74">
        <v>5.4</v>
      </c>
      <c r="J74">
        <v>5</v>
      </c>
      <c r="L74">
        <v>6.3</v>
      </c>
      <c r="N74">
        <v>4.8</v>
      </c>
      <c r="P74">
        <v>4.4000000000000004</v>
      </c>
      <c r="R74">
        <v>5.8</v>
      </c>
      <c r="T74">
        <v>4.7</v>
      </c>
      <c r="V74">
        <v>6.2</v>
      </c>
      <c r="X74" s="6">
        <v>6.9</v>
      </c>
    </row>
    <row r="75" spans="1:26" x14ac:dyDescent="0.15">
      <c r="A75" s="1" t="s">
        <v>225</v>
      </c>
      <c r="D75">
        <v>6.1</v>
      </c>
      <c r="F75">
        <v>6.3</v>
      </c>
      <c r="H75">
        <v>6.1</v>
      </c>
      <c r="J75">
        <v>5.6</v>
      </c>
      <c r="L75">
        <v>5.8</v>
      </c>
      <c r="N75">
        <v>5.7</v>
      </c>
      <c r="P75">
        <v>5.5</v>
      </c>
      <c r="R75">
        <v>5.4</v>
      </c>
      <c r="T75">
        <v>5.2</v>
      </c>
      <c r="V75">
        <v>5.2</v>
      </c>
      <c r="X75">
        <v>5.4</v>
      </c>
    </row>
    <row r="76" spans="1:26" x14ac:dyDescent="0.15">
      <c r="A76" s="1" t="s">
        <v>226</v>
      </c>
      <c r="D76">
        <v>8.1999999999999993</v>
      </c>
      <c r="F76">
        <v>8.6999999999999993</v>
      </c>
      <c r="H76">
        <v>7.2</v>
      </c>
      <c r="J76">
        <v>8.6</v>
      </c>
      <c r="L76">
        <v>9.8000000000000007</v>
      </c>
      <c r="N76">
        <v>7.6</v>
      </c>
      <c r="P76">
        <v>7.5</v>
      </c>
      <c r="R76">
        <v>7.8</v>
      </c>
      <c r="T76">
        <v>7.2</v>
      </c>
      <c r="V76">
        <v>8</v>
      </c>
      <c r="X76">
        <v>8</v>
      </c>
    </row>
    <row r="77" spans="1:26" s="6" customFormat="1" x14ac:dyDescent="0.15"/>
    <row r="78" spans="1:26" s="34" customFormat="1" x14ac:dyDescent="0.15">
      <c r="A78" s="34" t="s">
        <v>406</v>
      </c>
      <c r="B78" s="34">
        <v>1</v>
      </c>
      <c r="D78" s="34">
        <v>2</v>
      </c>
      <c r="F78" s="34">
        <v>3</v>
      </c>
      <c r="H78" s="34">
        <v>4</v>
      </c>
      <c r="J78" s="34">
        <v>5</v>
      </c>
      <c r="L78" s="34">
        <v>6</v>
      </c>
      <c r="N78" s="34">
        <v>7</v>
      </c>
      <c r="P78" s="34">
        <v>8</v>
      </c>
      <c r="R78" s="34">
        <v>9</v>
      </c>
      <c r="T78" s="34">
        <v>10</v>
      </c>
      <c r="V78" s="34">
        <v>11</v>
      </c>
      <c r="X78" s="34">
        <v>12</v>
      </c>
    </row>
    <row r="79" spans="1:26" s="34" customFormat="1" x14ac:dyDescent="0.15">
      <c r="A79" s="35"/>
      <c r="D79" s="34">
        <v>6.1</v>
      </c>
      <c r="F79" s="34">
        <v>6.3</v>
      </c>
      <c r="H79" s="34">
        <v>6.1</v>
      </c>
      <c r="J79" s="34">
        <v>5.6</v>
      </c>
      <c r="L79" s="34">
        <v>5.8</v>
      </c>
      <c r="N79" s="34">
        <v>5.7</v>
      </c>
      <c r="P79" s="34">
        <v>5.5</v>
      </c>
      <c r="R79" s="34">
        <v>5.4</v>
      </c>
      <c r="T79" s="34">
        <v>5.2</v>
      </c>
      <c r="V79" s="34">
        <v>5.2</v>
      </c>
      <c r="X79" s="34">
        <v>5.4</v>
      </c>
    </row>
    <row r="80" spans="1:26" ht="16" x14ac:dyDescent="0.2">
      <c r="A80" s="1" t="s">
        <v>407</v>
      </c>
      <c r="D80" s="2">
        <v>-4.4000000000000004</v>
      </c>
      <c r="E80" s="2"/>
      <c r="F80" s="2">
        <v>-6.7</v>
      </c>
      <c r="G80" s="2"/>
      <c r="H80" s="2">
        <v>-6.3</v>
      </c>
      <c r="I80" s="2"/>
      <c r="J80">
        <v>-7.4</v>
      </c>
      <c r="K80" s="2"/>
      <c r="L80">
        <v>-7.4</v>
      </c>
      <c r="M80" s="2"/>
      <c r="N80" s="2">
        <v>-7.6</v>
      </c>
      <c r="O80" s="2"/>
      <c r="P80" s="2">
        <v>2.6</v>
      </c>
      <c r="Q80" s="2"/>
      <c r="R80" s="2">
        <v>-10.8</v>
      </c>
      <c r="S80" s="2"/>
      <c r="T80" s="2">
        <v>-10.1</v>
      </c>
      <c r="U80" s="2"/>
      <c r="V80" s="2">
        <v>-9.3000000000000007</v>
      </c>
      <c r="W80" s="2"/>
      <c r="X80">
        <v>-8.6999999999999993</v>
      </c>
      <c r="Y80" s="2"/>
    </row>
    <row r="81" spans="1:25" ht="16" x14ac:dyDescent="0.2">
      <c r="A81" s="1" t="s">
        <v>408</v>
      </c>
      <c r="D81" s="2">
        <v>3</v>
      </c>
      <c r="E81" s="2"/>
      <c r="F81" s="2">
        <v>4.4000000000000004</v>
      </c>
      <c r="G81" s="2"/>
      <c r="H81" s="2">
        <v>0.2</v>
      </c>
      <c r="I81" s="2"/>
      <c r="J81">
        <v>-1</v>
      </c>
      <c r="K81" s="2"/>
      <c r="L81">
        <v>0.4</v>
      </c>
      <c r="M81" s="2"/>
      <c r="N81" s="2">
        <v>-1.4</v>
      </c>
      <c r="O81" s="2"/>
      <c r="P81" s="2">
        <v>-9.4</v>
      </c>
      <c r="Q81" s="2"/>
      <c r="R81" s="2">
        <v>-3</v>
      </c>
      <c r="S81" s="2"/>
      <c r="T81" s="2">
        <v>-3.8</v>
      </c>
      <c r="U81" s="2"/>
      <c r="V81" s="2">
        <v>-4.8</v>
      </c>
      <c r="W81" s="2"/>
      <c r="X81">
        <v>-3.7</v>
      </c>
      <c r="Y81" s="2"/>
    </row>
    <row r="82" spans="1:25" ht="16" x14ac:dyDescent="0.2">
      <c r="A82" s="1" t="s">
        <v>409</v>
      </c>
      <c r="D82" s="2">
        <v>17.8</v>
      </c>
      <c r="E82" s="2"/>
      <c r="F82" s="2">
        <v>9</v>
      </c>
      <c r="G82" s="2"/>
      <c r="H82" s="2">
        <v>0.8</v>
      </c>
      <c r="I82" s="2"/>
      <c r="J82">
        <v>1.6</v>
      </c>
      <c r="K82" s="2"/>
      <c r="L82">
        <v>-0.3</v>
      </c>
      <c r="M82" s="2"/>
      <c r="N82" s="2">
        <v>-2.6</v>
      </c>
      <c r="O82" s="2"/>
      <c r="P82" s="2">
        <v>-2.2000000000000002</v>
      </c>
      <c r="Q82" s="2"/>
      <c r="R82" s="2">
        <v>-8.1999999999999993</v>
      </c>
      <c r="S82" s="2"/>
      <c r="T82" s="2">
        <v>-8.5</v>
      </c>
      <c r="U82" s="2"/>
      <c r="V82" s="2">
        <v>-8.6999999999999993</v>
      </c>
      <c r="W82" s="2"/>
      <c r="X82">
        <v>-8.9</v>
      </c>
      <c r="Y82" s="2"/>
    </row>
    <row r="83" spans="1:25" ht="16" x14ac:dyDescent="0.2">
      <c r="A83" s="1" t="s">
        <v>3</v>
      </c>
      <c r="D83" s="2">
        <v>8.1</v>
      </c>
      <c r="E83" s="2"/>
      <c r="F83" s="2">
        <v>11.3</v>
      </c>
      <c r="G83" s="2"/>
      <c r="H83" s="2">
        <v>5.5</v>
      </c>
      <c r="I83" s="2"/>
      <c r="J83">
        <v>7.4</v>
      </c>
      <c r="K83" s="2"/>
      <c r="L83">
        <v>9.3000000000000007</v>
      </c>
      <c r="M83" s="2"/>
      <c r="N83" s="2">
        <v>9.4</v>
      </c>
      <c r="O83" s="2"/>
      <c r="P83" s="2">
        <v>7.9</v>
      </c>
      <c r="Q83" s="2"/>
      <c r="R83" s="2">
        <v>7.6</v>
      </c>
      <c r="S83" s="2"/>
      <c r="T83" s="2">
        <v>6.6</v>
      </c>
      <c r="U83" s="2"/>
      <c r="V83" s="2">
        <v>4.5999999999999996</v>
      </c>
      <c r="W83" s="2"/>
      <c r="X83">
        <v>4.2</v>
      </c>
      <c r="Y83" s="2"/>
    </row>
    <row r="84" spans="1:25" ht="16" x14ac:dyDescent="0.2">
      <c r="A84" s="1" t="s">
        <v>410</v>
      </c>
      <c r="D84" s="2">
        <v>10.5</v>
      </c>
      <c r="E84" s="2"/>
      <c r="F84" s="2">
        <v>9.6999999999999993</v>
      </c>
      <c r="G84" s="2"/>
      <c r="H84" s="2">
        <v>10.4</v>
      </c>
      <c r="I84" s="2"/>
      <c r="J84">
        <v>8.1</v>
      </c>
      <c r="K84" s="2"/>
      <c r="L84">
        <v>8.4</v>
      </c>
      <c r="M84" s="2"/>
      <c r="N84" s="2">
        <v>6.9</v>
      </c>
      <c r="O84" s="2"/>
      <c r="P84" s="2">
        <v>7.4</v>
      </c>
      <c r="Q84" s="2"/>
      <c r="R84" s="2">
        <v>7</v>
      </c>
      <c r="S84" s="2"/>
      <c r="T84" s="2">
        <v>7.9</v>
      </c>
      <c r="U84" s="2"/>
      <c r="V84" s="2">
        <v>7.8</v>
      </c>
      <c r="W84" s="2"/>
      <c r="X84">
        <v>8.4</v>
      </c>
      <c r="Y84" s="2"/>
    </row>
    <row r="85" spans="1:25" ht="16" x14ac:dyDescent="0.2">
      <c r="A85" s="1" t="s">
        <v>411</v>
      </c>
      <c r="D85" s="2">
        <v>-10.6</v>
      </c>
      <c r="E85" s="2"/>
      <c r="F85" s="2">
        <v>-17.100000000000001</v>
      </c>
      <c r="G85" s="2"/>
      <c r="H85" s="2">
        <v>-11.7</v>
      </c>
      <c r="I85" s="2"/>
      <c r="J85">
        <v>-9.6999999999999993</v>
      </c>
      <c r="K85" s="2"/>
      <c r="L85">
        <v>-3.4</v>
      </c>
      <c r="M85" s="2"/>
      <c r="N85" s="2">
        <v>-3.8</v>
      </c>
      <c r="O85" s="2"/>
      <c r="P85" s="2">
        <v>-4.3</v>
      </c>
      <c r="Q85" s="2"/>
      <c r="R85" s="2">
        <v>-2.6</v>
      </c>
      <c r="S85" s="2"/>
      <c r="T85" s="2">
        <v>-1.3</v>
      </c>
      <c r="U85" s="2"/>
      <c r="V85" s="2">
        <v>-1.3</v>
      </c>
      <c r="W85" s="2"/>
      <c r="X85">
        <v>1.2</v>
      </c>
      <c r="Y85" s="2"/>
    </row>
    <row r="86" spans="1:25" ht="16" x14ac:dyDescent="0.2">
      <c r="A86" s="1" t="s">
        <v>412</v>
      </c>
      <c r="D86" s="2">
        <v>6.4</v>
      </c>
      <c r="E86" s="2"/>
      <c r="F86" s="2">
        <v>2.7</v>
      </c>
      <c r="G86" s="2"/>
      <c r="H86" s="2">
        <v>-6.1</v>
      </c>
      <c r="I86" s="2"/>
      <c r="J86">
        <v>-4.8</v>
      </c>
      <c r="K86" s="2"/>
      <c r="L86">
        <v>-5.2</v>
      </c>
      <c r="M86" s="2"/>
      <c r="N86" s="2">
        <v>-5.2</v>
      </c>
      <c r="O86" s="2"/>
      <c r="P86" s="2">
        <v>-3.5</v>
      </c>
      <c r="Q86" s="2"/>
      <c r="R86" s="2">
        <v>-4.5</v>
      </c>
      <c r="S86" s="2"/>
      <c r="T86" s="2">
        <v>-3.3</v>
      </c>
      <c r="U86" s="2"/>
      <c r="V86" s="2">
        <v>-3.8</v>
      </c>
      <c r="W86" s="2"/>
      <c r="X86">
        <v>-3.9</v>
      </c>
      <c r="Y86" s="2"/>
    </row>
    <row r="87" spans="1:25" ht="16" x14ac:dyDescent="0.2">
      <c r="A87" s="1" t="s">
        <v>413</v>
      </c>
      <c r="D87" s="2">
        <v>12.7</v>
      </c>
      <c r="E87" s="2"/>
      <c r="F87" s="2">
        <v>6.8</v>
      </c>
      <c r="G87" s="2"/>
      <c r="H87" s="2">
        <v>1.8</v>
      </c>
      <c r="I87" s="2"/>
      <c r="J87">
        <v>1.4</v>
      </c>
      <c r="K87" s="2"/>
      <c r="L87">
        <v>2.8</v>
      </c>
      <c r="M87" s="2"/>
      <c r="N87" s="2">
        <v>2.1</v>
      </c>
      <c r="O87" s="2"/>
      <c r="P87" s="2">
        <v>1.2</v>
      </c>
      <c r="Q87" s="2"/>
      <c r="R87" s="2">
        <v>1.6</v>
      </c>
      <c r="S87" s="2"/>
      <c r="T87" s="2">
        <v>0.9</v>
      </c>
      <c r="U87" s="2"/>
      <c r="V87" s="2">
        <v>1.4</v>
      </c>
      <c r="W87" s="2"/>
      <c r="X87">
        <v>2.2000000000000002</v>
      </c>
      <c r="Y87" s="2"/>
    </row>
    <row r="88" spans="1:25" ht="16" x14ac:dyDescent="0.2">
      <c r="A88" s="1" t="s">
        <v>414</v>
      </c>
      <c r="D88" s="2">
        <v>16.3</v>
      </c>
      <c r="E88" s="2"/>
      <c r="F88" s="2">
        <v>9.3000000000000007</v>
      </c>
      <c r="G88" s="2"/>
      <c r="H88" s="2">
        <v>8.1999999999999993</v>
      </c>
      <c r="I88" s="2"/>
      <c r="J88">
        <v>6.2</v>
      </c>
      <c r="K88" s="2"/>
      <c r="L88">
        <v>7.2</v>
      </c>
      <c r="M88" s="2"/>
      <c r="N88" s="2">
        <v>7.2</v>
      </c>
      <c r="O88" s="2"/>
      <c r="P88" s="2">
        <v>6.6</v>
      </c>
      <c r="Q88" s="2"/>
      <c r="R88" s="2">
        <v>8.6999999999999993</v>
      </c>
      <c r="S88" s="2"/>
      <c r="T88" s="2">
        <v>9.8000000000000007</v>
      </c>
      <c r="U88" s="2"/>
      <c r="V88" s="2">
        <v>9.5</v>
      </c>
      <c r="W88" s="2"/>
      <c r="X88">
        <v>9.6999999999999993</v>
      </c>
      <c r="Y88" s="2"/>
    </row>
    <row r="89" spans="1:25" ht="16" x14ac:dyDescent="0.2">
      <c r="A89" s="1" t="s">
        <v>415</v>
      </c>
      <c r="D89" s="2">
        <v>8.1</v>
      </c>
      <c r="E89" s="2"/>
      <c r="F89" s="2">
        <v>-1</v>
      </c>
      <c r="G89" s="2"/>
      <c r="H89" s="2">
        <v>-1.4</v>
      </c>
      <c r="I89" s="2"/>
      <c r="J89">
        <v>-0.1</v>
      </c>
      <c r="K89" s="2"/>
      <c r="L89">
        <v>0.2</v>
      </c>
      <c r="M89" s="2"/>
      <c r="N89" s="2">
        <v>1.8</v>
      </c>
      <c r="O89" s="2"/>
      <c r="P89" s="2">
        <v>1.5</v>
      </c>
      <c r="Q89" s="2"/>
      <c r="R89" s="2">
        <v>1.8</v>
      </c>
      <c r="S89" s="2"/>
      <c r="T89" s="2">
        <v>-0.3</v>
      </c>
      <c r="U89" s="2"/>
      <c r="V89" s="2">
        <v>-0.4</v>
      </c>
      <c r="W89" s="2"/>
      <c r="X89">
        <v>-1.5</v>
      </c>
      <c r="Y89" s="2"/>
    </row>
    <row r="90" spans="1:25" ht="16" x14ac:dyDescent="0.2">
      <c r="A90" s="1" t="s">
        <v>416</v>
      </c>
      <c r="D90" s="2">
        <v>-9.6999999999999993</v>
      </c>
      <c r="E90" s="2"/>
      <c r="F90" s="2">
        <v>-8.6999999999999993</v>
      </c>
      <c r="G90" s="2"/>
      <c r="H90" s="2">
        <v>-8.1999999999999993</v>
      </c>
      <c r="I90" s="2"/>
      <c r="J90">
        <v>-8.6</v>
      </c>
      <c r="K90" s="2"/>
      <c r="L90">
        <v>-10.5</v>
      </c>
      <c r="M90" s="2"/>
      <c r="N90" s="2">
        <v>-10.4</v>
      </c>
      <c r="O90" s="2"/>
      <c r="P90" s="2">
        <v>-10.7</v>
      </c>
      <c r="Q90" s="2"/>
      <c r="R90" s="2">
        <v>-8.3000000000000007</v>
      </c>
      <c r="S90" s="2"/>
      <c r="T90" s="2">
        <v>-5.9</v>
      </c>
      <c r="U90" s="2"/>
      <c r="V90" s="2">
        <v>-5.7</v>
      </c>
      <c r="W90" s="2"/>
      <c r="X90">
        <v>-2.5</v>
      </c>
      <c r="Y90" s="2"/>
    </row>
    <row r="91" spans="1:25" ht="16" x14ac:dyDescent="0.2">
      <c r="A91" s="1" t="s">
        <v>417</v>
      </c>
      <c r="D91" s="2">
        <v>-2.2000000000000002</v>
      </c>
      <c r="E91" s="2"/>
      <c r="F91" s="2">
        <v>-3.1</v>
      </c>
      <c r="G91" s="2"/>
      <c r="H91" s="2">
        <v>-6.5</v>
      </c>
      <c r="I91" s="2"/>
      <c r="J91">
        <v>-5.9</v>
      </c>
      <c r="K91" s="2"/>
      <c r="L91">
        <v>-8.1</v>
      </c>
      <c r="M91" s="2"/>
      <c r="N91" s="2">
        <v>-7.5</v>
      </c>
      <c r="O91" s="2"/>
      <c r="P91" s="2">
        <v>-8</v>
      </c>
      <c r="Q91" s="2"/>
      <c r="R91" s="2">
        <v>-7.6</v>
      </c>
      <c r="S91" s="2"/>
      <c r="T91" s="2">
        <v>-7.5</v>
      </c>
      <c r="U91" s="2"/>
      <c r="V91" s="2">
        <v>-6.8</v>
      </c>
      <c r="W91" s="2"/>
      <c r="X91">
        <v>-7.5</v>
      </c>
      <c r="Y91" s="2"/>
    </row>
    <row r="92" spans="1:25" ht="16" x14ac:dyDescent="0.2">
      <c r="A92" s="1" t="s">
        <v>418</v>
      </c>
      <c r="D92" s="2">
        <v>-2.6</v>
      </c>
      <c r="E92" s="2"/>
      <c r="F92" s="2">
        <v>5.5</v>
      </c>
      <c r="G92" s="2"/>
      <c r="H92" s="2">
        <v>6.7</v>
      </c>
      <c r="I92" s="2"/>
      <c r="J92">
        <v>6.2</v>
      </c>
      <c r="K92" s="2"/>
      <c r="L92">
        <v>8.5</v>
      </c>
      <c r="M92" s="2"/>
      <c r="N92" s="2">
        <v>10.5</v>
      </c>
      <c r="O92" s="2"/>
      <c r="P92" s="2">
        <v>11.1</v>
      </c>
      <c r="Q92" s="2"/>
      <c r="R92" s="2">
        <v>11.6</v>
      </c>
      <c r="S92" s="2"/>
      <c r="T92" s="2">
        <v>13.6</v>
      </c>
      <c r="U92" s="2"/>
      <c r="V92" s="2">
        <v>13.8</v>
      </c>
      <c r="W92" s="2"/>
      <c r="X92">
        <v>16.8</v>
      </c>
      <c r="Y92" s="2"/>
    </row>
    <row r="93" spans="1:25" ht="16" x14ac:dyDescent="0.2">
      <c r="A93" s="1" t="s">
        <v>419</v>
      </c>
      <c r="D93" s="2">
        <v>-1.4</v>
      </c>
      <c r="E93" s="2"/>
      <c r="F93" s="2">
        <v>0.7</v>
      </c>
      <c r="G93" s="2"/>
      <c r="H93" s="2">
        <v>0.5</v>
      </c>
      <c r="I93" s="2"/>
      <c r="J93">
        <v>0.8</v>
      </c>
      <c r="K93" s="2"/>
      <c r="L93">
        <v>-0.5</v>
      </c>
      <c r="M93" s="2"/>
      <c r="N93" s="2">
        <v>0</v>
      </c>
      <c r="O93" s="2"/>
      <c r="P93" s="2">
        <v>0.4</v>
      </c>
      <c r="Q93" s="2"/>
      <c r="R93" s="2">
        <v>0.4</v>
      </c>
      <c r="S93" s="2"/>
      <c r="T93" s="2">
        <v>1.9</v>
      </c>
      <c r="U93" s="2"/>
      <c r="V93" s="2">
        <v>3.6</v>
      </c>
      <c r="W93" s="2"/>
      <c r="X93">
        <v>4.5</v>
      </c>
      <c r="Y93" s="2"/>
    </row>
    <row r="94" spans="1:25" ht="16" x14ac:dyDescent="0.2">
      <c r="A94" s="1" t="s">
        <v>420</v>
      </c>
      <c r="D94" s="2">
        <v>16.100000000000001</v>
      </c>
      <c r="E94" s="2"/>
      <c r="F94" s="2">
        <v>22.7</v>
      </c>
      <c r="G94" s="2"/>
      <c r="H94" s="2">
        <v>22.7</v>
      </c>
      <c r="I94" s="2"/>
      <c r="J94">
        <v>20</v>
      </c>
      <c r="K94" s="2"/>
      <c r="L94">
        <v>22.1</v>
      </c>
      <c r="M94" s="2"/>
      <c r="N94" s="2">
        <v>15.8</v>
      </c>
      <c r="O94" s="2"/>
      <c r="P94" s="2">
        <v>15.1</v>
      </c>
      <c r="Q94" s="2"/>
      <c r="R94" s="2">
        <v>15.5</v>
      </c>
      <c r="S94" s="2"/>
      <c r="T94" s="2">
        <v>13.8</v>
      </c>
      <c r="U94" s="2"/>
      <c r="V94" s="2">
        <v>13.4</v>
      </c>
      <c r="W94" s="2"/>
      <c r="X94">
        <v>13.9</v>
      </c>
      <c r="Y94" s="2"/>
    </row>
    <row r="95" spans="1:25" ht="16" x14ac:dyDescent="0.2">
      <c r="A95" s="1" t="s">
        <v>421</v>
      </c>
      <c r="D95" s="2">
        <v>4.3</v>
      </c>
      <c r="E95" s="2"/>
      <c r="F95" s="2">
        <v>4.4000000000000004</v>
      </c>
      <c r="G95" s="2"/>
      <c r="H95" s="2">
        <v>4.4000000000000004</v>
      </c>
      <c r="I95" s="2"/>
      <c r="J95">
        <v>4</v>
      </c>
      <c r="K95" s="2"/>
      <c r="L95">
        <v>4.0999999999999996</v>
      </c>
      <c r="M95" s="2"/>
      <c r="N95" s="2">
        <v>3.8</v>
      </c>
      <c r="O95" s="2"/>
      <c r="P95" s="2">
        <v>4.2</v>
      </c>
      <c r="Q95" s="2"/>
      <c r="R95" s="2">
        <v>3.5</v>
      </c>
      <c r="S95" s="2"/>
      <c r="T95" s="2">
        <v>4.2</v>
      </c>
      <c r="U95" s="2"/>
      <c r="V95" s="2">
        <v>4</v>
      </c>
      <c r="W95" s="2"/>
      <c r="X95">
        <v>3.8</v>
      </c>
      <c r="Y95" s="2"/>
    </row>
    <row r="96" spans="1:25" ht="20" x14ac:dyDescent="0.2">
      <c r="A96" s="32"/>
      <c r="D96" s="2"/>
      <c r="E96" s="2"/>
      <c r="F96" s="2"/>
      <c r="G96" s="2"/>
      <c r="H96" s="2"/>
      <c r="I96" s="2"/>
      <c r="K96" s="2"/>
      <c r="M96" s="2"/>
      <c r="N96" s="2"/>
      <c r="O96" s="2"/>
      <c r="P96" s="2"/>
      <c r="Q96" s="2"/>
      <c r="R96" s="2"/>
      <c r="S96" s="2"/>
      <c r="T96" s="2"/>
      <c r="U96" s="2"/>
      <c r="V96" s="2"/>
      <c r="W96" s="2"/>
      <c r="Y96" s="2"/>
    </row>
    <row r="97" spans="1:25" x14ac:dyDescent="0.15">
      <c r="A97" s="1" t="s">
        <v>219</v>
      </c>
      <c r="B97" t="s">
        <v>31</v>
      </c>
      <c r="D97" t="s">
        <v>32</v>
      </c>
      <c r="F97" t="s">
        <v>33</v>
      </c>
      <c r="H97" t="s">
        <v>34</v>
      </c>
      <c r="J97" t="s">
        <v>35</v>
      </c>
      <c r="L97" t="s">
        <v>36</v>
      </c>
      <c r="N97" t="s">
        <v>37</v>
      </c>
      <c r="P97" t="s">
        <v>38</v>
      </c>
      <c r="R97" t="s">
        <v>39</v>
      </c>
      <c r="T97" t="s">
        <v>40</v>
      </c>
      <c r="V97" t="s">
        <v>41</v>
      </c>
      <c r="X97" t="s">
        <v>42</v>
      </c>
    </row>
    <row r="98" spans="1:25" x14ac:dyDescent="0.15">
      <c r="A98" s="1" t="s">
        <v>220</v>
      </c>
      <c r="R98">
        <v>4.2</v>
      </c>
      <c r="T98">
        <v>4.2</v>
      </c>
      <c r="V98">
        <v>4.1500000000000004</v>
      </c>
      <c r="X98">
        <v>4.1500000000000004</v>
      </c>
    </row>
    <row r="99" spans="1:25" x14ac:dyDescent="0.15">
      <c r="A99" s="1" t="s">
        <v>221</v>
      </c>
      <c r="R99">
        <v>4.8499999999999996</v>
      </c>
      <c r="T99">
        <v>4.8499999999999996</v>
      </c>
      <c r="V99">
        <v>4.8</v>
      </c>
      <c r="X99">
        <v>4.8</v>
      </c>
    </row>
    <row r="100" spans="1:25" x14ac:dyDescent="0.15">
      <c r="A100" s="1" t="s">
        <v>564</v>
      </c>
      <c r="B100">
        <v>4.1500000000000004</v>
      </c>
      <c r="D100">
        <v>4.05</v>
      </c>
      <c r="R100">
        <v>4.2</v>
      </c>
      <c r="T100">
        <v>4.2</v>
      </c>
      <c r="V100">
        <v>4.1500000000000004</v>
      </c>
      <c r="X100">
        <v>4.1500000000000004</v>
      </c>
    </row>
    <row r="101" spans="1:25" x14ac:dyDescent="0.15">
      <c r="A101" s="1" t="s">
        <v>565</v>
      </c>
      <c r="B101">
        <v>4.8</v>
      </c>
      <c r="D101">
        <v>4.75</v>
      </c>
      <c r="R101">
        <v>4.8499999999999996</v>
      </c>
      <c r="T101">
        <v>4.8499999999999996</v>
      </c>
      <c r="V101">
        <v>4.8</v>
      </c>
      <c r="X101">
        <v>4.8</v>
      </c>
    </row>
    <row r="102" spans="1:25" ht="33" x14ac:dyDescent="0.3">
      <c r="A102" s="33"/>
    </row>
    <row r="103" spans="1:25" s="34" customFormat="1" x14ac:dyDescent="0.15">
      <c r="A103" s="34" t="s">
        <v>422</v>
      </c>
      <c r="B103" s="34">
        <v>1</v>
      </c>
      <c r="D103" s="34">
        <v>2</v>
      </c>
      <c r="F103" s="34">
        <v>3</v>
      </c>
      <c r="H103" s="34">
        <v>4</v>
      </c>
      <c r="J103" s="34">
        <v>5</v>
      </c>
      <c r="L103" s="34">
        <v>6</v>
      </c>
      <c r="N103" s="34">
        <v>7</v>
      </c>
      <c r="P103" s="34">
        <v>8</v>
      </c>
      <c r="R103" s="34">
        <v>9</v>
      </c>
      <c r="T103" s="34">
        <v>10</v>
      </c>
      <c r="V103" s="34">
        <v>11</v>
      </c>
      <c r="X103" s="34">
        <v>12</v>
      </c>
    </row>
    <row r="104" spans="1:25" s="34" customFormat="1" x14ac:dyDescent="0.15">
      <c r="A104" s="35"/>
      <c r="D104" s="34">
        <v>5.3</v>
      </c>
      <c r="F104" s="34">
        <v>8.5</v>
      </c>
      <c r="H104" s="34">
        <v>5.4</v>
      </c>
      <c r="J104" s="34">
        <v>5</v>
      </c>
      <c r="L104" s="34">
        <v>6.3</v>
      </c>
      <c r="N104" s="34">
        <v>4.8</v>
      </c>
      <c r="P104" s="34">
        <v>4.4000000000000004</v>
      </c>
      <c r="R104" s="34">
        <v>5.8</v>
      </c>
      <c r="T104" s="34">
        <v>4.7</v>
      </c>
      <c r="V104" s="34">
        <v>6.2</v>
      </c>
      <c r="X104" s="34">
        <v>6.9</v>
      </c>
    </row>
    <row r="105" spans="1:25" ht="16" x14ac:dyDescent="0.2">
      <c r="A105" s="1" t="s">
        <v>399</v>
      </c>
      <c r="D105" s="2">
        <v>6.3</v>
      </c>
      <c r="E105" s="2"/>
      <c r="F105" s="2">
        <v>5.7</v>
      </c>
      <c r="G105" s="2"/>
      <c r="H105" s="2">
        <v>3.4</v>
      </c>
      <c r="I105" s="2"/>
      <c r="J105">
        <v>4.4000000000000004</v>
      </c>
      <c r="K105" s="2"/>
      <c r="L105">
        <v>2.5</v>
      </c>
      <c r="M105" s="2"/>
      <c r="N105" s="2">
        <v>1.5</v>
      </c>
      <c r="O105" s="2"/>
      <c r="P105" s="2">
        <v>0</v>
      </c>
      <c r="Q105" s="2"/>
      <c r="R105" s="2">
        <v>-1.2</v>
      </c>
      <c r="S105" s="2"/>
      <c r="T105" s="2">
        <v>-2.7</v>
      </c>
      <c r="U105" s="2"/>
      <c r="V105" s="2">
        <v>-0.6</v>
      </c>
      <c r="W105" s="2"/>
      <c r="X105">
        <v>-0.3</v>
      </c>
      <c r="Y105" s="2"/>
    </row>
    <row r="106" spans="1:25" ht="16" x14ac:dyDescent="0.2">
      <c r="A106" s="1" t="s">
        <v>400</v>
      </c>
      <c r="D106" s="2">
        <v>6</v>
      </c>
      <c r="E106" s="2"/>
      <c r="F106" s="2">
        <v>4.8</v>
      </c>
      <c r="G106" s="2"/>
      <c r="H106" s="2">
        <v>5.6</v>
      </c>
      <c r="I106" s="2"/>
      <c r="J106">
        <v>4.5999999999999996</v>
      </c>
      <c r="K106" s="2"/>
      <c r="L106">
        <v>6.7</v>
      </c>
      <c r="M106" s="2"/>
      <c r="N106" s="2">
        <v>7.3</v>
      </c>
      <c r="O106" s="2"/>
      <c r="P106" s="2">
        <v>5</v>
      </c>
      <c r="Q106" s="2"/>
      <c r="R106" s="2">
        <v>4.2</v>
      </c>
      <c r="S106" s="2"/>
      <c r="T106" s="2">
        <v>3.4</v>
      </c>
      <c r="U106" s="2"/>
      <c r="V106" s="2">
        <v>5.5</v>
      </c>
      <c r="W106" s="2"/>
      <c r="X106">
        <v>4.5999999999999996</v>
      </c>
      <c r="Y106" s="2"/>
    </row>
    <row r="107" spans="1:25" ht="16" x14ac:dyDescent="0.2">
      <c r="A107" s="1" t="s">
        <v>405</v>
      </c>
      <c r="D107" s="2">
        <v>0.2</v>
      </c>
      <c r="E107" s="2"/>
      <c r="F107" s="2">
        <v>9</v>
      </c>
      <c r="G107" s="2"/>
      <c r="H107" s="2">
        <v>-1.8</v>
      </c>
      <c r="I107" s="2"/>
      <c r="J107">
        <v>0.7</v>
      </c>
      <c r="K107" s="2"/>
      <c r="L107">
        <v>1.6</v>
      </c>
      <c r="M107" s="2"/>
      <c r="N107" s="2">
        <v>1.2</v>
      </c>
      <c r="O107" s="2"/>
      <c r="P107" s="2">
        <v>0.1</v>
      </c>
      <c r="Q107" s="2"/>
      <c r="R107" s="2">
        <v>0.6</v>
      </c>
      <c r="S107" s="2"/>
      <c r="T107" s="2">
        <v>-1.3</v>
      </c>
      <c r="U107" s="2"/>
      <c r="V107" s="2">
        <v>2.5</v>
      </c>
      <c r="W107" s="2"/>
      <c r="X107">
        <v>0.2</v>
      </c>
      <c r="Y107" s="2"/>
    </row>
    <row r="108" spans="1:25" ht="16" x14ac:dyDescent="0.2">
      <c r="A108" s="1" t="s">
        <v>394</v>
      </c>
      <c r="D108">
        <v>4.3</v>
      </c>
      <c r="F108">
        <v>7.1</v>
      </c>
      <c r="H108">
        <v>3.4</v>
      </c>
      <c r="J108">
        <v>3.5</v>
      </c>
      <c r="L108">
        <v>5.4</v>
      </c>
      <c r="N108" s="2">
        <v>3.8</v>
      </c>
      <c r="P108" s="2">
        <v>1.2</v>
      </c>
      <c r="R108" s="2">
        <v>3.3</v>
      </c>
      <c r="T108" s="2">
        <v>3</v>
      </c>
      <c r="V108" s="2">
        <v>7.9</v>
      </c>
      <c r="X108">
        <v>7.7</v>
      </c>
    </row>
    <row r="109" spans="1:25" ht="16" x14ac:dyDescent="0.2">
      <c r="A109" s="1" t="s">
        <v>401</v>
      </c>
      <c r="D109" s="2">
        <v>5.9</v>
      </c>
      <c r="E109" s="2"/>
      <c r="F109" s="2">
        <v>6.9</v>
      </c>
      <c r="G109" s="2"/>
      <c r="H109" s="2">
        <v>9.1</v>
      </c>
      <c r="I109" s="2"/>
      <c r="J109">
        <v>5.6</v>
      </c>
      <c r="K109" s="2"/>
      <c r="L109">
        <v>5.9</v>
      </c>
      <c r="M109" s="2"/>
      <c r="N109" s="2">
        <v>7.4</v>
      </c>
      <c r="O109" s="2"/>
      <c r="P109" s="2">
        <v>8.3000000000000007</v>
      </c>
      <c r="Q109" s="2"/>
      <c r="R109" s="2">
        <v>7.3</v>
      </c>
      <c r="S109" s="2"/>
      <c r="T109" s="2">
        <v>7.1</v>
      </c>
      <c r="U109" s="2"/>
      <c r="V109" s="2">
        <v>5.0999999999999996</v>
      </c>
      <c r="W109" s="2"/>
      <c r="X109">
        <v>5.3</v>
      </c>
      <c r="Y109" s="2"/>
    </row>
    <row r="110" spans="1:25" ht="16" x14ac:dyDescent="0.2">
      <c r="A110" s="1" t="s">
        <v>397</v>
      </c>
      <c r="D110" s="2">
        <v>8.8000000000000007</v>
      </c>
      <c r="E110" s="2"/>
      <c r="F110" s="2">
        <v>15.4</v>
      </c>
      <c r="G110" s="2"/>
      <c r="H110" s="2">
        <v>9.8000000000000007</v>
      </c>
      <c r="I110" s="2"/>
      <c r="J110">
        <v>9.9</v>
      </c>
      <c r="K110" s="2"/>
      <c r="L110">
        <v>9.5</v>
      </c>
      <c r="M110" s="2"/>
      <c r="N110" s="2">
        <v>8.6999999999999993</v>
      </c>
      <c r="O110" s="2"/>
      <c r="P110" s="2">
        <v>8.1</v>
      </c>
      <c r="Q110" s="2"/>
      <c r="R110" s="2">
        <v>7</v>
      </c>
      <c r="S110" s="2"/>
      <c r="T110" s="2">
        <v>4.0999999999999996</v>
      </c>
      <c r="U110" s="2"/>
      <c r="V110" s="2">
        <v>8.6</v>
      </c>
      <c r="W110" s="2"/>
      <c r="X110">
        <v>8.4</v>
      </c>
      <c r="Y110" s="2"/>
    </row>
    <row r="111" spans="1:25" ht="16" x14ac:dyDescent="0.2">
      <c r="A111" s="1" t="s">
        <v>395</v>
      </c>
      <c r="D111" s="2">
        <v>7.5</v>
      </c>
      <c r="E111" s="2"/>
      <c r="F111" s="2">
        <v>8.5</v>
      </c>
      <c r="G111" s="2"/>
      <c r="H111" s="2">
        <v>11.5</v>
      </c>
      <c r="I111" s="2"/>
      <c r="J111">
        <v>11.7</v>
      </c>
      <c r="K111" s="2"/>
      <c r="L111">
        <v>13.7</v>
      </c>
      <c r="M111" s="2"/>
      <c r="N111" s="2">
        <v>10</v>
      </c>
      <c r="O111" s="2"/>
      <c r="P111" s="2">
        <v>10.4</v>
      </c>
      <c r="Q111" s="2"/>
      <c r="R111" s="2">
        <v>9.5</v>
      </c>
      <c r="S111" s="2"/>
      <c r="T111" s="2">
        <v>6.3</v>
      </c>
      <c r="U111" s="2"/>
      <c r="V111" s="2">
        <v>10.7</v>
      </c>
      <c r="W111" s="2"/>
      <c r="X111">
        <v>10.7</v>
      </c>
      <c r="Y111" s="2"/>
    </row>
    <row r="112" spans="1:25" ht="16" x14ac:dyDescent="0.2">
      <c r="A112" s="1" t="s">
        <v>396</v>
      </c>
      <c r="D112" s="2">
        <v>9.3000000000000007</v>
      </c>
      <c r="E112" s="2"/>
      <c r="F112" s="2">
        <v>11.1</v>
      </c>
      <c r="G112" s="2"/>
      <c r="H112" s="2">
        <v>8.9</v>
      </c>
      <c r="I112" s="2"/>
      <c r="J112" s="2">
        <v>9.4</v>
      </c>
      <c r="K112" s="2"/>
      <c r="L112" s="2">
        <v>12.9</v>
      </c>
      <c r="M112" s="2"/>
      <c r="N112" s="2">
        <v>10.3</v>
      </c>
      <c r="O112" s="2"/>
      <c r="P112" s="2">
        <v>8.5</v>
      </c>
      <c r="Q112" s="2"/>
      <c r="R112" s="2">
        <v>7.7</v>
      </c>
      <c r="S112" s="2"/>
      <c r="T112" s="2">
        <v>9.1</v>
      </c>
      <c r="U112" s="2"/>
      <c r="V112" s="2">
        <v>6.4</v>
      </c>
      <c r="W112" s="2"/>
      <c r="X112">
        <v>5</v>
      </c>
      <c r="Y112" s="2"/>
    </row>
    <row r="113" spans="1:25" ht="16" x14ac:dyDescent="0.2">
      <c r="A113" s="1" t="s">
        <v>425</v>
      </c>
      <c r="D113" s="2">
        <v>8.5</v>
      </c>
      <c r="E113" s="2"/>
      <c r="F113" s="2">
        <v>14.6</v>
      </c>
      <c r="G113" s="2"/>
      <c r="H113" s="2">
        <v>3.3</v>
      </c>
      <c r="I113" s="2"/>
      <c r="J113" s="2">
        <v>6.5</v>
      </c>
      <c r="K113" s="2"/>
      <c r="L113" s="2">
        <v>5.7</v>
      </c>
      <c r="M113" s="2"/>
      <c r="N113" s="2">
        <v>4.2</v>
      </c>
      <c r="O113" s="2"/>
      <c r="P113" s="2">
        <v>0.9</v>
      </c>
      <c r="Q113" s="2"/>
      <c r="R113" s="2">
        <v>2.6</v>
      </c>
      <c r="S113" s="2"/>
      <c r="T113" s="2">
        <v>3.1</v>
      </c>
      <c r="U113" s="2"/>
      <c r="V113" s="2">
        <v>6</v>
      </c>
      <c r="W113" s="2"/>
      <c r="X113">
        <v>6.3</v>
      </c>
      <c r="Y113" s="2"/>
    </row>
    <row r="114" spans="1:25" ht="16" x14ac:dyDescent="0.2">
      <c r="A114" s="1" t="s">
        <v>424</v>
      </c>
      <c r="D114" s="2">
        <v>4.4000000000000004</v>
      </c>
      <c r="E114" s="2"/>
      <c r="F114">
        <v>14.1</v>
      </c>
      <c r="G114" s="2"/>
      <c r="H114">
        <v>2</v>
      </c>
      <c r="I114" s="2"/>
      <c r="J114">
        <v>2.5</v>
      </c>
      <c r="K114" s="2"/>
      <c r="L114">
        <v>2.6</v>
      </c>
      <c r="M114" s="2"/>
      <c r="N114">
        <v>0.7</v>
      </c>
      <c r="O114" s="2"/>
      <c r="P114">
        <v>0</v>
      </c>
      <c r="Q114" s="2"/>
      <c r="R114">
        <v>3.5</v>
      </c>
      <c r="S114" s="2"/>
      <c r="T114">
        <v>3.1</v>
      </c>
      <c r="U114" s="2"/>
      <c r="V114">
        <v>6.2</v>
      </c>
      <c r="W114" s="2"/>
      <c r="X114">
        <v>4.9000000000000004</v>
      </c>
      <c r="Y114" s="2"/>
    </row>
    <row r="115" spans="1:25" ht="16" x14ac:dyDescent="0.2">
      <c r="A115" s="1" t="s">
        <v>398</v>
      </c>
      <c r="D115" s="2">
        <v>10</v>
      </c>
      <c r="E115" s="2"/>
      <c r="F115">
        <v>16.399999999999999</v>
      </c>
      <c r="G115" s="2"/>
      <c r="H115">
        <v>2.8</v>
      </c>
      <c r="I115" s="2"/>
      <c r="J115">
        <v>4.9000000000000004</v>
      </c>
      <c r="K115" s="2"/>
      <c r="L115">
        <v>5.3</v>
      </c>
      <c r="M115" s="2"/>
      <c r="N115">
        <v>4</v>
      </c>
      <c r="O115" s="2"/>
      <c r="P115">
        <v>3.3</v>
      </c>
      <c r="Q115" s="2"/>
      <c r="R115">
        <v>7</v>
      </c>
      <c r="S115" s="2"/>
      <c r="T115">
        <v>5</v>
      </c>
      <c r="U115" s="2"/>
      <c r="V115">
        <v>7</v>
      </c>
      <c r="W115" s="2"/>
      <c r="X115">
        <v>6.5</v>
      </c>
      <c r="Y115" s="2"/>
    </row>
    <row r="116" spans="1:25" ht="16" x14ac:dyDescent="0.2">
      <c r="A116" s="1" t="s">
        <v>392</v>
      </c>
      <c r="D116" s="2">
        <v>-5.3</v>
      </c>
      <c r="E116" s="2"/>
      <c r="F116" s="2">
        <v>2.6</v>
      </c>
      <c r="G116" s="2"/>
      <c r="H116" s="2">
        <v>-1.1000000000000001</v>
      </c>
      <c r="I116" s="2"/>
      <c r="J116">
        <v>-4.7</v>
      </c>
      <c r="K116" s="2"/>
      <c r="L116">
        <v>-2.5</v>
      </c>
      <c r="M116" s="2"/>
      <c r="N116" s="2">
        <v>-4.4000000000000004</v>
      </c>
      <c r="O116" s="2"/>
      <c r="P116" s="2">
        <v>4.3</v>
      </c>
      <c r="Q116" s="2"/>
      <c r="R116" s="2">
        <v>0.5</v>
      </c>
      <c r="S116" s="2"/>
      <c r="T116" s="2">
        <v>4.9000000000000004</v>
      </c>
      <c r="U116" s="2"/>
      <c r="V116" s="2">
        <v>7.7</v>
      </c>
      <c r="W116" s="2"/>
      <c r="X116">
        <v>10.4</v>
      </c>
      <c r="Y116" s="2"/>
    </row>
    <row r="117" spans="1:25" ht="16" x14ac:dyDescent="0.2">
      <c r="A117" s="1" t="s">
        <v>423</v>
      </c>
      <c r="D117" s="2">
        <v>7.9</v>
      </c>
      <c r="E117" s="2"/>
      <c r="F117" s="2">
        <v>13.6</v>
      </c>
      <c r="G117" s="2"/>
      <c r="H117" s="2">
        <v>5.8</v>
      </c>
      <c r="I117" s="2"/>
      <c r="J117">
        <v>8.3000000000000007</v>
      </c>
      <c r="K117" s="2"/>
      <c r="L117">
        <v>14.5</v>
      </c>
      <c r="M117" s="2"/>
      <c r="N117" s="2">
        <v>15.7</v>
      </c>
      <c r="O117" s="2"/>
      <c r="P117" s="2">
        <v>7.8</v>
      </c>
      <c r="Q117" s="2"/>
      <c r="R117" s="2">
        <v>4.7</v>
      </c>
      <c r="S117" s="2"/>
      <c r="T117" s="2">
        <v>3</v>
      </c>
      <c r="U117" s="2"/>
      <c r="V117" s="2">
        <v>0.1</v>
      </c>
      <c r="W117" s="2"/>
      <c r="X117">
        <v>-2.5</v>
      </c>
      <c r="Y117" s="2"/>
    </row>
    <row r="118" spans="1:25" ht="16" x14ac:dyDescent="0.2">
      <c r="A118" s="1" t="s">
        <v>404</v>
      </c>
      <c r="D118" s="2">
        <v>8</v>
      </c>
      <c r="E118" s="2"/>
      <c r="F118" s="2">
        <v>15.2</v>
      </c>
      <c r="G118" s="2"/>
      <c r="H118" s="2">
        <v>7.1</v>
      </c>
      <c r="I118" s="2"/>
      <c r="J118">
        <v>8.8000000000000007</v>
      </c>
      <c r="K118" s="2"/>
      <c r="L118">
        <v>11.3</v>
      </c>
      <c r="M118" s="2"/>
      <c r="N118" s="2">
        <v>7.6</v>
      </c>
      <c r="O118" s="2"/>
      <c r="P118" s="2">
        <v>10</v>
      </c>
      <c r="Q118" s="2"/>
      <c r="R118" s="2">
        <v>12.1</v>
      </c>
      <c r="S118" s="2"/>
      <c r="T118" s="2">
        <v>10.7</v>
      </c>
      <c r="U118" s="2"/>
      <c r="V118" s="2">
        <v>12.6</v>
      </c>
      <c r="W118" s="2"/>
      <c r="X118">
        <v>12.4</v>
      </c>
      <c r="Y118" s="2"/>
    </row>
    <row r="119" spans="1:25" ht="16" x14ac:dyDescent="0.2">
      <c r="A119" s="1" t="s">
        <v>391</v>
      </c>
      <c r="D119">
        <v>6</v>
      </c>
      <c r="F119">
        <v>10.199999999999999</v>
      </c>
      <c r="H119">
        <v>12.4</v>
      </c>
      <c r="J119">
        <v>10.6</v>
      </c>
      <c r="L119">
        <v>10.4</v>
      </c>
      <c r="N119">
        <v>6.1</v>
      </c>
      <c r="P119">
        <v>4.7</v>
      </c>
      <c r="R119">
        <v>11.4</v>
      </c>
      <c r="T119">
        <v>8.1999999999999993</v>
      </c>
      <c r="V119">
        <v>9.6999999999999993</v>
      </c>
      <c r="X119">
        <v>11.6</v>
      </c>
    </row>
    <row r="120" spans="1:25" ht="16" x14ac:dyDescent="0.2">
      <c r="A120" s="2" t="s">
        <v>403</v>
      </c>
      <c r="D120" s="2">
        <v>6.1</v>
      </c>
      <c r="E120" s="2"/>
      <c r="F120" s="2">
        <v>7.2</v>
      </c>
      <c r="G120" s="2"/>
      <c r="H120" s="2">
        <v>9.1</v>
      </c>
      <c r="I120" s="2"/>
      <c r="J120">
        <v>5</v>
      </c>
      <c r="K120" s="2"/>
      <c r="L120">
        <v>5.6</v>
      </c>
      <c r="M120" s="2"/>
      <c r="N120" s="2">
        <v>6.5</v>
      </c>
      <c r="O120" s="2"/>
      <c r="P120" s="2">
        <v>5.0999999999999996</v>
      </c>
      <c r="Q120" s="2"/>
      <c r="R120" s="2">
        <v>5.4</v>
      </c>
      <c r="S120" s="2"/>
      <c r="T120" s="2">
        <v>6.7</v>
      </c>
      <c r="U120" s="2"/>
      <c r="V120" s="2">
        <v>6.8</v>
      </c>
      <c r="W120" s="2"/>
      <c r="X120">
        <v>7</v>
      </c>
      <c r="Y120" s="2"/>
    </row>
    <row r="121" spans="1:25" ht="16" x14ac:dyDescent="0.2">
      <c r="A121" s="1"/>
      <c r="D121" s="2"/>
      <c r="E121" s="2"/>
      <c r="F121" s="2"/>
      <c r="G121" s="2"/>
      <c r="H121" s="2"/>
      <c r="I121" s="2"/>
      <c r="K121" s="2"/>
      <c r="M121" s="2"/>
      <c r="N121" s="2"/>
      <c r="O121" s="2"/>
      <c r="P121" s="2"/>
      <c r="Q121" s="2"/>
      <c r="R121" s="2"/>
      <c r="S121" s="2"/>
      <c r="T121" s="2"/>
      <c r="U121" s="2"/>
      <c r="V121" s="2"/>
      <c r="W121" s="2"/>
      <c r="Y121" s="2"/>
    </row>
    <row r="122" spans="1:25" s="34" customFormat="1" x14ac:dyDescent="0.15">
      <c r="A122" s="34" t="s">
        <v>215</v>
      </c>
      <c r="B122" s="34" t="s">
        <v>31</v>
      </c>
      <c r="D122" s="34" t="s">
        <v>32</v>
      </c>
      <c r="F122" s="34" t="s">
        <v>33</v>
      </c>
      <c r="H122" s="34" t="s">
        <v>34</v>
      </c>
      <c r="J122" s="34" t="s">
        <v>35</v>
      </c>
      <c r="L122" s="34" t="s">
        <v>36</v>
      </c>
      <c r="N122" s="34" t="s">
        <v>37</v>
      </c>
      <c r="P122" s="34" t="s">
        <v>38</v>
      </c>
      <c r="R122" s="34" t="s">
        <v>39</v>
      </c>
      <c r="T122" s="34" t="s">
        <v>40</v>
      </c>
      <c r="V122" s="34" t="s">
        <v>41</v>
      </c>
      <c r="X122" s="34" t="s">
        <v>42</v>
      </c>
    </row>
    <row r="123" spans="1:25" s="34" customFormat="1" x14ac:dyDescent="0.15">
      <c r="A123" s="35" t="s">
        <v>211</v>
      </c>
      <c r="D123" s="34">
        <v>100</v>
      </c>
      <c r="F123" s="34">
        <v>200</v>
      </c>
      <c r="H123" s="34">
        <v>300</v>
      </c>
      <c r="J123" s="34">
        <v>400</v>
      </c>
      <c r="L123" s="34">
        <v>500</v>
      </c>
      <c r="N123" s="34">
        <v>600</v>
      </c>
      <c r="P123" s="34">
        <v>700</v>
      </c>
      <c r="R123" s="34">
        <v>800</v>
      </c>
      <c r="T123" s="34">
        <v>900</v>
      </c>
      <c r="V123" s="34">
        <v>1000</v>
      </c>
      <c r="X123" s="34">
        <v>1100</v>
      </c>
    </row>
    <row r="124" spans="1:25" s="34" customFormat="1" x14ac:dyDescent="0.15">
      <c r="A124" s="34" t="s">
        <v>238</v>
      </c>
      <c r="D124" s="34">
        <v>-14</v>
      </c>
      <c r="F124" s="34">
        <v>13.9</v>
      </c>
      <c r="H124" s="34">
        <v>-3.7</v>
      </c>
      <c r="J124" s="34">
        <v>1.1000000000000001</v>
      </c>
      <c r="L124" s="34">
        <v>-3.1</v>
      </c>
      <c r="N124" s="34">
        <v>2.6</v>
      </c>
      <c r="P124" s="34">
        <v>-2</v>
      </c>
      <c r="R124" s="34">
        <v>-5.3</v>
      </c>
      <c r="T124" s="34">
        <v>-9.9</v>
      </c>
      <c r="V124" s="34">
        <v>5.4</v>
      </c>
      <c r="X124" s="34">
        <v>-6.3</v>
      </c>
    </row>
    <row r="125" spans="1:25" ht="16" x14ac:dyDescent="0.2">
      <c r="A125" s="1" t="s">
        <v>550</v>
      </c>
      <c r="D125">
        <v>-21.6</v>
      </c>
      <c r="F125">
        <v>-7</v>
      </c>
      <c r="H125">
        <v>-15.3</v>
      </c>
      <c r="J125">
        <v>-13</v>
      </c>
      <c r="L125">
        <v>-7.9</v>
      </c>
      <c r="N125">
        <v>-6.3</v>
      </c>
      <c r="P125">
        <v>-2.7</v>
      </c>
      <c r="R125">
        <v>3.6</v>
      </c>
      <c r="T125">
        <v>6</v>
      </c>
      <c r="V125">
        <v>4.0999999999999996</v>
      </c>
      <c r="X125" s="6">
        <v>3.1</v>
      </c>
    </row>
    <row r="126" spans="1:25" x14ac:dyDescent="0.15">
      <c r="A126" s="1" t="s">
        <v>16</v>
      </c>
      <c r="D126">
        <v>78.400000000000006</v>
      </c>
      <c r="F126">
        <v>186</v>
      </c>
      <c r="H126">
        <v>254.1</v>
      </c>
      <c r="J126">
        <v>348</v>
      </c>
      <c r="L126">
        <v>460.5</v>
      </c>
      <c r="N126">
        <v>562.20000000000005</v>
      </c>
      <c r="P126">
        <v>681.1</v>
      </c>
      <c r="R126">
        <v>828.8</v>
      </c>
      <c r="T126">
        <v>954</v>
      </c>
      <c r="V126">
        <v>1041</v>
      </c>
      <c r="X126">
        <f>X123*(100+X125)/100</f>
        <v>1134.0999999999999</v>
      </c>
    </row>
    <row r="127" spans="1:25" x14ac:dyDescent="0.15">
      <c r="A127" t="s">
        <v>237</v>
      </c>
      <c r="D127">
        <v>78.400000000000006</v>
      </c>
      <c r="F127">
        <v>107.6</v>
      </c>
      <c r="H127">
        <v>68.099999999999994</v>
      </c>
      <c r="J127">
        <v>93.9</v>
      </c>
      <c r="L127">
        <v>112.5</v>
      </c>
      <c r="N127">
        <v>101.7</v>
      </c>
      <c r="P127">
        <v>118.9</v>
      </c>
      <c r="R127">
        <v>147.69999999999999</v>
      </c>
      <c r="T127">
        <v>125.2</v>
      </c>
      <c r="V127">
        <v>87</v>
      </c>
      <c r="X127">
        <f>X126-V126</f>
        <v>93.099999999999909</v>
      </c>
    </row>
    <row r="129" spans="1:25" ht="17" customHeight="1" x14ac:dyDescent="0.15">
      <c r="A129" s="1" t="s">
        <v>253</v>
      </c>
      <c r="D129" s="16">
        <v>5.2</v>
      </c>
      <c r="E129" s="16"/>
      <c r="F129" s="16">
        <v>8.6999999999999993</v>
      </c>
      <c r="G129" s="16"/>
      <c r="H129" s="16">
        <v>14.3</v>
      </c>
      <c r="I129" s="16"/>
      <c r="J129" s="16">
        <v>11.8</v>
      </c>
      <c r="K129" s="16"/>
      <c r="L129" s="16">
        <v>10.8</v>
      </c>
      <c r="M129" s="16"/>
      <c r="N129" s="16">
        <v>0.3</v>
      </c>
      <c r="O129" s="16"/>
      <c r="P129" s="16">
        <v>-2.7</v>
      </c>
      <c r="Q129" s="16"/>
      <c r="R129" s="16">
        <v>8</v>
      </c>
      <c r="S129" s="16"/>
      <c r="T129" s="16">
        <v>2.2000000000000002</v>
      </c>
      <c r="U129" s="16"/>
      <c r="V129" s="16">
        <v>5.4</v>
      </c>
      <c r="W129" s="16"/>
      <c r="X129">
        <v>9.4</v>
      </c>
      <c r="Y129" s="16"/>
    </row>
    <row r="130" spans="1:25" x14ac:dyDescent="0.15">
      <c r="A130" s="1" t="s">
        <v>254</v>
      </c>
      <c r="D130">
        <v>4.5999999999999996</v>
      </c>
      <c r="F130">
        <v>7</v>
      </c>
      <c r="H130">
        <v>8.6999999999999993</v>
      </c>
      <c r="J130">
        <v>8.8000000000000007</v>
      </c>
      <c r="L130">
        <v>7.3</v>
      </c>
      <c r="N130">
        <v>6.8</v>
      </c>
      <c r="P130">
        <v>5.6</v>
      </c>
      <c r="R130">
        <v>5.6</v>
      </c>
      <c r="T130">
        <v>4.9000000000000004</v>
      </c>
      <c r="V130">
        <v>4.5</v>
      </c>
      <c r="X130">
        <v>4.3</v>
      </c>
    </row>
    <row r="131" spans="1:25" x14ac:dyDescent="0.15">
      <c r="A131" t="s">
        <v>255</v>
      </c>
      <c r="D131" t="s">
        <v>272</v>
      </c>
      <c r="F131" t="s">
        <v>306</v>
      </c>
      <c r="H131" t="s">
        <v>275</v>
      </c>
      <c r="J131" t="s">
        <v>350</v>
      </c>
      <c r="L131" t="s">
        <v>307</v>
      </c>
      <c r="N131" t="s">
        <v>284</v>
      </c>
      <c r="P131" t="s">
        <v>285</v>
      </c>
      <c r="R131" t="s">
        <v>286</v>
      </c>
      <c r="T131" t="s">
        <v>287</v>
      </c>
      <c r="V131" t="s">
        <v>288</v>
      </c>
      <c r="X131" t="s">
        <v>651</v>
      </c>
    </row>
    <row r="132" spans="1:25" x14ac:dyDescent="0.15">
      <c r="A132" t="s">
        <v>270</v>
      </c>
      <c r="D132" t="s">
        <v>271</v>
      </c>
      <c r="F132" t="s">
        <v>273</v>
      </c>
      <c r="H132" t="s">
        <v>276</v>
      </c>
      <c r="J132" t="s">
        <v>277</v>
      </c>
      <c r="L132" t="s">
        <v>278</v>
      </c>
      <c r="N132" t="s">
        <v>279</v>
      </c>
      <c r="P132" t="s">
        <v>280</v>
      </c>
      <c r="R132" t="s">
        <v>281</v>
      </c>
      <c r="T132" t="s">
        <v>282</v>
      </c>
      <c r="V132" t="s">
        <v>652</v>
      </c>
    </row>
    <row r="134" spans="1:25" x14ac:dyDescent="0.15">
      <c r="A134" s="1" t="s">
        <v>256</v>
      </c>
      <c r="D134" s="16">
        <v>6.5</v>
      </c>
      <c r="E134" s="16"/>
      <c r="F134" s="16">
        <v>19.600000000000001</v>
      </c>
      <c r="G134" s="16"/>
      <c r="H134" s="16">
        <v>17.3</v>
      </c>
      <c r="I134" s="16"/>
      <c r="J134" s="16">
        <v>16.5</v>
      </c>
      <c r="K134" s="16"/>
      <c r="L134" s="16">
        <v>14.6</v>
      </c>
      <c r="M134" s="16"/>
      <c r="N134" s="16">
        <v>14.4</v>
      </c>
      <c r="O134" s="16"/>
      <c r="P134" s="16">
        <v>14.3</v>
      </c>
      <c r="Q134" s="16"/>
      <c r="R134" s="16">
        <v>21</v>
      </c>
      <c r="S134" s="16"/>
      <c r="T134" s="16">
        <v>19.2</v>
      </c>
      <c r="U134" s="16"/>
      <c r="V134" s="16">
        <v>22.6</v>
      </c>
      <c r="W134" s="16"/>
      <c r="X134">
        <v>20.7</v>
      </c>
      <c r="Y134" s="16"/>
    </row>
    <row r="135" spans="1:25" x14ac:dyDescent="0.15">
      <c r="A135" s="1" t="s">
        <v>257</v>
      </c>
      <c r="D135">
        <v>5.6</v>
      </c>
      <c r="F135">
        <v>0.5</v>
      </c>
      <c r="H135">
        <v>-0.4</v>
      </c>
      <c r="J135">
        <v>1</v>
      </c>
      <c r="L135">
        <v>1.4</v>
      </c>
      <c r="N135">
        <v>1.6</v>
      </c>
      <c r="P135">
        <v>1.1000000000000001</v>
      </c>
      <c r="R135">
        <v>1.3</v>
      </c>
      <c r="T135" s="16">
        <v>1</v>
      </c>
      <c r="V135">
        <v>1</v>
      </c>
      <c r="X135">
        <v>0.3</v>
      </c>
    </row>
    <row r="136" spans="1:25" x14ac:dyDescent="0.15">
      <c r="A136" t="s">
        <v>258</v>
      </c>
      <c r="D136" t="s">
        <v>290</v>
      </c>
      <c r="F136" t="s">
        <v>308</v>
      </c>
      <c r="H136" t="s">
        <v>302</v>
      </c>
      <c r="J136" t="s">
        <v>309</v>
      </c>
      <c r="L136" t="s">
        <v>310</v>
      </c>
      <c r="N136" t="s">
        <v>311</v>
      </c>
      <c r="P136" t="s">
        <v>307</v>
      </c>
      <c r="R136" t="s">
        <v>303</v>
      </c>
      <c r="T136" t="s">
        <v>304</v>
      </c>
      <c r="V136" t="s">
        <v>305</v>
      </c>
      <c r="X136">
        <v>-2.1</v>
      </c>
    </row>
    <row r="137" spans="1:25" x14ac:dyDescent="0.15">
      <c r="A137" t="s">
        <v>300</v>
      </c>
      <c r="D137" t="s">
        <v>289</v>
      </c>
      <c r="F137" t="s">
        <v>291</v>
      </c>
      <c r="H137" t="s">
        <v>292</v>
      </c>
      <c r="J137" t="s">
        <v>293</v>
      </c>
      <c r="L137" t="s">
        <v>294</v>
      </c>
      <c r="N137" t="s">
        <v>295</v>
      </c>
      <c r="P137" t="s">
        <v>296</v>
      </c>
      <c r="R137" t="s">
        <v>297</v>
      </c>
      <c r="T137" t="s">
        <v>298</v>
      </c>
      <c r="V137" t="s">
        <v>299</v>
      </c>
    </row>
    <row r="139" spans="1:25" x14ac:dyDescent="0.15">
      <c r="A139" s="1" t="s">
        <v>259</v>
      </c>
      <c r="D139" s="16">
        <v>10.8</v>
      </c>
      <c r="E139" s="16"/>
      <c r="F139" s="16">
        <v>6.4</v>
      </c>
      <c r="G139" s="16"/>
      <c r="H139" s="16">
        <v>8.1</v>
      </c>
      <c r="I139" s="16"/>
      <c r="J139" s="16">
        <v>7.9</v>
      </c>
      <c r="K139" s="16"/>
      <c r="L139" s="16">
        <v>7</v>
      </c>
      <c r="M139" s="16"/>
      <c r="N139" s="16">
        <v>5.8</v>
      </c>
      <c r="O139" s="16"/>
      <c r="P139" s="16">
        <v>4.8</v>
      </c>
      <c r="Q139" s="16"/>
      <c r="R139" s="16">
        <v>7.6</v>
      </c>
      <c r="S139" s="16"/>
      <c r="T139" s="16">
        <v>6.5</v>
      </c>
      <c r="U139" s="16"/>
      <c r="V139" s="16">
        <v>11.4</v>
      </c>
      <c r="W139" s="16"/>
      <c r="X139">
        <v>8.3000000000000007</v>
      </c>
      <c r="Y139" s="16"/>
    </row>
    <row r="140" spans="1:25" x14ac:dyDescent="0.15">
      <c r="A140" s="1" t="s">
        <v>260</v>
      </c>
      <c r="D140">
        <v>8.8000000000000007</v>
      </c>
      <c r="F140">
        <v>11.8</v>
      </c>
      <c r="H140">
        <v>10.6</v>
      </c>
      <c r="J140">
        <v>11.5</v>
      </c>
      <c r="L140">
        <v>10.7</v>
      </c>
      <c r="N140">
        <v>10.199999999999999</v>
      </c>
      <c r="P140">
        <v>9.8000000000000007</v>
      </c>
      <c r="R140">
        <v>9.5</v>
      </c>
      <c r="T140" s="16">
        <v>8.3000000000000007</v>
      </c>
      <c r="V140">
        <v>9.1999999999999993</v>
      </c>
      <c r="X140">
        <v>9.4</v>
      </c>
    </row>
    <row r="141" spans="1:25" x14ac:dyDescent="0.15">
      <c r="A141" t="s">
        <v>261</v>
      </c>
      <c r="D141" t="s">
        <v>312</v>
      </c>
      <c r="F141" t="s">
        <v>313</v>
      </c>
      <c r="H141" t="s">
        <v>314</v>
      </c>
      <c r="J141" t="s">
        <v>274</v>
      </c>
      <c r="L141" t="s">
        <v>315</v>
      </c>
      <c r="N141" t="s">
        <v>316</v>
      </c>
      <c r="P141" t="s">
        <v>317</v>
      </c>
      <c r="R141" t="s">
        <v>318</v>
      </c>
      <c r="T141" t="s">
        <v>319</v>
      </c>
      <c r="V141" t="s">
        <v>320</v>
      </c>
      <c r="X141">
        <v>-21.6</v>
      </c>
    </row>
    <row r="142" spans="1:25" x14ac:dyDescent="0.15">
      <c r="A142" t="s">
        <v>301</v>
      </c>
      <c r="D142" t="s">
        <v>321</v>
      </c>
      <c r="F142" t="s">
        <v>322</v>
      </c>
      <c r="H142" t="s">
        <v>323</v>
      </c>
      <c r="J142" t="s">
        <v>324</v>
      </c>
      <c r="L142" t="s">
        <v>325</v>
      </c>
      <c r="N142" t="s">
        <v>326</v>
      </c>
      <c r="P142" t="s">
        <v>327</v>
      </c>
      <c r="R142" t="s">
        <v>328</v>
      </c>
      <c r="T142" t="s">
        <v>329</v>
      </c>
      <c r="V142" t="s">
        <v>330</v>
      </c>
    </row>
    <row r="144" spans="1:25" x14ac:dyDescent="0.15">
      <c r="A144" s="1" t="s">
        <v>262</v>
      </c>
      <c r="D144" s="16">
        <v>2.4</v>
      </c>
      <c r="E144" s="16"/>
      <c r="F144" s="16">
        <v>2.2000000000000002</v>
      </c>
      <c r="G144" s="16"/>
      <c r="H144" s="16">
        <v>8.6</v>
      </c>
      <c r="I144" s="16"/>
      <c r="J144" s="16">
        <v>1.2</v>
      </c>
      <c r="K144" s="16"/>
      <c r="L144" s="16">
        <v>2.2999999999999998</v>
      </c>
      <c r="M144" s="16"/>
      <c r="N144" s="16">
        <v>2.2999999999999998</v>
      </c>
      <c r="O144" s="16"/>
      <c r="P144" s="16">
        <v>3.9</v>
      </c>
      <c r="Q144" s="16"/>
      <c r="R144" s="16">
        <v>5.3</v>
      </c>
      <c r="S144" s="16"/>
      <c r="T144" s="16">
        <v>7.8</v>
      </c>
      <c r="U144" s="16"/>
      <c r="V144" s="16">
        <v>2.1</v>
      </c>
      <c r="W144" s="16"/>
      <c r="X144">
        <v>9.1999999999999993</v>
      </c>
      <c r="Y144" s="16"/>
    </row>
    <row r="145" spans="1:25" x14ac:dyDescent="0.15">
      <c r="A145" s="1" t="s">
        <v>263</v>
      </c>
      <c r="D145">
        <v>5.3</v>
      </c>
      <c r="F145">
        <v>6.3</v>
      </c>
      <c r="H145">
        <v>5.6</v>
      </c>
      <c r="J145">
        <v>5.0999999999999996</v>
      </c>
      <c r="L145">
        <v>4.5999999999999996</v>
      </c>
      <c r="N145">
        <v>4.9000000000000004</v>
      </c>
      <c r="P145">
        <v>5.3</v>
      </c>
      <c r="R145">
        <v>4.8</v>
      </c>
      <c r="T145" s="16">
        <v>4.4000000000000004</v>
      </c>
      <c r="V145">
        <v>4</v>
      </c>
      <c r="X145">
        <v>3.9</v>
      </c>
    </row>
    <row r="146" spans="1:25" x14ac:dyDescent="0.15">
      <c r="A146" t="s">
        <v>264</v>
      </c>
      <c r="D146" t="s">
        <v>332</v>
      </c>
      <c r="F146" t="s">
        <v>336</v>
      </c>
      <c r="H146" t="s">
        <v>340</v>
      </c>
      <c r="J146" t="s">
        <v>338</v>
      </c>
      <c r="L146" t="s">
        <v>343</v>
      </c>
      <c r="N146" t="s">
        <v>342</v>
      </c>
      <c r="P146" t="s">
        <v>345</v>
      </c>
      <c r="R146" t="s">
        <v>346</v>
      </c>
      <c r="T146" t="s">
        <v>351</v>
      </c>
      <c r="V146" t="s">
        <v>352</v>
      </c>
      <c r="X146">
        <v>2.6</v>
      </c>
    </row>
    <row r="147" spans="1:25" x14ac:dyDescent="0.15">
      <c r="A147" t="s">
        <v>331</v>
      </c>
      <c r="D147" t="s">
        <v>333</v>
      </c>
      <c r="F147" t="s">
        <v>334</v>
      </c>
      <c r="H147" t="s">
        <v>335</v>
      </c>
      <c r="J147" t="s">
        <v>337</v>
      </c>
      <c r="L147" t="s">
        <v>339</v>
      </c>
      <c r="N147" t="s">
        <v>341</v>
      </c>
      <c r="P147" t="s">
        <v>344</v>
      </c>
      <c r="R147" t="s">
        <v>347</v>
      </c>
      <c r="T147" t="s">
        <v>348</v>
      </c>
      <c r="V147" t="s">
        <v>349</v>
      </c>
    </row>
    <row r="148" spans="1:25" x14ac:dyDescent="0.15">
      <c r="A148" s="1"/>
      <c r="D148" s="16"/>
      <c r="E148" s="16"/>
      <c r="F148" s="16"/>
      <c r="G148" s="16"/>
      <c r="H148" s="16"/>
      <c r="I148" s="16"/>
      <c r="J148" s="16"/>
      <c r="K148" s="16"/>
      <c r="L148" s="16"/>
      <c r="M148" s="16"/>
      <c r="N148" s="16"/>
      <c r="O148" s="16"/>
      <c r="P148" s="16"/>
      <c r="Q148" s="16"/>
      <c r="R148" s="16"/>
      <c r="S148" s="16"/>
      <c r="T148" s="16"/>
      <c r="U148" s="16"/>
      <c r="V148" s="16"/>
      <c r="W148" s="16"/>
      <c r="Y148" s="16"/>
    </row>
    <row r="149" spans="1:25" x14ac:dyDescent="0.15">
      <c r="A149" s="1" t="s">
        <v>266</v>
      </c>
      <c r="D149">
        <v>13.6</v>
      </c>
      <c r="F149">
        <v>14.4</v>
      </c>
      <c r="H149">
        <v>14.8</v>
      </c>
      <c r="J149">
        <v>14.7</v>
      </c>
      <c r="L149">
        <v>15</v>
      </c>
      <c r="N149">
        <v>15.1</v>
      </c>
      <c r="P149">
        <v>14.9</v>
      </c>
      <c r="R149">
        <v>15.2</v>
      </c>
      <c r="T149" s="16">
        <v>15.2</v>
      </c>
      <c r="V149">
        <v>15.5</v>
      </c>
    </row>
    <row r="150" spans="1:25" x14ac:dyDescent="0.15">
      <c r="A150" t="s">
        <v>267</v>
      </c>
      <c r="D150">
        <v>7</v>
      </c>
      <c r="F150">
        <v>13.3</v>
      </c>
      <c r="H150">
        <v>8.6999999999999993</v>
      </c>
      <c r="J150">
        <v>10.5</v>
      </c>
      <c r="L150">
        <v>9.9</v>
      </c>
      <c r="N150">
        <v>9.8000000000000007</v>
      </c>
      <c r="P150">
        <v>9.4</v>
      </c>
      <c r="R150">
        <v>10.8</v>
      </c>
      <c r="T150">
        <v>11.9</v>
      </c>
      <c r="V150">
        <v>11</v>
      </c>
    </row>
    <row r="151" spans="1:25" s="7" customFormat="1" x14ac:dyDescent="0.15">
      <c r="A151" s="7" t="s">
        <v>265</v>
      </c>
      <c r="F151" s="7" t="s">
        <v>0</v>
      </c>
      <c r="H151" s="7" t="s">
        <v>0</v>
      </c>
      <c r="J151" s="7" t="s">
        <v>0</v>
      </c>
      <c r="L151" s="7" t="s">
        <v>0</v>
      </c>
      <c r="N151" s="7" t="s">
        <v>1</v>
      </c>
      <c r="P151" s="7" t="s">
        <v>0</v>
      </c>
      <c r="R151" s="7" t="s">
        <v>0</v>
      </c>
      <c r="T151" s="7" t="s">
        <v>0</v>
      </c>
      <c r="V151" s="7" t="s">
        <v>0</v>
      </c>
      <c r="X151" s="7" t="s">
        <v>0</v>
      </c>
    </row>
    <row r="152" spans="1:25" x14ac:dyDescent="0.15">
      <c r="A152" s="1" t="s">
        <v>268</v>
      </c>
      <c r="D152">
        <v>13.6</v>
      </c>
      <c r="F152">
        <v>14.4</v>
      </c>
      <c r="H152">
        <v>14.8</v>
      </c>
      <c r="J152">
        <v>14.7</v>
      </c>
      <c r="L152">
        <v>15</v>
      </c>
      <c r="N152">
        <v>15.1</v>
      </c>
      <c r="P152">
        <v>14.9</v>
      </c>
      <c r="R152">
        <v>15.2</v>
      </c>
      <c r="T152" s="16">
        <v>15.2</v>
      </c>
      <c r="V152">
        <v>15.5</v>
      </c>
    </row>
    <row r="153" spans="1:25" x14ac:dyDescent="0.15">
      <c r="A153" t="s">
        <v>269</v>
      </c>
      <c r="D153">
        <v>7</v>
      </c>
      <c r="F153">
        <v>13.3</v>
      </c>
      <c r="H153">
        <v>8.6999999999999993</v>
      </c>
      <c r="J153">
        <v>10.5</v>
      </c>
      <c r="L153">
        <v>9.9</v>
      </c>
      <c r="N153">
        <v>9.8000000000000007</v>
      </c>
      <c r="P153">
        <v>9.4</v>
      </c>
      <c r="R153">
        <v>10.8</v>
      </c>
      <c r="T153">
        <v>11.9</v>
      </c>
      <c r="V153">
        <v>11</v>
      </c>
    </row>
    <row r="154" spans="1:25" s="7" customFormat="1" x14ac:dyDescent="0.15">
      <c r="A154" s="7" t="s">
        <v>265</v>
      </c>
      <c r="F154" s="7" t="s">
        <v>0</v>
      </c>
      <c r="H154" s="7" t="s">
        <v>0</v>
      </c>
      <c r="J154" s="7" t="s">
        <v>0</v>
      </c>
      <c r="L154" s="7" t="s">
        <v>0</v>
      </c>
      <c r="N154" s="7" t="s">
        <v>1</v>
      </c>
      <c r="P154" s="7" t="s">
        <v>0</v>
      </c>
      <c r="R154" s="7" t="s">
        <v>0</v>
      </c>
      <c r="T154" s="7" t="s">
        <v>0</v>
      </c>
      <c r="V154" s="7" t="s">
        <v>0</v>
      </c>
      <c r="X154" s="7" t="s">
        <v>0</v>
      </c>
    </row>
    <row r="155" spans="1:25" ht="17" x14ac:dyDescent="0.15">
      <c r="A155" s="17"/>
    </row>
    <row r="156" spans="1:25" ht="16" x14ac:dyDescent="0.2">
      <c r="A156" s="1" t="s">
        <v>371</v>
      </c>
      <c r="D156" s="2">
        <v>259.3</v>
      </c>
      <c r="E156" s="2"/>
      <c r="F156" s="2">
        <v>-25</v>
      </c>
      <c r="G156" s="2"/>
      <c r="H156" s="2">
        <v>-25.9</v>
      </c>
      <c r="I156" s="2"/>
      <c r="J156">
        <v>-27.2</v>
      </c>
      <c r="K156" s="2"/>
      <c r="L156">
        <v>-24.9</v>
      </c>
      <c r="M156" s="2"/>
      <c r="N156" s="2">
        <v>-23.2</v>
      </c>
      <c r="O156" s="2"/>
      <c r="P156" s="2">
        <v>-19</v>
      </c>
      <c r="Q156" s="2"/>
      <c r="R156" s="2">
        <v>-16.600000000000001</v>
      </c>
      <c r="S156" s="2"/>
      <c r="T156" s="2">
        <v>-14.7</v>
      </c>
      <c r="U156" s="2"/>
      <c r="V156" s="2">
        <v>13</v>
      </c>
      <c r="W156" s="2"/>
      <c r="Y156" s="2"/>
    </row>
    <row r="157" spans="1:25" ht="16" x14ac:dyDescent="0.2">
      <c r="A157" s="1" t="s">
        <v>372</v>
      </c>
      <c r="D157" s="2">
        <v>-42</v>
      </c>
      <c r="E157" s="2"/>
      <c r="F157" s="2">
        <v>-25</v>
      </c>
      <c r="G157" s="2"/>
      <c r="H157" s="2">
        <v>-25.9</v>
      </c>
      <c r="I157" s="2"/>
      <c r="J157">
        <v>-27.2</v>
      </c>
      <c r="K157" s="2"/>
      <c r="L157">
        <v>-24.9</v>
      </c>
      <c r="M157" s="2"/>
      <c r="N157" s="2">
        <v>-23.2</v>
      </c>
      <c r="O157" s="2"/>
      <c r="P157" s="2">
        <v>-19</v>
      </c>
      <c r="Q157" s="2"/>
      <c r="R157" s="2">
        <v>-16.600000000000001</v>
      </c>
      <c r="S157" s="2"/>
      <c r="T157" s="2">
        <v>-14.7</v>
      </c>
      <c r="U157" s="2"/>
      <c r="V157" s="2">
        <v>7.6</v>
      </c>
      <c r="W157" s="2"/>
      <c r="Y157" s="2"/>
    </row>
    <row r="159" spans="1:25" ht="16" x14ac:dyDescent="0.2">
      <c r="A159" s="1" t="s">
        <v>6</v>
      </c>
      <c r="D159" s="2">
        <v>-42</v>
      </c>
      <c r="E159" s="2"/>
      <c r="F159" s="2">
        <v>-25</v>
      </c>
      <c r="G159" s="2"/>
      <c r="H159" s="2">
        <v>-25.9</v>
      </c>
      <c r="I159" s="2"/>
      <c r="J159">
        <v>-27.2</v>
      </c>
      <c r="K159" s="2"/>
      <c r="L159">
        <v>-24.9</v>
      </c>
      <c r="M159" s="2"/>
      <c r="N159" s="2">
        <v>-23.2</v>
      </c>
      <c r="O159" s="2"/>
      <c r="P159" s="2">
        <v>-19</v>
      </c>
      <c r="Q159" s="2"/>
      <c r="R159" s="2">
        <v>-16.600000000000001</v>
      </c>
      <c r="S159" s="2"/>
      <c r="T159" s="2">
        <v>-14.7</v>
      </c>
      <c r="U159" s="2"/>
      <c r="V159" s="2">
        <v>-13.9</v>
      </c>
      <c r="W159" s="2"/>
      <c r="X159">
        <v>-15.9</v>
      </c>
      <c r="Y159" s="2"/>
    </row>
    <row r="160" spans="1:25" x14ac:dyDescent="0.15">
      <c r="A160" s="1" t="s">
        <v>7</v>
      </c>
      <c r="D160">
        <v>58</v>
      </c>
      <c r="F160">
        <v>150</v>
      </c>
      <c r="H160">
        <v>222.3</v>
      </c>
      <c r="J160">
        <v>291.2</v>
      </c>
      <c r="L160">
        <v>375.5</v>
      </c>
      <c r="N160">
        <v>460.8</v>
      </c>
      <c r="P160">
        <v>567</v>
      </c>
      <c r="R160">
        <v>667.2</v>
      </c>
      <c r="T160">
        <v>767.7</v>
      </c>
      <c r="V160">
        <v>861</v>
      </c>
      <c r="X160">
        <f>X123*(100+X159)/100</f>
        <v>925.1</v>
      </c>
    </row>
    <row r="161" spans="1:25" x14ac:dyDescent="0.15">
      <c r="A161" t="s">
        <v>237</v>
      </c>
      <c r="D161">
        <v>58</v>
      </c>
      <c r="F161">
        <v>92</v>
      </c>
      <c r="H161">
        <v>72.3</v>
      </c>
      <c r="J161">
        <v>68.900000000000006</v>
      </c>
      <c r="L161">
        <v>84.3</v>
      </c>
      <c r="N161">
        <v>85.3</v>
      </c>
      <c r="P161">
        <v>106.2</v>
      </c>
      <c r="R161">
        <v>100.2</v>
      </c>
      <c r="T161">
        <v>100.5</v>
      </c>
      <c r="V161">
        <v>93.3</v>
      </c>
      <c r="X161">
        <f>X160-V160</f>
        <v>64.100000000000023</v>
      </c>
    </row>
    <row r="162" spans="1:25" s="5" customFormat="1" x14ac:dyDescent="0.15">
      <c r="A162" s="5" t="s">
        <v>252</v>
      </c>
      <c r="F162" s="5" t="s">
        <v>0</v>
      </c>
      <c r="H162" s="5" t="s">
        <v>0</v>
      </c>
      <c r="J162" s="5" t="s">
        <v>0</v>
      </c>
      <c r="L162" s="5" t="s">
        <v>0</v>
      </c>
      <c r="N162" s="5" t="s">
        <v>1</v>
      </c>
      <c r="P162" s="5" t="s">
        <v>0</v>
      </c>
      <c r="R162" s="5" t="s">
        <v>0</v>
      </c>
      <c r="T162" s="5" t="s">
        <v>0</v>
      </c>
      <c r="V162" s="5" t="s">
        <v>0</v>
      </c>
      <c r="X162" s="5" t="s">
        <v>0</v>
      </c>
    </row>
    <row r="165" spans="1:25" ht="16" x14ac:dyDescent="0.2">
      <c r="A165" s="1" t="s">
        <v>393</v>
      </c>
      <c r="D165">
        <v>-27.3</v>
      </c>
      <c r="F165">
        <v>-17.8</v>
      </c>
      <c r="H165">
        <v>-16</v>
      </c>
      <c r="J165">
        <v>-13.6</v>
      </c>
      <c r="L165">
        <v>-13.8</v>
      </c>
      <c r="N165" s="2">
        <v>-11.6</v>
      </c>
      <c r="P165" s="2">
        <v>-13.1</v>
      </c>
      <c r="R165" s="2">
        <v>-13</v>
      </c>
      <c r="T165" s="2">
        <v>-25.3</v>
      </c>
      <c r="V165" s="2">
        <v>-23.3</v>
      </c>
      <c r="X165">
        <v>-25.6</v>
      </c>
    </row>
    <row r="166" spans="1:25" x14ac:dyDescent="0.15">
      <c r="A166" s="1" t="s">
        <v>17</v>
      </c>
      <c r="D166">
        <v>72.7</v>
      </c>
      <c r="F166">
        <v>164.4</v>
      </c>
      <c r="H166">
        <v>252</v>
      </c>
      <c r="J166">
        <v>345.6</v>
      </c>
      <c r="L166">
        <v>431</v>
      </c>
      <c r="N166">
        <v>536.4</v>
      </c>
      <c r="P166">
        <v>608.29999999999995</v>
      </c>
      <c r="R166">
        <v>696</v>
      </c>
      <c r="T166">
        <v>672.3</v>
      </c>
      <c r="V166">
        <v>767</v>
      </c>
      <c r="X166">
        <f>X123*(100+X165)/100</f>
        <v>818.4</v>
      </c>
    </row>
    <row r="167" spans="1:25" x14ac:dyDescent="0.15">
      <c r="A167" t="s">
        <v>2</v>
      </c>
      <c r="D167">
        <v>72.7</v>
      </c>
      <c r="F167">
        <v>91.7</v>
      </c>
      <c r="H167">
        <v>87.6</v>
      </c>
      <c r="J167">
        <v>93.6</v>
      </c>
      <c r="L167">
        <v>85.4</v>
      </c>
      <c r="N167">
        <v>105.4</v>
      </c>
      <c r="P167">
        <v>71.900000000000006</v>
      </c>
      <c r="R167">
        <v>87.7</v>
      </c>
      <c r="T167">
        <v>-23.7</v>
      </c>
      <c r="V167">
        <v>94.7</v>
      </c>
      <c r="X167">
        <f>X166-V166</f>
        <v>51.399999999999977</v>
      </c>
    </row>
    <row r="168" spans="1:25" s="3" customFormat="1" x14ac:dyDescent="0.15">
      <c r="A168" s="3" t="s">
        <v>4</v>
      </c>
      <c r="F168" s="3" t="s">
        <v>0</v>
      </c>
      <c r="H168" s="3" t="s">
        <v>0</v>
      </c>
      <c r="J168" s="3" t="s">
        <v>0</v>
      </c>
      <c r="L168" s="3" t="s">
        <v>0</v>
      </c>
      <c r="N168" s="3" t="s">
        <v>0</v>
      </c>
      <c r="P168" s="3" t="s">
        <v>0</v>
      </c>
      <c r="R168" s="3" t="s">
        <v>1</v>
      </c>
      <c r="T168" s="3" t="s">
        <v>0</v>
      </c>
      <c r="V168" s="3" t="s">
        <v>1</v>
      </c>
      <c r="X168" s="3" t="s">
        <v>0</v>
      </c>
    </row>
    <row r="169" spans="1:25" ht="16" x14ac:dyDescent="0.2">
      <c r="A169" s="8"/>
    </row>
    <row r="171" spans="1:25" ht="16" x14ac:dyDescent="0.2">
      <c r="A171" s="1" t="s">
        <v>551</v>
      </c>
      <c r="D171" s="2">
        <v>-59</v>
      </c>
      <c r="E171" s="2"/>
      <c r="F171" s="2">
        <v>-44.5</v>
      </c>
      <c r="G171" s="2"/>
      <c r="H171" s="2">
        <v>-28.1</v>
      </c>
      <c r="I171" s="2"/>
      <c r="J171">
        <v>-22.4</v>
      </c>
      <c r="K171" s="2"/>
      <c r="L171">
        <v>-21.8</v>
      </c>
      <c r="M171" s="2"/>
      <c r="N171" s="2">
        <v>-25.1</v>
      </c>
      <c r="O171" s="2"/>
      <c r="P171" s="2">
        <v>-31.3</v>
      </c>
      <c r="Q171" s="2"/>
      <c r="R171" s="2">
        <v>-41.8</v>
      </c>
      <c r="S171" s="2"/>
      <c r="T171" s="2">
        <v>-44.2</v>
      </c>
      <c r="U171" s="2"/>
      <c r="V171" s="2">
        <v>-42.3</v>
      </c>
      <c r="W171" s="2"/>
      <c r="X171">
        <v>-37.6</v>
      </c>
      <c r="Y171" s="2"/>
    </row>
    <row r="172" spans="1:25" x14ac:dyDescent="0.15">
      <c r="A172" s="1" t="s">
        <v>18</v>
      </c>
      <c r="D172">
        <v>41</v>
      </c>
      <c r="F172">
        <v>109</v>
      </c>
      <c r="H172">
        <v>215.7</v>
      </c>
      <c r="J172">
        <v>310.39999999999998</v>
      </c>
      <c r="L172">
        <v>391</v>
      </c>
      <c r="N172">
        <v>449.4</v>
      </c>
      <c r="P172">
        <v>480.9</v>
      </c>
      <c r="R172">
        <v>465.6</v>
      </c>
      <c r="T172">
        <v>502.2</v>
      </c>
      <c r="V172">
        <v>577</v>
      </c>
      <c r="X172">
        <f>X123*(100+X171)/100</f>
        <v>686.4</v>
      </c>
    </row>
    <row r="173" spans="1:25" x14ac:dyDescent="0.15">
      <c r="A173" t="s">
        <v>2</v>
      </c>
      <c r="D173">
        <v>41</v>
      </c>
      <c r="F173">
        <v>68</v>
      </c>
      <c r="H173">
        <v>106.7</v>
      </c>
      <c r="J173">
        <v>94.7</v>
      </c>
      <c r="L173">
        <v>80.599999999999994</v>
      </c>
      <c r="N173">
        <v>58</v>
      </c>
      <c r="P173">
        <v>31</v>
      </c>
      <c r="R173">
        <v>-15</v>
      </c>
      <c r="T173">
        <v>37</v>
      </c>
      <c r="V173">
        <v>75</v>
      </c>
      <c r="X173">
        <f>X172-V172</f>
        <v>109.39999999999998</v>
      </c>
    </row>
    <row r="174" spans="1:25" s="5" customFormat="1" x14ac:dyDescent="0.15">
      <c r="A174" s="5" t="s">
        <v>8</v>
      </c>
      <c r="F174" s="5" t="s">
        <v>0</v>
      </c>
      <c r="H174" s="5" t="s">
        <v>1</v>
      </c>
      <c r="J174" s="5" t="s">
        <v>0</v>
      </c>
      <c r="L174" s="5" t="s">
        <v>1</v>
      </c>
      <c r="N174" s="5" t="s">
        <v>1</v>
      </c>
      <c r="P174" s="5" t="s">
        <v>0</v>
      </c>
      <c r="R174" s="5" t="s">
        <v>1</v>
      </c>
      <c r="T174" s="5" t="s">
        <v>0</v>
      </c>
      <c r="V174" s="5" t="s">
        <v>1</v>
      </c>
      <c r="X174" s="5" t="s">
        <v>0</v>
      </c>
    </row>
    <row r="177" spans="1:25" ht="16" x14ac:dyDescent="0.2">
      <c r="A177" s="1" t="s">
        <v>552</v>
      </c>
      <c r="D177" s="2">
        <v>-34.5</v>
      </c>
      <c r="E177" s="2"/>
      <c r="F177" s="2">
        <v>-12.6</v>
      </c>
      <c r="G177" s="2"/>
      <c r="H177" s="2">
        <v>-6.6</v>
      </c>
      <c r="I177" s="2"/>
      <c r="J177" s="2">
        <v>2.6</v>
      </c>
      <c r="K177" s="2"/>
      <c r="L177" s="2">
        <v>3.1</v>
      </c>
      <c r="M177" s="2"/>
      <c r="N177" s="2">
        <v>6</v>
      </c>
      <c r="O177" s="2"/>
      <c r="P177" s="2">
        <v>9.6999999999999993</v>
      </c>
      <c r="Q177" s="2"/>
      <c r="R177" s="2">
        <v>8.1</v>
      </c>
      <c r="S177" s="2"/>
      <c r="T177" s="2">
        <v>5.4</v>
      </c>
      <c r="U177" s="2"/>
      <c r="V177" s="2">
        <v>8.6999999999999993</v>
      </c>
      <c r="W177" s="2"/>
      <c r="X177">
        <v>1.2</v>
      </c>
      <c r="Y177" s="2"/>
    </row>
    <row r="178" spans="1:25" x14ac:dyDescent="0.15">
      <c r="A178" s="1" t="s">
        <v>13</v>
      </c>
      <c r="D178">
        <v>65.5</v>
      </c>
      <c r="F178">
        <v>174.8</v>
      </c>
      <c r="H178">
        <v>280.2</v>
      </c>
      <c r="J178">
        <v>410.4</v>
      </c>
      <c r="L178">
        <v>515.5</v>
      </c>
      <c r="N178">
        <v>636</v>
      </c>
      <c r="P178">
        <v>768.6</v>
      </c>
      <c r="R178">
        <v>840.8</v>
      </c>
      <c r="T178">
        <v>948.6</v>
      </c>
      <c r="V178">
        <v>1087</v>
      </c>
      <c r="X178">
        <f>X123*(100+X177)/100</f>
        <v>1113.2</v>
      </c>
    </row>
    <row r="179" spans="1:25" x14ac:dyDescent="0.15">
      <c r="A179" t="s">
        <v>2</v>
      </c>
      <c r="D179">
        <v>65.5</v>
      </c>
      <c r="F179">
        <v>109.3</v>
      </c>
      <c r="H179">
        <v>105.4</v>
      </c>
      <c r="J179">
        <v>130.19999999999999</v>
      </c>
      <c r="L179">
        <v>105.1</v>
      </c>
      <c r="N179">
        <v>120.5</v>
      </c>
      <c r="P179">
        <v>132.6</v>
      </c>
      <c r="R179">
        <v>72.2</v>
      </c>
      <c r="T179">
        <v>107.8</v>
      </c>
      <c r="V179">
        <v>138.4</v>
      </c>
      <c r="X179">
        <f>X178-V178</f>
        <v>26.200000000000045</v>
      </c>
    </row>
    <row r="180" spans="1:25" s="4" customFormat="1" x14ac:dyDescent="0.15">
      <c r="A180" s="4" t="s">
        <v>14</v>
      </c>
      <c r="F180" s="4" t="s">
        <v>0</v>
      </c>
      <c r="H180" s="4" t="s">
        <v>1</v>
      </c>
      <c r="J180" s="4" t="s">
        <v>0</v>
      </c>
      <c r="L180" s="4" t="s">
        <v>1</v>
      </c>
      <c r="N180" s="4" t="s">
        <v>1</v>
      </c>
      <c r="P180" s="4" t="s">
        <v>0</v>
      </c>
      <c r="R180" s="4" t="s">
        <v>1</v>
      </c>
      <c r="T180" s="4" t="s">
        <v>0</v>
      </c>
      <c r="V180" s="4" t="s">
        <v>1</v>
      </c>
      <c r="X180" s="4" t="s">
        <v>0</v>
      </c>
    </row>
    <row r="183" spans="1:25" ht="16" x14ac:dyDescent="0.2">
      <c r="A183" s="1" t="s">
        <v>553</v>
      </c>
      <c r="D183" s="2">
        <v>3.1</v>
      </c>
      <c r="E183" s="2"/>
      <c r="F183" s="2">
        <v>13.6</v>
      </c>
      <c r="G183" s="2"/>
      <c r="H183" s="2">
        <v>12.6</v>
      </c>
      <c r="I183" s="2"/>
      <c r="J183">
        <v>12.9</v>
      </c>
      <c r="K183" s="2"/>
      <c r="L183">
        <v>11.9</v>
      </c>
      <c r="M183" s="2"/>
      <c r="N183" s="2">
        <v>10.8</v>
      </c>
      <c r="O183" s="2"/>
      <c r="P183" s="2">
        <v>11.1</v>
      </c>
      <c r="Q183" s="2"/>
      <c r="R183" s="2">
        <v>11.8</v>
      </c>
      <c r="S183" s="2"/>
      <c r="T183" s="2">
        <v>10.9</v>
      </c>
      <c r="U183" s="2"/>
      <c r="V183" s="2">
        <v>10.7</v>
      </c>
      <c r="W183" s="2"/>
      <c r="X183">
        <v>7.5</v>
      </c>
      <c r="Y183" s="2"/>
    </row>
    <row r="184" spans="1:25" x14ac:dyDescent="0.15">
      <c r="A184" s="1" t="s">
        <v>19</v>
      </c>
      <c r="D184">
        <v>103.1</v>
      </c>
      <c r="F184" s="1">
        <v>227.2</v>
      </c>
      <c r="H184">
        <v>337.8</v>
      </c>
      <c r="J184">
        <v>471.6</v>
      </c>
      <c r="L184">
        <v>584.5</v>
      </c>
      <c r="N184">
        <v>705</v>
      </c>
      <c r="P184">
        <v>823.2</v>
      </c>
      <c r="R184">
        <v>937.6</v>
      </c>
      <c r="T184">
        <v>1058.4000000000001</v>
      </c>
      <c r="V184">
        <v>1174</v>
      </c>
      <c r="X184">
        <f>X123*(100+X183)/100</f>
        <v>1182.5</v>
      </c>
    </row>
    <row r="185" spans="1:25" x14ac:dyDescent="0.15">
      <c r="A185" t="s">
        <v>2</v>
      </c>
      <c r="D185">
        <v>103.1</v>
      </c>
      <c r="F185">
        <v>124.1</v>
      </c>
      <c r="H185">
        <v>110.6</v>
      </c>
      <c r="J185">
        <v>117.3</v>
      </c>
      <c r="L185">
        <v>112.9</v>
      </c>
      <c r="N185">
        <v>120.5</v>
      </c>
      <c r="P185">
        <v>118.2</v>
      </c>
      <c r="R185">
        <v>114.4</v>
      </c>
      <c r="T185">
        <v>120.8</v>
      </c>
      <c r="V185">
        <v>115.6</v>
      </c>
      <c r="X185">
        <f>X184-V184</f>
        <v>8.5</v>
      </c>
    </row>
    <row r="186" spans="1:25" s="5" customFormat="1" x14ac:dyDescent="0.15">
      <c r="A186" s="5" t="s">
        <v>11</v>
      </c>
      <c r="F186" s="5" t="s">
        <v>0</v>
      </c>
      <c r="H186" s="5" t="s">
        <v>0</v>
      </c>
      <c r="J186" s="5" t="s">
        <v>0</v>
      </c>
      <c r="L186" s="5" t="s">
        <v>10</v>
      </c>
      <c r="N186" s="5" t="s">
        <v>1</v>
      </c>
      <c r="P186" s="5" t="s">
        <v>0</v>
      </c>
      <c r="R186" s="5" t="s">
        <v>1</v>
      </c>
      <c r="T186" s="5" t="s">
        <v>1</v>
      </c>
      <c r="V186" s="5" t="s">
        <v>1</v>
      </c>
      <c r="X186" s="5" t="s">
        <v>1</v>
      </c>
    </row>
    <row r="189" spans="1:25" ht="16" x14ac:dyDescent="0.2">
      <c r="A189" s="1" t="s">
        <v>20</v>
      </c>
      <c r="D189" s="2">
        <v>14</v>
      </c>
      <c r="E189" s="2"/>
      <c r="F189">
        <v>32.799999999999997</v>
      </c>
      <c r="G189" s="2"/>
      <c r="H189">
        <v>17.899999999999999</v>
      </c>
      <c r="I189" s="2"/>
      <c r="J189">
        <v>17.7</v>
      </c>
      <c r="K189" s="2"/>
      <c r="L189">
        <v>16.600000000000001</v>
      </c>
      <c r="M189" s="2"/>
      <c r="N189">
        <v>14.3</v>
      </c>
      <c r="O189" s="2"/>
      <c r="P189">
        <v>13.3</v>
      </c>
      <c r="Q189" s="2"/>
      <c r="R189">
        <v>12.9</v>
      </c>
      <c r="S189" s="2"/>
      <c r="T189">
        <v>12</v>
      </c>
      <c r="U189" s="2"/>
      <c r="V189">
        <v>13.6</v>
      </c>
      <c r="W189" s="2"/>
      <c r="X189">
        <v>12.9</v>
      </c>
      <c r="Y189" s="2"/>
    </row>
    <row r="190" spans="1:25" x14ac:dyDescent="0.15">
      <c r="A190" s="1" t="s">
        <v>20</v>
      </c>
      <c r="D190">
        <v>114</v>
      </c>
      <c r="F190">
        <v>265.60000000000002</v>
      </c>
      <c r="H190">
        <v>353.7</v>
      </c>
      <c r="J190">
        <v>468.4</v>
      </c>
      <c r="L190">
        <v>583</v>
      </c>
      <c r="N190">
        <v>685.8</v>
      </c>
      <c r="P190">
        <v>793.1</v>
      </c>
      <c r="R190">
        <v>903.2</v>
      </c>
      <c r="T190">
        <v>1008</v>
      </c>
      <c r="V190">
        <v>1136</v>
      </c>
      <c r="X190">
        <f>X123*(100+X189)/100</f>
        <v>1241.9000000000001</v>
      </c>
    </row>
    <row r="191" spans="1:25" x14ac:dyDescent="0.15">
      <c r="A191" t="s">
        <v>2</v>
      </c>
      <c r="D191">
        <v>114</v>
      </c>
      <c r="F191">
        <v>151.6</v>
      </c>
      <c r="H191">
        <v>88.1</v>
      </c>
      <c r="J191">
        <v>114.7</v>
      </c>
      <c r="L191">
        <v>114.6</v>
      </c>
      <c r="N191">
        <v>102.8</v>
      </c>
      <c r="P191">
        <v>107.3</v>
      </c>
      <c r="R191">
        <v>110.1</v>
      </c>
      <c r="T191">
        <v>104.8</v>
      </c>
      <c r="V191">
        <v>128</v>
      </c>
      <c r="X191">
        <f>X190-V190</f>
        <v>105.90000000000009</v>
      </c>
    </row>
    <row r="192" spans="1:25" s="4" customFormat="1" x14ac:dyDescent="0.15">
      <c r="A192" s="4" t="s">
        <v>5</v>
      </c>
      <c r="F192" s="4" t="s">
        <v>0</v>
      </c>
      <c r="H192" s="4" t="s">
        <v>0</v>
      </c>
      <c r="J192" s="4" t="s">
        <v>0</v>
      </c>
      <c r="L192" s="4" t="s">
        <v>0</v>
      </c>
      <c r="N192" s="4" t="s">
        <v>1</v>
      </c>
      <c r="P192" s="4" t="s">
        <v>0</v>
      </c>
      <c r="R192" s="4" t="s">
        <v>0</v>
      </c>
      <c r="T192" s="4" t="s">
        <v>1</v>
      </c>
      <c r="V192" s="4" t="s">
        <v>1</v>
      </c>
      <c r="X192" s="4" t="s">
        <v>0</v>
      </c>
    </row>
    <row r="198" spans="1:25" s="34" customFormat="1" x14ac:dyDescent="0.15">
      <c r="A198" s="34" t="s">
        <v>215</v>
      </c>
      <c r="B198" s="34" t="s">
        <v>31</v>
      </c>
      <c r="D198" s="34" t="s">
        <v>32</v>
      </c>
      <c r="F198" s="34" t="s">
        <v>33</v>
      </c>
      <c r="H198" s="34" t="s">
        <v>34</v>
      </c>
      <c r="J198" s="34" t="s">
        <v>35</v>
      </c>
      <c r="L198" s="34" t="s">
        <v>36</v>
      </c>
      <c r="N198" s="34" t="s">
        <v>37</v>
      </c>
      <c r="P198" s="34" t="s">
        <v>38</v>
      </c>
      <c r="R198" s="34" t="s">
        <v>39</v>
      </c>
      <c r="T198" s="34" t="s">
        <v>40</v>
      </c>
      <c r="V198" s="34" t="s">
        <v>41</v>
      </c>
      <c r="X198" s="34" t="s">
        <v>42</v>
      </c>
    </row>
    <row r="199" spans="1:25" s="34" customFormat="1" x14ac:dyDescent="0.15">
      <c r="A199" s="35" t="s">
        <v>211</v>
      </c>
      <c r="D199" s="34">
        <v>100</v>
      </c>
      <c r="F199" s="34">
        <v>200</v>
      </c>
      <c r="H199" s="34">
        <v>300</v>
      </c>
      <c r="J199" s="34">
        <v>400</v>
      </c>
      <c r="L199" s="34">
        <v>500</v>
      </c>
      <c r="N199" s="34">
        <v>600</v>
      </c>
      <c r="P199" s="34">
        <v>700</v>
      </c>
      <c r="R199" s="34">
        <v>800</v>
      </c>
      <c r="T199" s="34">
        <v>900</v>
      </c>
      <c r="V199" s="34">
        <v>1000</v>
      </c>
      <c r="X199" s="34">
        <v>1100</v>
      </c>
    </row>
    <row r="200" spans="1:25" s="34" customFormat="1" x14ac:dyDescent="0.15">
      <c r="A200" s="34" t="s">
        <v>238</v>
      </c>
      <c r="D200" s="34">
        <v>-14</v>
      </c>
      <c r="F200" s="34">
        <v>13.9</v>
      </c>
      <c r="H200" s="34">
        <v>-3.7</v>
      </c>
      <c r="J200" s="34">
        <v>1.1000000000000001</v>
      </c>
      <c r="L200" s="34">
        <v>-3.1</v>
      </c>
      <c r="N200" s="34">
        <v>2.6</v>
      </c>
      <c r="P200" s="34">
        <v>-2</v>
      </c>
      <c r="R200" s="34">
        <v>-5.3</v>
      </c>
      <c r="T200" s="34">
        <v>-9.9</v>
      </c>
      <c r="V200" s="34">
        <v>5.4</v>
      </c>
    </row>
    <row r="201" spans="1:25" x14ac:dyDescent="0.15">
      <c r="A201" s="1"/>
    </row>
    <row r="203" spans="1:25" ht="16" x14ac:dyDescent="0.2">
      <c r="A203" s="1" t="s">
        <v>554</v>
      </c>
      <c r="D203" s="2">
        <v>-5.5</v>
      </c>
      <c r="E203" s="2"/>
      <c r="F203" s="2">
        <v>-4.7</v>
      </c>
      <c r="G203" s="2"/>
      <c r="H203" s="2">
        <v>-4.9000000000000004</v>
      </c>
      <c r="I203" s="2"/>
      <c r="J203">
        <v>-3.7</v>
      </c>
      <c r="K203" s="2"/>
      <c r="L203">
        <v>-2</v>
      </c>
      <c r="M203" s="2"/>
      <c r="N203" s="2">
        <v>0.9</v>
      </c>
      <c r="O203" s="2"/>
      <c r="P203" s="2">
        <v>2.5</v>
      </c>
      <c r="Q203" s="2"/>
      <c r="R203" s="2">
        <v>3.5</v>
      </c>
      <c r="S203" s="2"/>
      <c r="T203" s="2">
        <v>5.0999999999999996</v>
      </c>
      <c r="U203" s="2"/>
      <c r="V203" s="2">
        <v>8.3000000000000007</v>
      </c>
      <c r="W203" s="2"/>
      <c r="X203">
        <v>3.9</v>
      </c>
      <c r="Y203" s="2"/>
    </row>
    <row r="204" spans="1:25" x14ac:dyDescent="0.15">
      <c r="A204" s="1" t="s">
        <v>26</v>
      </c>
      <c r="D204">
        <v>94.5</v>
      </c>
      <c r="F204" s="1">
        <v>190.6</v>
      </c>
      <c r="H204">
        <v>285.3</v>
      </c>
      <c r="J204">
        <v>385.2</v>
      </c>
      <c r="L204">
        <v>490</v>
      </c>
      <c r="N204">
        <v>605.4</v>
      </c>
      <c r="P204">
        <v>717.5</v>
      </c>
      <c r="R204">
        <v>828</v>
      </c>
      <c r="T204">
        <v>945.9</v>
      </c>
      <c r="V204">
        <v>1083</v>
      </c>
      <c r="X204">
        <f>X199*(100+X203)/100</f>
        <v>1142.9000000000001</v>
      </c>
    </row>
    <row r="205" spans="1:25" x14ac:dyDescent="0.15">
      <c r="A205" t="s">
        <v>2</v>
      </c>
      <c r="D205">
        <v>94.5</v>
      </c>
      <c r="F205">
        <v>96.1</v>
      </c>
      <c r="H205">
        <v>94.7</v>
      </c>
      <c r="J205">
        <v>99.9</v>
      </c>
      <c r="L205">
        <v>104.8</v>
      </c>
      <c r="N205">
        <v>115.5</v>
      </c>
      <c r="P205">
        <v>112.1</v>
      </c>
      <c r="R205">
        <v>110.5</v>
      </c>
      <c r="T205">
        <v>117.9</v>
      </c>
      <c r="V205">
        <v>131.1</v>
      </c>
      <c r="X205">
        <f>X204-V204</f>
        <v>59.900000000000091</v>
      </c>
    </row>
    <row r="206" spans="1:25" s="5" customFormat="1" x14ac:dyDescent="0.15">
      <c r="A206" s="5" t="s">
        <v>27</v>
      </c>
      <c r="F206" s="5" t="s">
        <v>0</v>
      </c>
      <c r="H206" s="5" t="s">
        <v>0</v>
      </c>
      <c r="J206" s="5" t="s">
        <v>0</v>
      </c>
      <c r="L206" s="5" t="s">
        <v>10</v>
      </c>
      <c r="N206" s="5" t="s">
        <v>1</v>
      </c>
      <c r="P206" s="5" t="s">
        <v>1</v>
      </c>
      <c r="R206" s="5" t="s">
        <v>0</v>
      </c>
      <c r="T206" s="5" t="s">
        <v>1</v>
      </c>
      <c r="V206" s="5" t="s">
        <v>1</v>
      </c>
      <c r="X206" s="5" t="s">
        <v>0</v>
      </c>
    </row>
    <row r="207" spans="1:25" x14ac:dyDescent="0.15">
      <c r="A207" s="1"/>
    </row>
    <row r="209" spans="1:25" ht="16" x14ac:dyDescent="0.2">
      <c r="A209" s="1" t="s">
        <v>555</v>
      </c>
      <c r="D209" s="2">
        <v>11.2</v>
      </c>
      <c r="E209" s="2"/>
      <c r="F209" s="2">
        <v>18.899999999999999</v>
      </c>
      <c r="G209" s="2"/>
      <c r="H209" s="2">
        <v>17.7</v>
      </c>
      <c r="I209" s="2"/>
      <c r="J209">
        <v>17.3</v>
      </c>
      <c r="K209" s="2"/>
      <c r="L209">
        <v>13.5</v>
      </c>
      <c r="M209" s="2"/>
      <c r="N209" s="2">
        <v>14.6</v>
      </c>
      <c r="O209" s="2"/>
      <c r="P209" s="2">
        <v>12.5</v>
      </c>
      <c r="Q209" s="2"/>
      <c r="R209" s="2">
        <v>11.5</v>
      </c>
      <c r="S209" s="2"/>
      <c r="T209" s="2">
        <v>8.6999999999999993</v>
      </c>
      <c r="U209" s="2"/>
      <c r="V209" s="2">
        <v>11.1</v>
      </c>
      <c r="W209" s="2"/>
      <c r="X209">
        <v>9.1</v>
      </c>
      <c r="Y209" s="2"/>
    </row>
    <row r="210" spans="1:25" x14ac:dyDescent="0.15">
      <c r="A210" s="1" t="s">
        <v>24</v>
      </c>
      <c r="D210">
        <v>111.2</v>
      </c>
      <c r="F210" s="1">
        <v>237.8</v>
      </c>
      <c r="H210">
        <v>353.1</v>
      </c>
      <c r="J210">
        <v>469.2</v>
      </c>
      <c r="L210">
        <v>567.5</v>
      </c>
      <c r="N210">
        <v>687.6</v>
      </c>
      <c r="P210">
        <v>787.5</v>
      </c>
      <c r="R210">
        <v>892</v>
      </c>
      <c r="T210">
        <v>978.3</v>
      </c>
      <c r="V210">
        <v>1110</v>
      </c>
      <c r="X210">
        <f>X199*(100+X209)/100</f>
        <v>1200.0999999999999</v>
      </c>
    </row>
    <row r="211" spans="1:25" x14ac:dyDescent="0.15">
      <c r="A211" t="s">
        <v>2</v>
      </c>
      <c r="D211">
        <v>111.2</v>
      </c>
      <c r="F211">
        <v>125.6</v>
      </c>
      <c r="H211">
        <v>115.3</v>
      </c>
      <c r="J211">
        <v>116.1</v>
      </c>
      <c r="L211">
        <v>98.3</v>
      </c>
      <c r="N211">
        <v>120.1</v>
      </c>
      <c r="P211">
        <v>99.9</v>
      </c>
      <c r="R211">
        <v>104.5</v>
      </c>
      <c r="T211">
        <v>86.3</v>
      </c>
      <c r="V211">
        <v>131.69999999999999</v>
      </c>
      <c r="X211">
        <f>X210-V210</f>
        <v>90.099999999999909</v>
      </c>
    </row>
    <row r="212" spans="1:25" s="4" customFormat="1" x14ac:dyDescent="0.15">
      <c r="A212" s="4" t="s">
        <v>25</v>
      </c>
      <c r="F212" s="4" t="s">
        <v>0</v>
      </c>
      <c r="H212" s="4" t="s">
        <v>0</v>
      </c>
      <c r="J212" s="4" t="s">
        <v>0</v>
      </c>
      <c r="L212" s="4" t="s">
        <v>10</v>
      </c>
      <c r="N212" s="4" t="s">
        <v>0</v>
      </c>
      <c r="P212" s="4" t="s">
        <v>0</v>
      </c>
      <c r="R212" s="4" t="s">
        <v>0</v>
      </c>
      <c r="T212" s="4" t="s">
        <v>1</v>
      </c>
      <c r="V212" s="4" t="s">
        <v>1</v>
      </c>
      <c r="X212" s="4" t="s">
        <v>0</v>
      </c>
    </row>
    <row r="213" spans="1:25" x14ac:dyDescent="0.15">
      <c r="A213" s="1"/>
    </row>
    <row r="214" spans="1:25" ht="16" x14ac:dyDescent="0.2">
      <c r="A214" s="1" t="s">
        <v>556</v>
      </c>
      <c r="D214" s="2">
        <v>23.3</v>
      </c>
      <c r="E214" s="2"/>
      <c r="F214" s="2">
        <v>20.7</v>
      </c>
      <c r="G214" s="2"/>
      <c r="H214" s="2">
        <v>18.100000000000001</v>
      </c>
      <c r="I214" s="2"/>
      <c r="J214">
        <v>17.899999999999999</v>
      </c>
      <c r="K214" s="2"/>
      <c r="L214">
        <v>16.899999999999999</v>
      </c>
      <c r="M214" s="2"/>
      <c r="N214" s="2">
        <v>17.5</v>
      </c>
      <c r="O214" s="2"/>
      <c r="P214" s="2">
        <v>17.600000000000001</v>
      </c>
      <c r="Q214" s="2"/>
      <c r="R214" s="2">
        <v>17.2</v>
      </c>
      <c r="S214" s="2"/>
      <c r="T214" s="2">
        <v>17.600000000000001</v>
      </c>
      <c r="U214" s="2"/>
      <c r="V214" s="2">
        <v>17.399999999999999</v>
      </c>
      <c r="W214" s="2"/>
      <c r="X214">
        <v>10.199999999999999</v>
      </c>
      <c r="Y214" s="2"/>
    </row>
    <row r="215" spans="1:25" x14ac:dyDescent="0.15">
      <c r="A215" s="1" t="s">
        <v>21</v>
      </c>
      <c r="D215">
        <v>123.3</v>
      </c>
      <c r="F215" s="1">
        <v>240</v>
      </c>
      <c r="H215">
        <v>354.3</v>
      </c>
      <c r="J215">
        <v>471.6</v>
      </c>
      <c r="L215">
        <v>584.5</v>
      </c>
      <c r="N215">
        <v>705</v>
      </c>
      <c r="P215">
        <v>823.2</v>
      </c>
      <c r="R215">
        <v>937.6</v>
      </c>
      <c r="T215">
        <v>1058.4000000000001</v>
      </c>
      <c r="V215">
        <v>1174</v>
      </c>
      <c r="X215">
        <f>X199*(100+X214)/100</f>
        <v>1212.2</v>
      </c>
    </row>
    <row r="216" spans="1:25" x14ac:dyDescent="0.15">
      <c r="A216" t="s">
        <v>2</v>
      </c>
      <c r="D216">
        <v>123.3</v>
      </c>
      <c r="F216">
        <v>116.7</v>
      </c>
      <c r="H216">
        <v>114.3</v>
      </c>
      <c r="J216">
        <v>117.3</v>
      </c>
      <c r="L216">
        <v>112.9</v>
      </c>
      <c r="N216">
        <v>120.5</v>
      </c>
      <c r="P216">
        <v>118.2</v>
      </c>
      <c r="R216">
        <v>114.4</v>
      </c>
      <c r="T216">
        <v>120.8</v>
      </c>
      <c r="V216">
        <v>115.6</v>
      </c>
      <c r="X216">
        <f>X215-V215</f>
        <v>38.200000000000045</v>
      </c>
    </row>
    <row r="217" spans="1:25" s="5" customFormat="1" x14ac:dyDescent="0.15">
      <c r="A217" s="5" t="s">
        <v>9</v>
      </c>
      <c r="F217" s="5" t="s">
        <v>0</v>
      </c>
      <c r="H217" s="5" t="s">
        <v>0</v>
      </c>
      <c r="J217" s="5" t="s">
        <v>0</v>
      </c>
      <c r="L217" s="5" t="s">
        <v>10</v>
      </c>
      <c r="N217" s="5" t="s">
        <v>0</v>
      </c>
      <c r="P217" s="5" t="s">
        <v>0</v>
      </c>
      <c r="R217" s="5" t="s">
        <v>0</v>
      </c>
      <c r="T217" s="5" t="s">
        <v>0</v>
      </c>
      <c r="V217" s="5" t="s">
        <v>0</v>
      </c>
      <c r="X217" s="5" t="s">
        <v>0</v>
      </c>
    </row>
    <row r="218" spans="1:25" s="6" customFormat="1" x14ac:dyDescent="0.15">
      <c r="A218" s="1"/>
    </row>
    <row r="220" spans="1:25" ht="16" x14ac:dyDescent="0.2">
      <c r="A220" s="1" t="s">
        <v>402</v>
      </c>
      <c r="D220" s="2">
        <v>4.2</v>
      </c>
      <c r="E220" s="2"/>
      <c r="F220" s="2">
        <v>7.6</v>
      </c>
      <c r="G220" s="2"/>
      <c r="H220" s="2">
        <v>9.6999999999999993</v>
      </c>
      <c r="I220" s="2"/>
      <c r="J220">
        <v>10.9</v>
      </c>
      <c r="K220" s="2"/>
      <c r="L220">
        <v>9.4</v>
      </c>
      <c r="M220" s="2"/>
      <c r="N220" s="2">
        <v>9.3000000000000007</v>
      </c>
      <c r="O220" s="2"/>
      <c r="P220" s="2">
        <v>9.5</v>
      </c>
      <c r="Q220" s="2"/>
      <c r="R220" s="2">
        <v>10</v>
      </c>
      <c r="S220" s="2"/>
      <c r="T220" s="2">
        <v>10.6</v>
      </c>
      <c r="U220" s="2"/>
      <c r="V220" s="2">
        <v>10</v>
      </c>
      <c r="W220" s="2"/>
      <c r="X220">
        <v>5.9</v>
      </c>
      <c r="Y220" s="2"/>
    </row>
    <row r="221" spans="1:25" x14ac:dyDescent="0.15">
      <c r="A221" s="1" t="s">
        <v>22</v>
      </c>
      <c r="D221">
        <v>104.2</v>
      </c>
      <c r="F221" s="1">
        <v>215.2</v>
      </c>
      <c r="H221">
        <v>329.1</v>
      </c>
      <c r="J221">
        <v>443.6</v>
      </c>
      <c r="L221">
        <v>547</v>
      </c>
      <c r="N221">
        <v>655.8</v>
      </c>
      <c r="P221">
        <v>766.5</v>
      </c>
      <c r="R221" s="1">
        <v>880</v>
      </c>
      <c r="T221">
        <v>995.4</v>
      </c>
      <c r="V221" s="1">
        <v>1100</v>
      </c>
      <c r="X221">
        <f>X199*(100+X220)/100</f>
        <v>1164.9000000000001</v>
      </c>
    </row>
    <row r="222" spans="1:25" x14ac:dyDescent="0.15">
      <c r="A222" t="s">
        <v>2</v>
      </c>
      <c r="D222">
        <v>104.2</v>
      </c>
      <c r="F222">
        <v>111</v>
      </c>
      <c r="H222">
        <v>113.9</v>
      </c>
      <c r="J222">
        <v>114.5</v>
      </c>
      <c r="L222">
        <v>103.4</v>
      </c>
      <c r="N222">
        <v>108.8</v>
      </c>
      <c r="P222">
        <v>110.7</v>
      </c>
      <c r="R222">
        <v>113.5</v>
      </c>
      <c r="T222">
        <v>115.4</v>
      </c>
      <c r="V222">
        <v>104.6</v>
      </c>
      <c r="X222">
        <f>X221-V221</f>
        <v>64.900000000000091</v>
      </c>
    </row>
    <row r="223" spans="1:25" s="5" customFormat="1" x14ac:dyDescent="0.15">
      <c r="A223" s="5" t="s">
        <v>15</v>
      </c>
      <c r="F223" s="5" t="s">
        <v>0</v>
      </c>
      <c r="H223" s="5" t="s">
        <v>0</v>
      </c>
      <c r="J223" s="5" t="s">
        <v>0</v>
      </c>
      <c r="L223" s="5" t="s">
        <v>10</v>
      </c>
      <c r="N223" s="5" t="s">
        <v>1</v>
      </c>
      <c r="P223" s="5" t="s">
        <v>0</v>
      </c>
      <c r="R223" s="5" t="s">
        <v>1</v>
      </c>
      <c r="T223" s="5" t="s">
        <v>0</v>
      </c>
      <c r="V223" s="5" t="s">
        <v>0</v>
      </c>
      <c r="X223" s="5" t="s">
        <v>1</v>
      </c>
    </row>
    <row r="225" spans="1:25" ht="16" x14ac:dyDescent="0.2">
      <c r="A225" s="1" t="s">
        <v>557</v>
      </c>
      <c r="D225" s="2">
        <v>16</v>
      </c>
      <c r="E225" s="2"/>
      <c r="F225" s="2">
        <v>22</v>
      </c>
      <c r="G225" s="2"/>
      <c r="H225" s="2">
        <v>29.4</v>
      </c>
      <c r="I225" s="2"/>
      <c r="J225">
        <v>28.3</v>
      </c>
      <c r="K225" s="2"/>
      <c r="L225">
        <v>21.7</v>
      </c>
      <c r="M225" s="2"/>
      <c r="N225" s="2">
        <v>17.3</v>
      </c>
      <c r="O225" s="2"/>
      <c r="P225" s="2">
        <v>17.399999999999999</v>
      </c>
      <c r="Q225" s="2"/>
      <c r="R225" s="2">
        <v>12</v>
      </c>
      <c r="S225" s="2"/>
      <c r="T225" s="2">
        <v>10.8</v>
      </c>
      <c r="U225" s="2"/>
      <c r="V225" s="2">
        <v>13.8</v>
      </c>
      <c r="W225" s="2"/>
      <c r="X225">
        <v>9.9</v>
      </c>
      <c r="Y225" s="2"/>
    </row>
    <row r="226" spans="1:25" x14ac:dyDescent="0.15">
      <c r="A226" s="1" t="s">
        <v>23</v>
      </c>
      <c r="D226">
        <v>116</v>
      </c>
      <c r="F226" s="1">
        <v>244</v>
      </c>
      <c r="H226">
        <v>388.2</v>
      </c>
      <c r="J226">
        <v>513.20000000000005</v>
      </c>
      <c r="L226">
        <v>608.5</v>
      </c>
      <c r="N226">
        <v>703.8</v>
      </c>
      <c r="P226">
        <v>821.8</v>
      </c>
      <c r="R226" s="1">
        <v>896</v>
      </c>
      <c r="T226">
        <v>972</v>
      </c>
      <c r="V226" s="1">
        <v>1138</v>
      </c>
      <c r="X226">
        <f>X199*(100+X225)/100</f>
        <v>1208.9000000000001</v>
      </c>
    </row>
    <row r="227" spans="1:25" x14ac:dyDescent="0.15">
      <c r="A227" t="s">
        <v>2</v>
      </c>
      <c r="D227">
        <v>116</v>
      </c>
      <c r="F227">
        <v>128</v>
      </c>
      <c r="H227">
        <v>144.19999999999999</v>
      </c>
      <c r="J227">
        <v>125</v>
      </c>
      <c r="L227">
        <v>95.3</v>
      </c>
      <c r="N227">
        <v>95.3</v>
      </c>
      <c r="P227">
        <v>118</v>
      </c>
      <c r="R227">
        <v>72.8</v>
      </c>
      <c r="T227">
        <v>76</v>
      </c>
      <c r="V227">
        <v>166</v>
      </c>
      <c r="X227">
        <f>X226-V226</f>
        <v>70.900000000000091</v>
      </c>
    </row>
    <row r="228" spans="1:25" s="4" customFormat="1" x14ac:dyDescent="0.15">
      <c r="A228" s="4" t="s">
        <v>12</v>
      </c>
      <c r="F228" s="4" t="s">
        <v>0</v>
      </c>
      <c r="H228" s="4" t="s">
        <v>0</v>
      </c>
      <c r="J228" s="4" t="s">
        <v>0</v>
      </c>
      <c r="L228" s="4" t="s">
        <v>10</v>
      </c>
      <c r="N228" s="4" t="s">
        <v>1</v>
      </c>
      <c r="P228" s="4" t="s">
        <v>1</v>
      </c>
      <c r="R228" s="4" t="s">
        <v>1</v>
      </c>
      <c r="T228" s="4" t="s">
        <v>1</v>
      </c>
      <c r="V228" s="4" t="s">
        <v>1</v>
      </c>
      <c r="X228" s="4" t="s">
        <v>1</v>
      </c>
    </row>
    <row r="229" spans="1:25" x14ac:dyDescent="0.15">
      <c r="A229" s="1"/>
    </row>
    <row r="231" spans="1:25" ht="16" x14ac:dyDescent="0.2">
      <c r="A231" s="2" t="s">
        <v>239</v>
      </c>
      <c r="D231" s="2">
        <v>4.2</v>
      </c>
      <c r="E231" s="2"/>
      <c r="F231" s="2">
        <v>11.4</v>
      </c>
      <c r="G231" s="2"/>
      <c r="H231" s="2">
        <v>12.3</v>
      </c>
      <c r="I231" s="2"/>
      <c r="J231">
        <v>13.7</v>
      </c>
      <c r="K231" s="2"/>
      <c r="L231">
        <v>11.5</v>
      </c>
      <c r="M231" s="2"/>
      <c r="N231" s="2">
        <v>12.2</v>
      </c>
      <c r="O231" s="2"/>
      <c r="P231" s="2">
        <v>12.4</v>
      </c>
      <c r="Q231" s="2"/>
      <c r="R231" s="2">
        <v>13.7</v>
      </c>
      <c r="S231" s="2"/>
      <c r="T231" s="2">
        <v>16.2</v>
      </c>
      <c r="U231" s="2"/>
      <c r="V231" s="2">
        <v>20.6</v>
      </c>
      <c r="W231" s="2"/>
      <c r="X231">
        <v>19</v>
      </c>
      <c r="Y231" s="2"/>
    </row>
    <row r="232" spans="1:25" ht="16" x14ac:dyDescent="0.2">
      <c r="A232" s="2" t="s">
        <v>239</v>
      </c>
      <c r="D232">
        <v>104.2</v>
      </c>
      <c r="F232" s="1">
        <v>222.8</v>
      </c>
      <c r="H232">
        <v>336.9</v>
      </c>
      <c r="J232">
        <v>454.8</v>
      </c>
      <c r="L232">
        <v>557.5</v>
      </c>
      <c r="N232">
        <v>673.2</v>
      </c>
      <c r="P232">
        <v>786.8</v>
      </c>
      <c r="R232" s="1">
        <v>909.6</v>
      </c>
      <c r="T232">
        <v>1045.8</v>
      </c>
      <c r="V232" s="1">
        <v>1206</v>
      </c>
      <c r="X232">
        <f>X199*(100+X231)/100</f>
        <v>1309</v>
      </c>
    </row>
    <row r="233" spans="1:25" x14ac:dyDescent="0.15">
      <c r="A233" t="s">
        <v>2</v>
      </c>
      <c r="D233">
        <v>104.2</v>
      </c>
      <c r="F233">
        <v>118.6</v>
      </c>
      <c r="H233">
        <v>114.1</v>
      </c>
      <c r="J233">
        <v>117.9</v>
      </c>
      <c r="L233">
        <v>102.7</v>
      </c>
      <c r="N233">
        <v>115.7</v>
      </c>
      <c r="P233">
        <v>113.6</v>
      </c>
      <c r="R233">
        <v>123.6</v>
      </c>
      <c r="T233">
        <v>136.19999999999999</v>
      </c>
      <c r="V233">
        <v>160.19999999999999</v>
      </c>
      <c r="X233">
        <f>X232-V232</f>
        <v>103</v>
      </c>
    </row>
    <row r="234" spans="1:25" s="4" customFormat="1" x14ac:dyDescent="0.15">
      <c r="A234" s="4" t="s">
        <v>240</v>
      </c>
      <c r="F234" s="4" t="s">
        <v>0</v>
      </c>
      <c r="H234" s="4" t="s">
        <v>0</v>
      </c>
      <c r="J234" s="4" t="s">
        <v>0</v>
      </c>
      <c r="L234" s="4" t="s">
        <v>10</v>
      </c>
      <c r="N234" s="4" t="s">
        <v>1</v>
      </c>
      <c r="P234" s="4" t="s">
        <v>1</v>
      </c>
      <c r="R234" s="4" t="s">
        <v>1</v>
      </c>
      <c r="T234" s="4" t="s">
        <v>1</v>
      </c>
      <c r="V234" s="4" t="s">
        <v>1</v>
      </c>
      <c r="X234" s="4" t="s">
        <v>1</v>
      </c>
    </row>
    <row r="237" spans="1:25" ht="16" x14ac:dyDescent="0.2">
      <c r="A237" s="1" t="s">
        <v>558</v>
      </c>
      <c r="D237" s="2">
        <v>10.9</v>
      </c>
      <c r="E237" s="2"/>
      <c r="F237" s="2">
        <v>21.2</v>
      </c>
      <c r="G237" s="2"/>
      <c r="H237" s="2">
        <v>14.5</v>
      </c>
      <c r="I237" s="2"/>
      <c r="J237">
        <v>15.9</v>
      </c>
      <c r="K237" s="2"/>
      <c r="L237">
        <v>13</v>
      </c>
      <c r="M237" s="2"/>
      <c r="N237" s="2">
        <v>15.6</v>
      </c>
      <c r="O237" s="2"/>
      <c r="P237" s="2">
        <v>15.8</v>
      </c>
      <c r="Q237" s="2"/>
      <c r="R237" s="2">
        <v>13.5</v>
      </c>
      <c r="S237" s="2"/>
      <c r="T237" s="2">
        <v>15</v>
      </c>
      <c r="U237" s="2"/>
      <c r="V237" s="2">
        <v>13.3</v>
      </c>
      <c r="W237" s="2"/>
      <c r="X237">
        <v>10.8</v>
      </c>
      <c r="Y237" s="2"/>
    </row>
    <row r="238" spans="1:25" x14ac:dyDescent="0.15">
      <c r="A238" s="1" t="s">
        <v>241</v>
      </c>
      <c r="D238">
        <v>104.2</v>
      </c>
      <c r="F238" s="1">
        <v>222.8</v>
      </c>
      <c r="H238">
        <v>336.9</v>
      </c>
      <c r="J238">
        <v>454.8</v>
      </c>
      <c r="L238">
        <v>557.5</v>
      </c>
      <c r="N238">
        <v>673.2</v>
      </c>
      <c r="P238">
        <v>786.8</v>
      </c>
      <c r="R238" s="1">
        <v>909.6</v>
      </c>
      <c r="T238">
        <v>1045.8</v>
      </c>
      <c r="V238" s="1">
        <v>1206</v>
      </c>
      <c r="X238">
        <f>X199*(100+X237)/100</f>
        <v>1218.8</v>
      </c>
    </row>
    <row r="239" spans="1:25" x14ac:dyDescent="0.15">
      <c r="A239" t="s">
        <v>2</v>
      </c>
      <c r="D239">
        <v>104.2</v>
      </c>
      <c r="F239">
        <v>118.6</v>
      </c>
      <c r="H239">
        <v>114.1</v>
      </c>
      <c r="J239">
        <v>117.9</v>
      </c>
      <c r="L239">
        <v>102.7</v>
      </c>
      <c r="N239">
        <v>115.7</v>
      </c>
      <c r="P239">
        <v>113.6</v>
      </c>
      <c r="R239">
        <v>123.6</v>
      </c>
      <c r="T239">
        <v>136.19999999999999</v>
      </c>
      <c r="V239">
        <v>160.19999999999999</v>
      </c>
      <c r="X239">
        <f>X238-V238</f>
        <v>12.799999999999955</v>
      </c>
    </row>
    <row r="240" spans="1:25" s="4" customFormat="1" x14ac:dyDescent="0.15">
      <c r="A240" s="4" t="s">
        <v>242</v>
      </c>
    </row>
    <row r="246" spans="1:25" s="34" customFormat="1" x14ac:dyDescent="0.15">
      <c r="A246" s="34" t="s">
        <v>215</v>
      </c>
      <c r="B246" s="34" t="s">
        <v>31</v>
      </c>
      <c r="D246" s="34" t="s">
        <v>32</v>
      </c>
      <c r="F246" s="34" t="s">
        <v>33</v>
      </c>
      <c r="H246" s="34" t="s">
        <v>34</v>
      </c>
      <c r="J246" s="34" t="s">
        <v>35</v>
      </c>
      <c r="L246" s="34" t="s">
        <v>36</v>
      </c>
      <c r="N246" s="34" t="s">
        <v>37</v>
      </c>
      <c r="P246" s="34" t="s">
        <v>38</v>
      </c>
      <c r="R246" s="34" t="s">
        <v>39</v>
      </c>
      <c r="T246" s="34" t="s">
        <v>40</v>
      </c>
      <c r="V246" s="34" t="s">
        <v>41</v>
      </c>
      <c r="X246" s="34" t="s">
        <v>42</v>
      </c>
    </row>
    <row r="247" spans="1:25" s="34" customFormat="1" x14ac:dyDescent="0.15">
      <c r="A247" s="35" t="s">
        <v>211</v>
      </c>
      <c r="D247" s="34">
        <v>100</v>
      </c>
      <c r="F247" s="34">
        <v>200</v>
      </c>
      <c r="H247" s="34">
        <v>300</v>
      </c>
      <c r="J247" s="34">
        <v>400</v>
      </c>
      <c r="L247" s="34">
        <v>500</v>
      </c>
      <c r="N247" s="34">
        <v>600</v>
      </c>
      <c r="P247" s="34">
        <v>700</v>
      </c>
      <c r="R247" s="34">
        <v>800</v>
      </c>
      <c r="T247" s="34">
        <v>900</v>
      </c>
      <c r="V247" s="34">
        <v>1000</v>
      </c>
      <c r="X247" s="34">
        <v>1100</v>
      </c>
    </row>
    <row r="248" spans="1:25" s="34" customFormat="1" x14ac:dyDescent="0.15">
      <c r="A248" s="34" t="s">
        <v>238</v>
      </c>
      <c r="D248" s="34">
        <v>-14</v>
      </c>
      <c r="F248" s="34">
        <v>13.9</v>
      </c>
      <c r="H248" s="34">
        <v>-3.7</v>
      </c>
      <c r="J248" s="34">
        <v>1.1000000000000001</v>
      </c>
      <c r="L248" s="34">
        <v>-3.1</v>
      </c>
      <c r="N248" s="34">
        <v>2.6</v>
      </c>
      <c r="P248" s="34">
        <v>-2</v>
      </c>
      <c r="R248" s="34">
        <v>-5.3</v>
      </c>
      <c r="T248" s="34">
        <v>-9.9</v>
      </c>
      <c r="V248" s="34">
        <v>5.4</v>
      </c>
    </row>
    <row r="249" spans="1:25" x14ac:dyDescent="0.15">
      <c r="A249" s="1"/>
    </row>
    <row r="250" spans="1:25" ht="16" x14ac:dyDescent="0.2">
      <c r="A250" s="1" t="s">
        <v>559</v>
      </c>
      <c r="D250" s="2">
        <v>-70.400000000000006</v>
      </c>
      <c r="E250" s="2"/>
      <c r="F250" s="2">
        <v>-54.5</v>
      </c>
      <c r="G250" s="2"/>
      <c r="H250" s="2">
        <v>-50.2</v>
      </c>
      <c r="I250" s="2"/>
      <c r="J250">
        <v>-51.3</v>
      </c>
      <c r="K250" s="2"/>
      <c r="L250">
        <v>-53.6</v>
      </c>
      <c r="M250" s="2"/>
      <c r="N250" s="2">
        <v>-50.6</v>
      </c>
      <c r="O250" s="2"/>
      <c r="P250" s="2">
        <v>-53.1</v>
      </c>
      <c r="Q250" s="2"/>
      <c r="R250" s="2">
        <v>-53.5</v>
      </c>
      <c r="S250" s="2"/>
      <c r="T250" s="2">
        <v>-51.2</v>
      </c>
      <c r="U250" s="2"/>
      <c r="V250" s="2">
        <v>-47.2</v>
      </c>
      <c r="W250" s="2"/>
      <c r="X250">
        <v>-42.5</v>
      </c>
      <c r="Y250" s="2"/>
    </row>
    <row r="251" spans="1:25" x14ac:dyDescent="0.15">
      <c r="A251" s="1" t="s">
        <v>243</v>
      </c>
      <c r="D251">
        <v>29.4</v>
      </c>
      <c r="F251" s="1">
        <v>91</v>
      </c>
      <c r="H251">
        <v>149.4</v>
      </c>
      <c r="J251">
        <v>194.8</v>
      </c>
      <c r="L251">
        <v>232</v>
      </c>
      <c r="N251">
        <v>296.39999999999998</v>
      </c>
      <c r="P251">
        <v>328.3</v>
      </c>
      <c r="R251">
        <v>372</v>
      </c>
      <c r="T251">
        <v>448.2</v>
      </c>
      <c r="V251">
        <v>528</v>
      </c>
      <c r="X251">
        <f>X247*(100+X250)/100</f>
        <v>632.5</v>
      </c>
    </row>
    <row r="252" spans="1:25" x14ac:dyDescent="0.15">
      <c r="A252" t="s">
        <v>2</v>
      </c>
      <c r="D252">
        <v>29.4</v>
      </c>
      <c r="F252">
        <v>61.6</v>
      </c>
      <c r="H252">
        <v>58.4</v>
      </c>
      <c r="J252">
        <v>45.4</v>
      </c>
      <c r="L252">
        <v>37.200000000000003</v>
      </c>
      <c r="N252">
        <v>64.400000000000006</v>
      </c>
      <c r="P252">
        <v>31.9</v>
      </c>
      <c r="R252">
        <v>43.7</v>
      </c>
      <c r="T252">
        <v>76.2</v>
      </c>
      <c r="V252">
        <v>79.8</v>
      </c>
      <c r="X252">
        <f>X251-V251</f>
        <v>104.5</v>
      </c>
    </row>
    <row r="253" spans="1:25" s="5" customFormat="1" x14ac:dyDescent="0.15">
      <c r="A253" s="5" t="s">
        <v>244</v>
      </c>
    </row>
    <row r="255" spans="1:25" ht="16" x14ac:dyDescent="0.2">
      <c r="A255" s="1" t="s">
        <v>560</v>
      </c>
      <c r="D255" s="2">
        <v>-23.2</v>
      </c>
      <c r="E255" s="2"/>
      <c r="F255" s="2">
        <v>-18</v>
      </c>
      <c r="G255" s="2"/>
      <c r="H255" s="2">
        <v>-16.5</v>
      </c>
      <c r="I255" s="2"/>
      <c r="J255">
        <v>-9.4</v>
      </c>
      <c r="K255" s="2"/>
      <c r="L255">
        <v>-7.1</v>
      </c>
      <c r="M255" s="2"/>
      <c r="N255" s="2">
        <v>-3.8</v>
      </c>
      <c r="O255" s="2"/>
      <c r="P255" s="2">
        <v>-4.3</v>
      </c>
      <c r="Q255" s="2"/>
      <c r="R255" s="2">
        <v>-3.2</v>
      </c>
      <c r="S255" s="2"/>
      <c r="T255" s="2">
        <v>-2.1</v>
      </c>
      <c r="U255" s="2"/>
      <c r="V255" s="2">
        <v>-1.7</v>
      </c>
      <c r="W255" s="2"/>
      <c r="X255">
        <v>-2.4</v>
      </c>
      <c r="Y255" s="2"/>
    </row>
    <row r="256" spans="1:25" x14ac:dyDescent="0.15">
      <c r="A256" s="1" t="s">
        <v>245</v>
      </c>
      <c r="D256">
        <v>76.8</v>
      </c>
      <c r="F256" s="1">
        <v>164</v>
      </c>
      <c r="H256">
        <v>250.5</v>
      </c>
      <c r="J256">
        <v>366.4</v>
      </c>
      <c r="L256">
        <v>464.5</v>
      </c>
      <c r="N256">
        <v>577.20000000000005</v>
      </c>
      <c r="P256">
        <v>669.9</v>
      </c>
      <c r="R256">
        <v>774.4</v>
      </c>
      <c r="T256">
        <v>881.1</v>
      </c>
      <c r="V256">
        <v>983</v>
      </c>
      <c r="X256">
        <f>X247*(100+X255)/100</f>
        <v>1073.5999999999999</v>
      </c>
    </row>
    <row r="257" spans="1:25" x14ac:dyDescent="0.15">
      <c r="A257" t="s">
        <v>2</v>
      </c>
      <c r="D257">
        <v>76.8</v>
      </c>
      <c r="F257">
        <v>87.2</v>
      </c>
      <c r="H257">
        <v>86.5</v>
      </c>
      <c r="J257">
        <v>115.9</v>
      </c>
      <c r="L257">
        <v>98.1</v>
      </c>
      <c r="N257">
        <v>112.7</v>
      </c>
      <c r="P257">
        <v>92.7</v>
      </c>
      <c r="R257">
        <v>104.5</v>
      </c>
      <c r="T257">
        <v>106.7</v>
      </c>
      <c r="V257">
        <v>101.9</v>
      </c>
      <c r="X257">
        <f>X256-V256</f>
        <v>90.599999999999909</v>
      </c>
    </row>
    <row r="258" spans="1:25" s="5" customFormat="1" x14ac:dyDescent="0.15">
      <c r="A258" s="5" t="s">
        <v>246</v>
      </c>
    </row>
    <row r="260" spans="1:25" ht="16" x14ac:dyDescent="0.2">
      <c r="A260" s="1" t="s">
        <v>561</v>
      </c>
      <c r="D260" s="2">
        <v>-5.7</v>
      </c>
      <c r="E260" s="2"/>
      <c r="F260" s="2">
        <v>10.3</v>
      </c>
      <c r="G260" s="2"/>
      <c r="H260" s="2">
        <v>19.7</v>
      </c>
      <c r="I260" s="2"/>
      <c r="J260">
        <v>24</v>
      </c>
      <c r="K260" s="2"/>
      <c r="L260">
        <v>17.8</v>
      </c>
      <c r="M260" s="2"/>
      <c r="N260" s="2">
        <v>12.9</v>
      </c>
      <c r="O260" s="2"/>
      <c r="P260" s="2">
        <v>7.3</v>
      </c>
      <c r="Q260" s="2"/>
      <c r="R260" s="2">
        <v>7.9</v>
      </c>
      <c r="S260" s="2"/>
      <c r="T260" s="2">
        <v>3.4</v>
      </c>
      <c r="U260" s="2"/>
      <c r="V260" s="2">
        <v>-0.4</v>
      </c>
      <c r="W260" s="2"/>
      <c r="X260">
        <v>1.8</v>
      </c>
      <c r="Y260" s="2"/>
    </row>
    <row r="261" spans="1:25" x14ac:dyDescent="0.15">
      <c r="A261" s="1" t="s">
        <v>247</v>
      </c>
      <c r="D261">
        <v>94.3</v>
      </c>
      <c r="F261" s="1">
        <v>220.6</v>
      </c>
      <c r="H261">
        <v>359.1</v>
      </c>
      <c r="J261">
        <v>496</v>
      </c>
      <c r="L261">
        <v>589</v>
      </c>
      <c r="N261">
        <v>677.4</v>
      </c>
      <c r="P261">
        <v>751.1</v>
      </c>
      <c r="R261">
        <v>863.2</v>
      </c>
      <c r="T261">
        <v>930.6</v>
      </c>
      <c r="V261">
        <v>996</v>
      </c>
      <c r="X261">
        <f>X247*(100+X260)/100</f>
        <v>1119.8</v>
      </c>
    </row>
    <row r="262" spans="1:25" x14ac:dyDescent="0.15">
      <c r="A262" t="s">
        <v>2</v>
      </c>
      <c r="D262">
        <v>94.3</v>
      </c>
      <c r="F262">
        <v>126.3</v>
      </c>
      <c r="H262">
        <v>138.5</v>
      </c>
      <c r="J262">
        <v>136.9</v>
      </c>
      <c r="L262">
        <v>93</v>
      </c>
      <c r="N262">
        <v>88.4</v>
      </c>
      <c r="P262">
        <v>73.7</v>
      </c>
      <c r="R262">
        <v>112.1</v>
      </c>
      <c r="T262">
        <v>67.400000000000006</v>
      </c>
      <c r="V262">
        <v>60</v>
      </c>
      <c r="X262">
        <f>X261-V261</f>
        <v>123.79999999999995</v>
      </c>
    </row>
    <row r="263" spans="1:25" s="5" customFormat="1" x14ac:dyDescent="0.15">
      <c r="A263" s="5" t="s">
        <v>248</v>
      </c>
    </row>
    <row r="266" spans="1:25" ht="16" x14ac:dyDescent="0.2">
      <c r="A266" s="1" t="s">
        <v>249</v>
      </c>
      <c r="D266" s="2">
        <v>-11.3</v>
      </c>
      <c r="E266" s="2"/>
      <c r="F266" s="2">
        <v>3.6</v>
      </c>
      <c r="G266" s="2"/>
      <c r="H266" s="2">
        <v>3.7</v>
      </c>
      <c r="I266" s="2"/>
      <c r="J266">
        <v>3.2</v>
      </c>
      <c r="K266" s="2"/>
      <c r="L266">
        <v>-0.1</v>
      </c>
      <c r="M266" s="2"/>
      <c r="N266" s="2">
        <v>0.1</v>
      </c>
      <c r="O266" s="2"/>
      <c r="P266" s="2">
        <v>-3.4</v>
      </c>
      <c r="Q266" s="2"/>
      <c r="R266" s="2">
        <v>-4.3</v>
      </c>
      <c r="S266" s="2"/>
      <c r="T266" s="2">
        <v>-6.4</v>
      </c>
      <c r="U266" s="2"/>
      <c r="V266" s="2">
        <v>-7</v>
      </c>
      <c r="W266" s="2"/>
      <c r="X266">
        <v>-10.9</v>
      </c>
      <c r="Y266" s="2"/>
    </row>
    <row r="267" spans="1:25" x14ac:dyDescent="0.15">
      <c r="A267" s="1" t="s">
        <v>250</v>
      </c>
      <c r="D267">
        <v>89.7</v>
      </c>
      <c r="F267" s="1">
        <v>207.2</v>
      </c>
      <c r="H267">
        <v>311.10000000000002</v>
      </c>
      <c r="J267">
        <v>412.8</v>
      </c>
      <c r="L267">
        <v>499.5</v>
      </c>
      <c r="N267">
        <v>606</v>
      </c>
      <c r="P267">
        <v>674.8</v>
      </c>
      <c r="R267">
        <v>765.6</v>
      </c>
      <c r="T267">
        <v>860.4</v>
      </c>
      <c r="V267">
        <v>930</v>
      </c>
      <c r="X267">
        <f>X247*(100+X266)/100</f>
        <v>980.1</v>
      </c>
    </row>
    <row r="268" spans="1:25" x14ac:dyDescent="0.15">
      <c r="A268" t="s">
        <v>2</v>
      </c>
      <c r="D268">
        <v>89.7</v>
      </c>
      <c r="F268">
        <v>117.5</v>
      </c>
      <c r="H268">
        <v>103.9</v>
      </c>
      <c r="J268">
        <v>101.7</v>
      </c>
      <c r="L268">
        <v>86.7</v>
      </c>
      <c r="N268">
        <v>106.5</v>
      </c>
      <c r="P268">
        <v>68.8</v>
      </c>
      <c r="R268">
        <v>90.8</v>
      </c>
      <c r="T268">
        <v>94.8</v>
      </c>
      <c r="V268">
        <v>69.599999999999994</v>
      </c>
      <c r="X268">
        <f>X267-V267</f>
        <v>50.100000000000023</v>
      </c>
    </row>
    <row r="269" spans="1:25" s="5" customFormat="1" x14ac:dyDescent="0.15">
      <c r="A269" s="5" t="s">
        <v>251</v>
      </c>
    </row>
  </sheetData>
  <mergeCells count="34">
    <mergeCell ref="Z68:Z71"/>
    <mergeCell ref="B58:P58"/>
    <mergeCell ref="B59:P59"/>
    <mergeCell ref="B60:P60"/>
    <mergeCell ref="B61:P61"/>
    <mergeCell ref="Z3:Z6"/>
    <mergeCell ref="C15:C27"/>
    <mergeCell ref="E15:E27"/>
    <mergeCell ref="G15:G27"/>
    <mergeCell ref="I15:I27"/>
    <mergeCell ref="K15:K27"/>
    <mergeCell ref="M15:M27"/>
    <mergeCell ref="O15:O27"/>
    <mergeCell ref="Q15:Q27"/>
    <mergeCell ref="S15:S27"/>
    <mergeCell ref="U15:U27"/>
    <mergeCell ref="W15:W27"/>
    <mergeCell ref="Y15:Y27"/>
    <mergeCell ref="A8:P8"/>
    <mergeCell ref="W33:W45"/>
    <mergeCell ref="Y33:Y45"/>
    <mergeCell ref="A7:P7"/>
    <mergeCell ref="B57:P57"/>
    <mergeCell ref="B1:X1"/>
    <mergeCell ref="C33:C45"/>
    <mergeCell ref="E33:E45"/>
    <mergeCell ref="G33:G45"/>
    <mergeCell ref="I33:I45"/>
    <mergeCell ref="K33:K45"/>
    <mergeCell ref="M33:M45"/>
    <mergeCell ref="O33:O45"/>
    <mergeCell ref="Q33:Q45"/>
    <mergeCell ref="S33:S45"/>
    <mergeCell ref="U33:U4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9"/>
  <sheetViews>
    <sheetView topLeftCell="A40" workbookViewId="0">
      <selection activeCell="A47" sqref="A47:XFD47"/>
    </sheetView>
  </sheetViews>
  <sheetFormatPr baseColWidth="10" defaultRowHeight="15" x14ac:dyDescent="0.15"/>
  <cols>
    <col min="1" max="1" width="32" customWidth="1"/>
  </cols>
  <sheetData>
    <row r="1" spans="1:26" s="3" customFormat="1" ht="77" customHeight="1" x14ac:dyDescent="0.15">
      <c r="A1" s="46" t="s">
        <v>28</v>
      </c>
      <c r="B1" s="51" t="s">
        <v>426</v>
      </c>
      <c r="C1" s="51"/>
      <c r="D1" s="52"/>
      <c r="E1" s="52"/>
      <c r="F1" s="52"/>
      <c r="G1" s="52"/>
      <c r="H1" s="52"/>
      <c r="I1" s="52"/>
      <c r="J1" s="52"/>
      <c r="K1" s="52"/>
      <c r="L1" s="52"/>
      <c r="M1" s="52"/>
      <c r="N1" s="52"/>
      <c r="O1" s="52"/>
      <c r="P1" s="52"/>
      <c r="Q1" s="52"/>
      <c r="R1" s="52"/>
      <c r="S1" s="52"/>
      <c r="T1" s="52"/>
      <c r="U1" s="52"/>
      <c r="V1" s="52"/>
      <c r="W1" s="52"/>
      <c r="X1" s="52"/>
      <c r="Y1" s="46"/>
    </row>
    <row r="2" spans="1:26" s="6" customFormat="1" x14ac:dyDescent="0.15">
      <c r="B2" t="s">
        <v>31</v>
      </c>
      <c r="C2" t="s">
        <v>356</v>
      </c>
      <c r="D2" t="s">
        <v>32</v>
      </c>
      <c r="E2" t="s">
        <v>356</v>
      </c>
      <c r="F2" t="s">
        <v>33</v>
      </c>
      <c r="G2" t="s">
        <v>356</v>
      </c>
      <c r="H2" t="s">
        <v>34</v>
      </c>
      <c r="I2" t="s">
        <v>356</v>
      </c>
      <c r="J2" t="s">
        <v>35</v>
      </c>
      <c r="K2" t="s">
        <v>356</v>
      </c>
      <c r="L2" t="s">
        <v>36</v>
      </c>
      <c r="M2" t="s">
        <v>356</v>
      </c>
      <c r="N2" t="s">
        <v>37</v>
      </c>
      <c r="O2" t="s">
        <v>356</v>
      </c>
      <c r="P2" t="s">
        <v>38</v>
      </c>
      <c r="Q2" t="s">
        <v>356</v>
      </c>
      <c r="R2" t="s">
        <v>39</v>
      </c>
      <c r="S2" t="s">
        <v>356</v>
      </c>
      <c r="T2" t="s">
        <v>40</v>
      </c>
      <c r="U2" t="s">
        <v>356</v>
      </c>
      <c r="V2" t="s">
        <v>41</v>
      </c>
      <c r="W2" t="s">
        <v>356</v>
      </c>
      <c r="X2" t="s">
        <v>42</v>
      </c>
      <c r="Y2" t="s">
        <v>356</v>
      </c>
    </row>
    <row r="3" spans="1:26" s="6" customFormat="1" ht="24" customHeight="1" x14ac:dyDescent="0.15">
      <c r="A3" s="6" t="s">
        <v>214</v>
      </c>
      <c r="B3" t="s">
        <v>653</v>
      </c>
      <c r="C3"/>
      <c r="D3"/>
      <c r="E3"/>
      <c r="F3"/>
      <c r="G3"/>
      <c r="H3"/>
      <c r="I3"/>
      <c r="J3"/>
      <c r="K3"/>
      <c r="L3"/>
      <c r="M3"/>
      <c r="N3"/>
      <c r="O3"/>
      <c r="P3"/>
      <c r="Q3"/>
      <c r="R3"/>
      <c r="S3"/>
      <c r="T3"/>
      <c r="U3"/>
      <c r="V3"/>
      <c r="W3"/>
      <c r="X3"/>
      <c r="Y3" s="43"/>
      <c r="Z3" s="53" t="s">
        <v>216</v>
      </c>
    </row>
    <row r="4" spans="1:26" s="6" customFormat="1" ht="49" customHeight="1" x14ac:dyDescent="0.15">
      <c r="A4" s="44" t="s">
        <v>381</v>
      </c>
      <c r="B4">
        <v>6.6</v>
      </c>
      <c r="C4"/>
      <c r="D4"/>
      <c r="E4"/>
      <c r="F4"/>
      <c r="G4"/>
      <c r="H4"/>
      <c r="I4"/>
      <c r="J4"/>
      <c r="K4"/>
      <c r="L4"/>
      <c r="M4"/>
      <c r="N4"/>
      <c r="O4"/>
      <c r="P4"/>
      <c r="Q4"/>
      <c r="R4"/>
      <c r="S4"/>
      <c r="T4"/>
      <c r="U4"/>
      <c r="V4"/>
      <c r="W4"/>
      <c r="Y4"/>
      <c r="Z4" s="53"/>
    </row>
    <row r="5" spans="1:26" s="6" customFormat="1" ht="80" customHeight="1" x14ac:dyDescent="0.15">
      <c r="A5" s="44" t="s">
        <v>382</v>
      </c>
      <c r="B5">
        <v>0</v>
      </c>
      <c r="C5"/>
      <c r="D5"/>
      <c r="E5"/>
      <c r="F5"/>
      <c r="G5"/>
      <c r="H5"/>
      <c r="I5"/>
      <c r="J5"/>
      <c r="K5"/>
      <c r="L5"/>
      <c r="M5"/>
      <c r="N5"/>
      <c r="O5"/>
      <c r="P5"/>
      <c r="Q5"/>
      <c r="R5"/>
      <c r="S5"/>
      <c r="T5"/>
      <c r="U5"/>
      <c r="V5"/>
      <c r="W5"/>
      <c r="Y5"/>
      <c r="Z5" s="48"/>
    </row>
    <row r="6" spans="1:26" s="6" customFormat="1" ht="109" customHeight="1" x14ac:dyDescent="0.15">
      <c r="A6" s="44" t="s">
        <v>429</v>
      </c>
      <c r="B6">
        <v>8.4</v>
      </c>
      <c r="C6"/>
      <c r="D6"/>
      <c r="E6"/>
      <c r="F6"/>
      <c r="G6"/>
      <c r="H6"/>
      <c r="I6"/>
      <c r="J6"/>
      <c r="K6"/>
      <c r="L6"/>
      <c r="M6"/>
      <c r="N6"/>
      <c r="O6"/>
      <c r="P6"/>
      <c r="Q6"/>
      <c r="R6"/>
      <c r="S6"/>
      <c r="T6"/>
      <c r="U6"/>
      <c r="V6"/>
      <c r="W6"/>
      <c r="Z6" s="48"/>
    </row>
    <row r="7" spans="1:26" s="6" customFormat="1" ht="38" customHeight="1" x14ac:dyDescent="0.15">
      <c r="A7" s="49" t="s">
        <v>566</v>
      </c>
      <c r="B7" s="50"/>
      <c r="C7" s="50"/>
      <c r="D7" s="50"/>
      <c r="E7" s="50"/>
      <c r="F7" s="50"/>
      <c r="G7" s="50"/>
      <c r="H7" s="50"/>
      <c r="I7" s="50"/>
      <c r="J7" s="50"/>
      <c r="K7" s="50"/>
      <c r="L7" s="50"/>
      <c r="M7" s="50"/>
      <c r="N7" s="50"/>
      <c r="O7" s="50"/>
      <c r="P7" s="50"/>
      <c r="Q7"/>
      <c r="R7"/>
      <c r="S7"/>
      <c r="T7"/>
      <c r="U7"/>
      <c r="V7"/>
      <c r="W7"/>
      <c r="Y7"/>
      <c r="Z7" s="45"/>
    </row>
    <row r="8" spans="1:26" s="6" customFormat="1" ht="56" customHeight="1" x14ac:dyDescent="0.15">
      <c r="A8" s="49" t="s">
        <v>650</v>
      </c>
      <c r="B8" s="50"/>
      <c r="C8" s="50"/>
      <c r="D8" s="50"/>
      <c r="E8" s="50"/>
      <c r="F8" s="50"/>
      <c r="G8" s="50"/>
      <c r="H8" s="50"/>
      <c r="I8" s="50"/>
      <c r="J8" s="50"/>
      <c r="K8" s="50"/>
      <c r="L8" s="50"/>
      <c r="M8" s="50"/>
      <c r="N8" s="50"/>
      <c r="O8" s="50"/>
      <c r="P8" s="50"/>
    </row>
    <row r="9" spans="1:26" s="6" customFormat="1" ht="20" x14ac:dyDescent="0.2">
      <c r="A9" s="30"/>
    </row>
    <row r="10" spans="1:26" s="34" customFormat="1" x14ac:dyDescent="0.15">
      <c r="A10" s="35" t="s">
        <v>212</v>
      </c>
      <c r="B10" s="34" t="s">
        <v>31</v>
      </c>
      <c r="C10" s="34" t="s">
        <v>356</v>
      </c>
      <c r="D10" s="34" t="s">
        <v>32</v>
      </c>
      <c r="E10" s="34" t="s">
        <v>356</v>
      </c>
      <c r="F10" s="34" t="s">
        <v>33</v>
      </c>
      <c r="G10" s="34" t="s">
        <v>356</v>
      </c>
      <c r="H10" s="34" t="s">
        <v>34</v>
      </c>
      <c r="I10" s="34" t="s">
        <v>356</v>
      </c>
      <c r="J10" s="34" t="s">
        <v>35</v>
      </c>
      <c r="K10" s="34" t="s">
        <v>356</v>
      </c>
      <c r="L10" s="34" t="s">
        <v>36</v>
      </c>
      <c r="M10" s="34" t="s">
        <v>356</v>
      </c>
      <c r="N10" s="34" t="s">
        <v>37</v>
      </c>
      <c r="O10" s="34" t="s">
        <v>356</v>
      </c>
      <c r="P10" s="34" t="s">
        <v>38</v>
      </c>
      <c r="Q10" s="34" t="s">
        <v>356</v>
      </c>
      <c r="R10" s="34" t="s">
        <v>39</v>
      </c>
      <c r="S10" s="34" t="s">
        <v>356</v>
      </c>
      <c r="T10" s="34" t="s">
        <v>40</v>
      </c>
      <c r="U10" s="34" t="s">
        <v>356</v>
      </c>
      <c r="V10" s="34" t="s">
        <v>41</v>
      </c>
      <c r="W10" s="34" t="s">
        <v>356</v>
      </c>
      <c r="X10" s="34" t="s">
        <v>42</v>
      </c>
      <c r="Y10" s="34" t="s">
        <v>356</v>
      </c>
    </row>
    <row r="11" spans="1:26" s="34" customFormat="1" x14ac:dyDescent="0.15">
      <c r="A11" s="34" t="s">
        <v>29</v>
      </c>
      <c r="B11" s="34">
        <v>51.3</v>
      </c>
      <c r="D11" s="34">
        <v>50.3</v>
      </c>
      <c r="F11" s="34">
        <v>51.5</v>
      </c>
      <c r="H11" s="34">
        <v>51.4</v>
      </c>
      <c r="J11" s="34">
        <v>51.9</v>
      </c>
      <c r="L11" s="34">
        <v>51.5</v>
      </c>
      <c r="N11" s="34">
        <v>51.2</v>
      </c>
      <c r="P11" s="34">
        <v>51.3</v>
      </c>
      <c r="R11" s="34">
        <v>50.8</v>
      </c>
      <c r="T11" s="34">
        <v>50.2</v>
      </c>
      <c r="V11" s="34">
        <v>50</v>
      </c>
      <c r="X11" s="34">
        <v>49.4</v>
      </c>
    </row>
    <row r="12" spans="1:26" s="34" customFormat="1" x14ac:dyDescent="0.15">
      <c r="A12" s="35" t="s">
        <v>649</v>
      </c>
      <c r="B12" s="34">
        <v>49.5</v>
      </c>
      <c r="D12" s="34">
        <v>49.2</v>
      </c>
      <c r="F12" s="34">
        <v>50.5</v>
      </c>
      <c r="H12" s="34">
        <v>50.1</v>
      </c>
      <c r="J12" s="34">
        <v>49.4</v>
      </c>
      <c r="L12" s="34">
        <v>49.4</v>
      </c>
      <c r="N12" s="34">
        <v>49.7</v>
      </c>
      <c r="P12" s="34">
        <v>49.5</v>
      </c>
      <c r="R12" s="34">
        <v>49.8</v>
      </c>
      <c r="T12" s="34">
        <v>49.3</v>
      </c>
      <c r="V12" s="34">
        <v>50.2</v>
      </c>
      <c r="X12" s="34">
        <v>50.2</v>
      </c>
    </row>
    <row r="13" spans="1:26" s="34" customFormat="1" x14ac:dyDescent="0.15">
      <c r="A13" s="35" t="s">
        <v>535</v>
      </c>
      <c r="B13" s="34">
        <v>50</v>
      </c>
      <c r="D13" s="34">
        <v>35.700000000000003</v>
      </c>
      <c r="F13" s="34">
        <v>50.5</v>
      </c>
      <c r="H13" s="34">
        <v>50.1</v>
      </c>
      <c r="J13" s="34">
        <v>49.4</v>
      </c>
      <c r="L13" s="34">
        <v>49.4</v>
      </c>
      <c r="N13" s="34">
        <v>49.7</v>
      </c>
      <c r="P13" s="34">
        <v>49.5</v>
      </c>
      <c r="R13" s="34">
        <v>49.8</v>
      </c>
      <c r="T13" s="34">
        <v>49.3</v>
      </c>
      <c r="V13" s="34">
        <v>50.2</v>
      </c>
      <c r="X13" s="34">
        <v>50.2</v>
      </c>
    </row>
    <row r="14" spans="1:26" s="10" customFormat="1" x14ac:dyDescent="0.15">
      <c r="A14" s="10" t="s">
        <v>43</v>
      </c>
      <c r="B14" s="10">
        <v>-0.2</v>
      </c>
      <c r="D14" s="10">
        <v>-14.3</v>
      </c>
      <c r="F14" s="10">
        <v>1.3</v>
      </c>
      <c r="H14" s="10">
        <v>-0.4</v>
      </c>
      <c r="J14" s="10">
        <v>-0.7</v>
      </c>
      <c r="L14" s="10">
        <v>0</v>
      </c>
      <c r="N14" s="10">
        <v>0.3</v>
      </c>
      <c r="P14" s="10">
        <v>-0.2</v>
      </c>
      <c r="R14" s="10">
        <v>0.3</v>
      </c>
      <c r="T14" s="10">
        <v>-0.5</v>
      </c>
      <c r="V14" s="10">
        <v>0.9</v>
      </c>
      <c r="X14" s="10">
        <v>0</v>
      </c>
    </row>
    <row r="15" spans="1:26" s="10" customFormat="1" x14ac:dyDescent="0.15">
      <c r="A15" s="10" t="s">
        <v>213</v>
      </c>
    </row>
    <row r="16" spans="1:26" s="6" customFormat="1" ht="16" x14ac:dyDescent="0.2">
      <c r="A16" s="6" t="s">
        <v>45</v>
      </c>
      <c r="B16" s="22" t="s">
        <v>536</v>
      </c>
      <c r="C16" s="47" t="s">
        <v>369</v>
      </c>
      <c r="D16" s="19" t="s">
        <v>654</v>
      </c>
      <c r="E16" s="47"/>
      <c r="F16" s="18"/>
      <c r="G16" s="47"/>
      <c r="H16" s="19"/>
      <c r="I16" s="47"/>
      <c r="J16" s="19"/>
      <c r="K16" s="47"/>
      <c r="L16" s="20"/>
      <c r="M16" s="47"/>
      <c r="N16" s="22"/>
      <c r="O16" s="47"/>
      <c r="P16" s="20"/>
      <c r="Q16" s="47"/>
      <c r="R16" s="22"/>
      <c r="S16" s="47"/>
      <c r="T16" s="20"/>
      <c r="U16" s="47"/>
      <c r="V16" s="22"/>
      <c r="W16" s="47"/>
      <c r="X16" s="22"/>
      <c r="Y16" s="47"/>
      <c r="Z16" s="2" t="s">
        <v>353</v>
      </c>
    </row>
    <row r="17" spans="1:26" s="6" customFormat="1" ht="16" x14ac:dyDescent="0.2">
      <c r="A17" s="6" t="s">
        <v>46</v>
      </c>
      <c r="B17" s="20" t="s">
        <v>537</v>
      </c>
      <c r="C17" s="48"/>
      <c r="D17" s="18" t="s">
        <v>656</v>
      </c>
      <c r="E17" s="48"/>
      <c r="F17" s="18"/>
      <c r="G17" s="48"/>
      <c r="H17" s="19"/>
      <c r="I17" s="48"/>
      <c r="J17" s="19"/>
      <c r="K17" s="48"/>
      <c r="L17" s="20"/>
      <c r="M17" s="48"/>
      <c r="N17" s="22"/>
      <c r="O17" s="48"/>
      <c r="P17" s="20"/>
      <c r="Q17" s="48"/>
      <c r="R17" s="22"/>
      <c r="S17" s="48"/>
      <c r="T17" s="20"/>
      <c r="U17" s="48"/>
      <c r="V17" s="22"/>
      <c r="W17" s="48"/>
      <c r="X17" s="20"/>
      <c r="Y17" s="48"/>
      <c r="Z17" s="2" t="s">
        <v>354</v>
      </c>
    </row>
    <row r="18" spans="1:26" s="6" customFormat="1" ht="16" x14ac:dyDescent="0.2">
      <c r="A18" s="6" t="s">
        <v>47</v>
      </c>
      <c r="B18" s="20" t="s">
        <v>538</v>
      </c>
      <c r="C18" s="48"/>
      <c r="D18" s="19" t="s">
        <v>655</v>
      </c>
      <c r="E18" s="48"/>
      <c r="F18" s="18"/>
      <c r="G18" s="48"/>
      <c r="H18" s="19"/>
      <c r="I18" s="48"/>
      <c r="J18" s="18"/>
      <c r="K18" s="48"/>
      <c r="L18" s="22"/>
      <c r="M18" s="48"/>
      <c r="N18" s="20"/>
      <c r="O18" s="48"/>
      <c r="P18" s="20"/>
      <c r="Q18" s="48"/>
      <c r="R18" s="22"/>
      <c r="S18" s="48"/>
      <c r="T18" s="20"/>
      <c r="U18" s="48"/>
      <c r="V18" s="22"/>
      <c r="W18" s="48"/>
      <c r="X18" s="20"/>
      <c r="Y18" s="48"/>
      <c r="Z18" s="2" t="s">
        <v>357</v>
      </c>
    </row>
    <row r="19" spans="1:26" s="6" customFormat="1" ht="16" x14ac:dyDescent="0.2">
      <c r="A19" s="6" t="s">
        <v>48</v>
      </c>
      <c r="B19" s="24" t="s">
        <v>539</v>
      </c>
      <c r="C19" s="48"/>
      <c r="D19" s="19" t="s">
        <v>657</v>
      </c>
      <c r="E19" s="48"/>
      <c r="F19" s="18"/>
      <c r="G19" s="48"/>
      <c r="H19" s="19"/>
      <c r="I19" s="48"/>
      <c r="J19" s="19"/>
      <c r="K19" s="48"/>
      <c r="L19" s="20"/>
      <c r="M19" s="48"/>
      <c r="N19" s="22"/>
      <c r="O19" s="48"/>
      <c r="P19" s="20"/>
      <c r="Q19" s="48"/>
      <c r="R19" s="22"/>
      <c r="S19" s="48"/>
      <c r="T19" s="20"/>
      <c r="U19" s="48"/>
      <c r="V19" s="24"/>
      <c r="W19" s="48"/>
      <c r="X19" s="24"/>
      <c r="Y19" s="48"/>
      <c r="Z19" s="2" t="s">
        <v>209</v>
      </c>
    </row>
    <row r="20" spans="1:26" s="6" customFormat="1" ht="16" x14ac:dyDescent="0.2">
      <c r="A20" s="6" t="s">
        <v>49</v>
      </c>
      <c r="B20" s="11" t="s">
        <v>540</v>
      </c>
      <c r="C20" s="48"/>
      <c r="D20" s="13" t="s">
        <v>658</v>
      </c>
      <c r="E20" s="48"/>
      <c r="F20" s="13"/>
      <c r="G20" s="48"/>
      <c r="H20" s="13"/>
      <c r="I20" s="48"/>
      <c r="J20" s="13"/>
      <c r="K20" s="48"/>
      <c r="L20" s="2"/>
      <c r="M20" s="48"/>
      <c r="N20" s="2"/>
      <c r="O20" s="48"/>
      <c r="P20" s="2"/>
      <c r="Q20" s="48"/>
      <c r="R20" s="2"/>
      <c r="S20" s="48"/>
      <c r="T20" s="2"/>
      <c r="U20" s="48"/>
      <c r="V20" s="2"/>
      <c r="W20" s="48"/>
      <c r="X20" s="11"/>
      <c r="Y20" s="48"/>
      <c r="Z20" s="2" t="s">
        <v>210</v>
      </c>
    </row>
    <row r="21" spans="1:26" s="6" customFormat="1" ht="16" x14ac:dyDescent="0.2">
      <c r="A21" s="6" t="s">
        <v>108</v>
      </c>
      <c r="B21" s="18" t="s">
        <v>541</v>
      </c>
      <c r="C21" s="48"/>
      <c r="D21" s="19" t="s">
        <v>659</v>
      </c>
      <c r="E21" s="48"/>
      <c r="F21" s="18"/>
      <c r="G21" s="48"/>
      <c r="H21" s="18"/>
      <c r="I21" s="48"/>
      <c r="J21" s="19"/>
      <c r="K21" s="48"/>
      <c r="L21" s="19"/>
      <c r="M21" s="48"/>
      <c r="N21" s="18"/>
      <c r="O21" s="48"/>
      <c r="P21" s="18"/>
      <c r="Q21" s="48"/>
      <c r="R21" s="18"/>
      <c r="S21" s="48"/>
      <c r="T21" s="19"/>
      <c r="U21" s="48"/>
      <c r="V21" s="18"/>
      <c r="W21" s="48"/>
      <c r="X21" s="18"/>
      <c r="Y21" s="48"/>
      <c r="Z21" s="11" t="s">
        <v>227</v>
      </c>
    </row>
    <row r="22" spans="1:26" s="6" customFormat="1" ht="16" x14ac:dyDescent="0.2">
      <c r="A22" s="12" t="s">
        <v>228</v>
      </c>
      <c r="B22" s="13" t="s">
        <v>542</v>
      </c>
      <c r="C22" s="48"/>
      <c r="D22" s="13" t="s">
        <v>660</v>
      </c>
      <c r="E22" s="48"/>
      <c r="F22" s="13"/>
      <c r="G22" s="48"/>
      <c r="H22" s="13"/>
      <c r="I22" s="48"/>
      <c r="J22" s="13"/>
      <c r="K22" s="48"/>
      <c r="L22" s="13"/>
      <c r="M22" s="48"/>
      <c r="N22" s="13"/>
      <c r="O22" s="48"/>
      <c r="P22" s="13"/>
      <c r="Q22" s="48"/>
      <c r="R22" s="13"/>
      <c r="S22" s="48"/>
      <c r="T22" s="13"/>
      <c r="U22" s="48"/>
      <c r="V22" s="13"/>
      <c r="W22" s="48"/>
      <c r="X22" s="13"/>
      <c r="Y22" s="48"/>
      <c r="Z22" s="11" t="s">
        <v>229</v>
      </c>
    </row>
    <row r="23" spans="1:26" s="6" customFormat="1" ht="16" x14ac:dyDescent="0.2">
      <c r="A23" s="12" t="s">
        <v>235</v>
      </c>
      <c r="B23" s="18" t="s">
        <v>543</v>
      </c>
      <c r="C23" s="48"/>
      <c r="D23" s="19" t="s">
        <v>661</v>
      </c>
      <c r="E23" s="48"/>
      <c r="F23" s="18"/>
      <c r="G23" s="48"/>
      <c r="H23" s="19"/>
      <c r="I23" s="48"/>
      <c r="J23" s="19"/>
      <c r="K23" s="48"/>
      <c r="L23" s="19"/>
      <c r="M23" s="48"/>
      <c r="N23" s="18"/>
      <c r="O23" s="48"/>
      <c r="P23" s="19"/>
      <c r="Q23" s="48"/>
      <c r="R23" s="18"/>
      <c r="S23" s="48"/>
      <c r="T23" s="19"/>
      <c r="U23" s="48"/>
      <c r="V23" s="18"/>
      <c r="W23" s="48"/>
      <c r="X23" s="18"/>
      <c r="Y23" s="48"/>
      <c r="Z23" s="11" t="s">
        <v>236</v>
      </c>
    </row>
    <row r="24" spans="1:26" s="6" customFormat="1" ht="16" x14ac:dyDescent="0.2">
      <c r="A24" s="6" t="s">
        <v>230</v>
      </c>
      <c r="B24" s="18" t="s">
        <v>544</v>
      </c>
      <c r="C24" s="48"/>
      <c r="D24" s="18" t="s">
        <v>662</v>
      </c>
      <c r="E24" s="48"/>
      <c r="F24" s="18"/>
      <c r="G24" s="48"/>
      <c r="H24" s="19"/>
      <c r="I24" s="48"/>
      <c r="J24" s="19"/>
      <c r="K24" s="48"/>
      <c r="L24" s="19"/>
      <c r="M24" s="48"/>
      <c r="N24" s="18"/>
      <c r="O24" s="48"/>
      <c r="P24" s="19"/>
      <c r="Q24" s="48"/>
      <c r="R24" s="18"/>
      <c r="S24" s="48"/>
      <c r="T24" s="19"/>
      <c r="U24" s="48"/>
      <c r="V24" s="19"/>
      <c r="W24" s="48"/>
      <c r="X24" s="18"/>
      <c r="Y24" s="48"/>
      <c r="Z24" s="11" t="s">
        <v>231</v>
      </c>
    </row>
    <row r="25" spans="1:26" s="6" customFormat="1" ht="16" x14ac:dyDescent="0.2">
      <c r="A25" s="6" t="s">
        <v>109</v>
      </c>
      <c r="B25" s="13" t="s">
        <v>545</v>
      </c>
      <c r="C25" s="48"/>
      <c r="D25" s="13" t="s">
        <v>663</v>
      </c>
      <c r="E25" s="48"/>
      <c r="F25" s="13"/>
      <c r="G25" s="48"/>
      <c r="H25" s="13"/>
      <c r="I25" s="48"/>
      <c r="J25" s="13"/>
      <c r="K25" s="48"/>
      <c r="L25" s="13"/>
      <c r="M25" s="48"/>
      <c r="N25" s="13"/>
      <c r="O25" s="48"/>
      <c r="P25" s="13"/>
      <c r="Q25" s="48"/>
      <c r="R25" s="13"/>
      <c r="S25" s="48"/>
      <c r="T25" s="13"/>
      <c r="U25" s="48"/>
      <c r="V25" s="13"/>
      <c r="W25" s="48"/>
      <c r="X25" s="13"/>
      <c r="Y25" s="48"/>
      <c r="Z25" s="6" t="s">
        <v>232</v>
      </c>
    </row>
    <row r="26" spans="1:26" s="6" customFormat="1" ht="16" x14ac:dyDescent="0.2">
      <c r="A26" s="12" t="s">
        <v>110</v>
      </c>
      <c r="B26" s="19" t="s">
        <v>546</v>
      </c>
      <c r="C26" s="48"/>
      <c r="D26" s="19" t="s">
        <v>664</v>
      </c>
      <c r="E26" s="48"/>
      <c r="F26" s="18"/>
      <c r="G26" s="48"/>
      <c r="H26" s="19"/>
      <c r="I26" s="48"/>
      <c r="J26" s="18"/>
      <c r="K26" s="48"/>
      <c r="L26" s="21"/>
      <c r="M26" s="48"/>
      <c r="N26" s="19"/>
      <c r="O26" s="48"/>
      <c r="P26" s="18"/>
      <c r="Q26" s="48"/>
      <c r="R26" s="19"/>
      <c r="S26" s="48"/>
      <c r="T26" s="19"/>
      <c r="U26" s="48"/>
      <c r="V26" s="19"/>
      <c r="W26" s="48"/>
      <c r="X26" s="19"/>
      <c r="Y26" s="48"/>
      <c r="Z26" s="14" t="s">
        <v>233</v>
      </c>
    </row>
    <row r="27" spans="1:26" s="6" customFormat="1" ht="16" x14ac:dyDescent="0.2">
      <c r="A27" s="6" t="s">
        <v>111</v>
      </c>
      <c r="B27" s="13" t="s">
        <v>547</v>
      </c>
      <c r="C27" s="48"/>
      <c r="D27" s="19" t="s">
        <v>665</v>
      </c>
      <c r="E27" s="48"/>
      <c r="F27" s="13"/>
      <c r="G27" s="48"/>
      <c r="H27" s="13"/>
      <c r="I27" s="48"/>
      <c r="J27" s="13"/>
      <c r="K27" s="48"/>
      <c r="L27" s="13"/>
      <c r="M27" s="48"/>
      <c r="N27" s="13"/>
      <c r="O27" s="48"/>
      <c r="P27" s="13"/>
      <c r="Q27" s="48"/>
      <c r="R27" s="13"/>
      <c r="S27" s="48"/>
      <c r="T27" s="13"/>
      <c r="U27" s="48"/>
      <c r="V27" s="13"/>
      <c r="W27" s="48"/>
      <c r="X27" s="13"/>
      <c r="Y27" s="48"/>
      <c r="Z27" s="15" t="s">
        <v>234</v>
      </c>
    </row>
    <row r="28" spans="1:26" s="6" customFormat="1" ht="16" x14ac:dyDescent="0.2">
      <c r="A28" s="6" t="s">
        <v>112</v>
      </c>
      <c r="B28" s="13" t="s">
        <v>548</v>
      </c>
      <c r="C28" s="48"/>
      <c r="D28" s="13" t="s">
        <v>666</v>
      </c>
      <c r="E28" s="48"/>
      <c r="F28" s="13"/>
      <c r="G28" s="48"/>
      <c r="H28" s="13"/>
      <c r="I28" s="48"/>
      <c r="J28" s="13"/>
      <c r="K28" s="48"/>
      <c r="L28" s="13"/>
      <c r="M28" s="48"/>
      <c r="N28" s="13"/>
      <c r="O28" s="48"/>
      <c r="P28" s="13"/>
      <c r="Q28" s="48"/>
      <c r="R28" s="13"/>
      <c r="S28" s="48"/>
      <c r="T28" s="13"/>
      <c r="U28" s="48"/>
      <c r="V28" s="13"/>
      <c r="W28" s="48"/>
      <c r="X28" s="13"/>
      <c r="Y28" s="48"/>
    </row>
    <row r="29" spans="1:26" s="6" customFormat="1" x14ac:dyDescent="0.15"/>
    <row r="30" spans="1:26" x14ac:dyDescent="0.15">
      <c r="A30" s="1" t="s">
        <v>217</v>
      </c>
      <c r="B30" t="s">
        <v>31</v>
      </c>
      <c r="D30" t="s">
        <v>32</v>
      </c>
      <c r="F30" t="s">
        <v>33</v>
      </c>
      <c r="H30" t="s">
        <v>34</v>
      </c>
      <c r="J30" t="s">
        <v>35</v>
      </c>
      <c r="L30" t="s">
        <v>36</v>
      </c>
      <c r="N30" t="s">
        <v>37</v>
      </c>
      <c r="P30" t="s">
        <v>38</v>
      </c>
      <c r="R30" t="s">
        <v>39</v>
      </c>
      <c r="T30" t="s">
        <v>40</v>
      </c>
      <c r="V30" t="s">
        <v>41</v>
      </c>
      <c r="X30" t="s">
        <v>42</v>
      </c>
    </row>
    <row r="31" spans="1:26" x14ac:dyDescent="0.15">
      <c r="A31" s="1" t="s">
        <v>549</v>
      </c>
      <c r="B31">
        <v>51.1</v>
      </c>
      <c r="D31">
        <v>40.299999999999997</v>
      </c>
    </row>
    <row r="32" spans="1:26" s="10" customFormat="1" ht="16" customHeight="1" x14ac:dyDescent="0.15">
      <c r="A32" s="10" t="s">
        <v>43</v>
      </c>
      <c r="B32" s="10">
        <v>-0.4</v>
      </c>
    </row>
    <row r="33" spans="1:26" x14ac:dyDescent="0.15">
      <c r="A33" s="1" t="s">
        <v>218</v>
      </c>
      <c r="B33" t="s">
        <v>31</v>
      </c>
      <c r="D33" t="s">
        <v>32</v>
      </c>
      <c r="F33" t="s">
        <v>33</v>
      </c>
      <c r="H33" t="s">
        <v>34</v>
      </c>
      <c r="J33" t="s">
        <v>35</v>
      </c>
      <c r="L33" t="s">
        <v>36</v>
      </c>
      <c r="N33" t="s">
        <v>37</v>
      </c>
      <c r="P33" t="s">
        <v>38</v>
      </c>
      <c r="R33" t="s">
        <v>39</v>
      </c>
      <c r="T33" t="s">
        <v>40</v>
      </c>
      <c r="V33" t="s">
        <v>41</v>
      </c>
      <c r="X33" t="s">
        <v>42</v>
      </c>
    </row>
    <row r="34" spans="1:26" x14ac:dyDescent="0.15">
      <c r="A34" s="1" t="s">
        <v>567</v>
      </c>
      <c r="B34">
        <v>51.9</v>
      </c>
      <c r="D34">
        <v>26.5</v>
      </c>
    </row>
    <row r="35" spans="1:26" s="10" customFormat="1" x14ac:dyDescent="0.15">
      <c r="A35" s="10" t="s">
        <v>43</v>
      </c>
      <c r="B35" s="10">
        <v>-0.7</v>
      </c>
    </row>
    <row r="36" spans="1:26" s="6" customFormat="1" x14ac:dyDescent="0.15"/>
    <row r="37" spans="1:26" s="6" customFormat="1" ht="94" customHeight="1" x14ac:dyDescent="0.15">
      <c r="A37" s="28" t="s">
        <v>377</v>
      </c>
      <c r="B37" s="49" t="s">
        <v>430</v>
      </c>
      <c r="C37" s="50"/>
      <c r="D37" s="50"/>
      <c r="E37" s="50"/>
      <c r="F37" s="50"/>
      <c r="G37" s="50"/>
      <c r="H37" s="50"/>
      <c r="I37" s="50"/>
      <c r="J37" s="50"/>
      <c r="K37" s="50"/>
      <c r="L37" s="50"/>
      <c r="M37" s="50"/>
      <c r="N37" s="50"/>
      <c r="O37" s="50"/>
      <c r="P37" s="50"/>
      <c r="Q37" s="43"/>
      <c r="R37" s="43"/>
    </row>
    <row r="38" spans="1:26" s="6" customFormat="1" ht="96" customHeight="1" x14ac:dyDescent="0.15">
      <c r="A38" s="28" t="s">
        <v>378</v>
      </c>
      <c r="B38" s="49" t="s">
        <v>379</v>
      </c>
      <c r="C38" s="50"/>
      <c r="D38" s="50"/>
      <c r="E38" s="50"/>
      <c r="F38" s="50"/>
      <c r="G38" s="50"/>
      <c r="H38" s="50"/>
      <c r="I38" s="50"/>
      <c r="J38" s="50"/>
      <c r="K38" s="50"/>
      <c r="L38" s="50"/>
      <c r="M38" s="50"/>
      <c r="N38" s="50"/>
      <c r="O38" s="50"/>
      <c r="P38" s="50"/>
      <c r="Q38" s="43"/>
      <c r="R38" s="43"/>
    </row>
    <row r="39" spans="1:26" s="6" customFormat="1" ht="44" customHeight="1" x14ac:dyDescent="0.15">
      <c r="A39" s="28" t="s">
        <v>385</v>
      </c>
      <c r="B39" s="53" t="s">
        <v>384</v>
      </c>
      <c r="C39" s="54"/>
      <c r="D39" s="54"/>
      <c r="E39" s="54"/>
      <c r="F39" s="54"/>
      <c r="G39" s="54"/>
      <c r="H39" s="54"/>
      <c r="I39" s="54"/>
      <c r="J39" s="54"/>
      <c r="K39" s="54"/>
      <c r="L39" s="54"/>
      <c r="M39" s="54"/>
      <c r="N39" s="54"/>
      <c r="O39" s="54"/>
      <c r="P39" s="54"/>
      <c r="Q39" s="43"/>
      <c r="R39" s="43"/>
    </row>
    <row r="40" spans="1:26" s="6" customFormat="1" ht="73" customHeight="1" x14ac:dyDescent="0.15">
      <c r="A40" s="31" t="s">
        <v>386</v>
      </c>
      <c r="B40" s="53" t="s">
        <v>387</v>
      </c>
      <c r="C40" s="54"/>
      <c r="D40" s="54"/>
      <c r="E40" s="54"/>
      <c r="F40" s="54"/>
      <c r="G40" s="54"/>
      <c r="H40" s="54"/>
      <c r="I40" s="54"/>
      <c r="J40" s="54"/>
      <c r="K40" s="54"/>
      <c r="L40" s="54"/>
      <c r="M40" s="54"/>
      <c r="N40" s="54"/>
      <c r="O40" s="54"/>
      <c r="P40" s="54"/>
      <c r="Q40" s="43"/>
      <c r="R40" s="43"/>
    </row>
    <row r="41" spans="1:26" s="6" customFormat="1" ht="79" customHeight="1" x14ac:dyDescent="0.15">
      <c r="A41" s="31" t="s">
        <v>388</v>
      </c>
      <c r="B41" s="53" t="s">
        <v>389</v>
      </c>
      <c r="C41" s="54"/>
      <c r="D41" s="54"/>
      <c r="E41" s="54"/>
      <c r="F41" s="54"/>
      <c r="G41" s="54"/>
      <c r="H41" s="54"/>
      <c r="I41" s="54"/>
      <c r="J41" s="54"/>
      <c r="K41" s="54"/>
      <c r="L41" s="54"/>
      <c r="M41" s="54"/>
      <c r="N41" s="54"/>
      <c r="O41" s="54"/>
      <c r="P41" s="54"/>
      <c r="Q41" s="43"/>
      <c r="R41" s="43"/>
    </row>
    <row r="42" spans="1:26" x14ac:dyDescent="0.15">
      <c r="A42" s="1" t="s">
        <v>562</v>
      </c>
      <c r="B42" t="s">
        <v>563</v>
      </c>
    </row>
    <row r="47" spans="1:26" x14ac:dyDescent="0.15">
      <c r="A47" s="1"/>
      <c r="B47" t="s">
        <v>31</v>
      </c>
      <c r="D47" t="s">
        <v>32</v>
      </c>
      <c r="F47" t="s">
        <v>33</v>
      </c>
      <c r="H47" t="s">
        <v>34</v>
      </c>
      <c r="J47" t="s">
        <v>35</v>
      </c>
      <c r="L47" t="s">
        <v>36</v>
      </c>
      <c r="N47" t="s">
        <v>37</v>
      </c>
      <c r="P47" t="s">
        <v>38</v>
      </c>
      <c r="R47" t="s">
        <v>39</v>
      </c>
      <c r="T47" t="s">
        <v>40</v>
      </c>
      <c r="V47" t="s">
        <v>41</v>
      </c>
      <c r="X47" t="s">
        <v>42</v>
      </c>
    </row>
    <row r="48" spans="1:26" x14ac:dyDescent="0.15">
      <c r="A48" s="1" t="s">
        <v>568</v>
      </c>
      <c r="B48">
        <v>5.4</v>
      </c>
      <c r="D48">
        <v>5.2</v>
      </c>
      <c r="Z48" s="54" t="s">
        <v>375</v>
      </c>
    </row>
    <row r="49" spans="1:26" x14ac:dyDescent="0.15">
      <c r="A49" s="1" t="s">
        <v>569</v>
      </c>
      <c r="B49">
        <v>0.1</v>
      </c>
      <c r="D49">
        <v>-0.4</v>
      </c>
      <c r="Z49" s="54"/>
    </row>
    <row r="50" spans="1:26" x14ac:dyDescent="0.15">
      <c r="A50" s="1" t="s">
        <v>570</v>
      </c>
      <c r="B50" s="27">
        <f>B49-B48</f>
        <v>-5.3000000000000007</v>
      </c>
      <c r="C50" s="27"/>
      <c r="D50">
        <f>D49-D48</f>
        <v>-5.6000000000000005</v>
      </c>
      <c r="Z50" s="50"/>
    </row>
    <row r="51" spans="1:26" x14ac:dyDescent="0.15">
      <c r="Z51" s="50"/>
    </row>
    <row r="52" spans="1:26" x14ac:dyDescent="0.15">
      <c r="A52" s="1" t="s">
        <v>222</v>
      </c>
      <c r="B52" t="s">
        <v>31</v>
      </c>
      <c r="D52" t="s">
        <v>32</v>
      </c>
      <c r="F52" t="s">
        <v>33</v>
      </c>
      <c r="H52" t="s">
        <v>34</v>
      </c>
      <c r="J52" t="s">
        <v>35</v>
      </c>
      <c r="L52" t="s">
        <v>36</v>
      </c>
      <c r="N52" t="s">
        <v>37</v>
      </c>
      <c r="P52" t="s">
        <v>38</v>
      </c>
      <c r="R52" t="s">
        <v>39</v>
      </c>
      <c r="T52" t="s">
        <v>40</v>
      </c>
      <c r="V52" t="s">
        <v>41</v>
      </c>
      <c r="X52" t="s">
        <v>42</v>
      </c>
    </row>
    <row r="53" spans="1:26" x14ac:dyDescent="0.15">
      <c r="A53" s="1" t="s">
        <v>572</v>
      </c>
      <c r="B53">
        <v>4.9000000000000004</v>
      </c>
      <c r="D53">
        <v>5.3</v>
      </c>
      <c r="F53">
        <v>5.2</v>
      </c>
      <c r="H53">
        <v>5</v>
      </c>
      <c r="J53">
        <v>5</v>
      </c>
      <c r="L53">
        <v>5.0999999999999996</v>
      </c>
      <c r="N53">
        <v>5.3</v>
      </c>
      <c r="P53">
        <v>5.2</v>
      </c>
      <c r="R53">
        <v>5.2</v>
      </c>
      <c r="T53">
        <v>5.0999999999999996</v>
      </c>
      <c r="V53">
        <v>5.0999999999999996</v>
      </c>
      <c r="X53">
        <v>5.2</v>
      </c>
    </row>
    <row r="54" spans="1:26" x14ac:dyDescent="0.15">
      <c r="A54" s="1" t="s">
        <v>571</v>
      </c>
      <c r="D54">
        <v>5.3</v>
      </c>
      <c r="F54">
        <v>8.5</v>
      </c>
      <c r="H54">
        <v>5.4</v>
      </c>
      <c r="J54">
        <v>5</v>
      </c>
      <c r="L54">
        <v>6.3</v>
      </c>
      <c r="N54">
        <v>4.8</v>
      </c>
      <c r="P54">
        <v>4.4000000000000004</v>
      </c>
      <c r="R54">
        <v>5.8</v>
      </c>
      <c r="T54">
        <v>4.7</v>
      </c>
      <c r="V54">
        <v>6.2</v>
      </c>
      <c r="X54" s="6">
        <v>6.9</v>
      </c>
    </row>
    <row r="55" spans="1:26" x14ac:dyDescent="0.15">
      <c r="A55" s="1" t="s">
        <v>573</v>
      </c>
      <c r="D55">
        <v>6.1</v>
      </c>
      <c r="F55">
        <v>6.3</v>
      </c>
      <c r="H55">
        <v>6.1</v>
      </c>
      <c r="J55">
        <v>5.6</v>
      </c>
      <c r="L55">
        <v>5.8</v>
      </c>
      <c r="N55">
        <v>5.7</v>
      </c>
      <c r="P55">
        <v>5.5</v>
      </c>
      <c r="R55">
        <v>5.4</v>
      </c>
      <c r="T55">
        <v>5.2</v>
      </c>
      <c r="V55">
        <v>5.2</v>
      </c>
      <c r="X55">
        <v>5.4</v>
      </c>
    </row>
    <row r="56" spans="1:26" x14ac:dyDescent="0.15">
      <c r="A56" s="1" t="s">
        <v>574</v>
      </c>
      <c r="D56">
        <v>8.1999999999999993</v>
      </c>
      <c r="F56">
        <v>8.6999999999999993</v>
      </c>
      <c r="H56">
        <v>7.2</v>
      </c>
      <c r="J56">
        <v>8.6</v>
      </c>
      <c r="L56">
        <v>9.8000000000000007</v>
      </c>
      <c r="N56">
        <v>7.6</v>
      </c>
      <c r="P56">
        <v>7.5</v>
      </c>
      <c r="R56">
        <v>7.8</v>
      </c>
      <c r="T56">
        <v>7.2</v>
      </c>
      <c r="V56">
        <v>8</v>
      </c>
      <c r="X56">
        <v>8</v>
      </c>
    </row>
    <row r="57" spans="1:26" s="6" customFormat="1" x14ac:dyDescent="0.15"/>
    <row r="58" spans="1:26" s="34" customFormat="1" x14ac:dyDescent="0.15">
      <c r="A58" s="34" t="s">
        <v>575</v>
      </c>
      <c r="B58" s="34">
        <v>1</v>
      </c>
      <c r="D58" s="34">
        <v>2</v>
      </c>
      <c r="F58" s="34">
        <v>3</v>
      </c>
      <c r="H58" s="34">
        <v>4</v>
      </c>
      <c r="J58" s="34">
        <v>5</v>
      </c>
      <c r="L58" s="34">
        <v>6</v>
      </c>
      <c r="N58" s="34">
        <v>7</v>
      </c>
      <c r="P58" s="34">
        <v>8</v>
      </c>
      <c r="R58" s="34">
        <v>9</v>
      </c>
      <c r="T58" s="34">
        <v>10</v>
      </c>
      <c r="V58" s="34">
        <v>11</v>
      </c>
      <c r="X58" s="34">
        <v>12</v>
      </c>
    </row>
    <row r="59" spans="1:26" s="34" customFormat="1" x14ac:dyDescent="0.15">
      <c r="A59" s="35"/>
      <c r="D59" s="34">
        <v>6.1</v>
      </c>
      <c r="F59" s="34">
        <v>6.3</v>
      </c>
      <c r="H59" s="34">
        <v>6.1</v>
      </c>
      <c r="J59" s="34">
        <v>5.6</v>
      </c>
      <c r="L59" s="34">
        <v>5.8</v>
      </c>
      <c r="N59" s="34">
        <v>5.7</v>
      </c>
      <c r="P59" s="34">
        <v>5.5</v>
      </c>
      <c r="R59" s="34">
        <v>5.4</v>
      </c>
      <c r="T59" s="34">
        <v>5.2</v>
      </c>
      <c r="V59" s="34">
        <v>5.2</v>
      </c>
      <c r="X59" s="34">
        <v>5.4</v>
      </c>
    </row>
    <row r="60" spans="1:26" ht="16" x14ac:dyDescent="0.2">
      <c r="A60" s="1" t="s">
        <v>576</v>
      </c>
      <c r="D60" s="2">
        <v>-4.4000000000000004</v>
      </c>
      <c r="E60" s="2"/>
      <c r="F60" s="2">
        <v>-6.7</v>
      </c>
      <c r="G60" s="2"/>
      <c r="H60" s="2">
        <v>-6.3</v>
      </c>
      <c r="I60" s="2"/>
      <c r="J60">
        <v>-7.4</v>
      </c>
      <c r="K60" s="2"/>
      <c r="L60">
        <v>-7.4</v>
      </c>
      <c r="M60" s="2"/>
      <c r="N60" s="2">
        <v>-7.6</v>
      </c>
      <c r="O60" s="2"/>
      <c r="P60" s="2">
        <v>2.6</v>
      </c>
      <c r="Q60" s="2"/>
      <c r="R60" s="2">
        <v>-10.8</v>
      </c>
      <c r="S60" s="2"/>
      <c r="T60" s="2">
        <v>-10.1</v>
      </c>
      <c r="U60" s="2"/>
      <c r="V60" s="2">
        <v>-9.3000000000000007</v>
      </c>
      <c r="W60" s="2"/>
      <c r="X60">
        <v>-8.6999999999999993</v>
      </c>
      <c r="Y60" s="2"/>
    </row>
    <row r="61" spans="1:26" ht="16" x14ac:dyDescent="0.2">
      <c r="A61" s="1" t="s">
        <v>577</v>
      </c>
      <c r="D61" s="2">
        <v>3</v>
      </c>
      <c r="E61" s="2"/>
      <c r="F61" s="2">
        <v>4.4000000000000004</v>
      </c>
      <c r="G61" s="2"/>
      <c r="H61" s="2">
        <v>0.2</v>
      </c>
      <c r="I61" s="2"/>
      <c r="J61">
        <v>-1</v>
      </c>
      <c r="K61" s="2"/>
      <c r="L61">
        <v>0.4</v>
      </c>
      <c r="M61" s="2"/>
      <c r="N61" s="2">
        <v>-1.4</v>
      </c>
      <c r="O61" s="2"/>
      <c r="P61" s="2">
        <v>-9.4</v>
      </c>
      <c r="Q61" s="2"/>
      <c r="R61" s="2">
        <v>-3</v>
      </c>
      <c r="S61" s="2"/>
      <c r="T61" s="2">
        <v>-3.8</v>
      </c>
      <c r="U61" s="2"/>
      <c r="V61" s="2">
        <v>-4.8</v>
      </c>
      <c r="W61" s="2"/>
      <c r="X61">
        <v>-3.7</v>
      </c>
      <c r="Y61" s="2"/>
    </row>
    <row r="62" spans="1:26" ht="16" x14ac:dyDescent="0.2">
      <c r="A62" s="1" t="s">
        <v>578</v>
      </c>
      <c r="D62" s="2">
        <v>17.8</v>
      </c>
      <c r="E62" s="2"/>
      <c r="F62" s="2">
        <v>9</v>
      </c>
      <c r="G62" s="2"/>
      <c r="H62" s="2">
        <v>0.8</v>
      </c>
      <c r="I62" s="2"/>
      <c r="J62">
        <v>1.6</v>
      </c>
      <c r="K62" s="2"/>
      <c r="L62">
        <v>-0.3</v>
      </c>
      <c r="M62" s="2"/>
      <c r="N62" s="2">
        <v>-2.6</v>
      </c>
      <c r="O62" s="2"/>
      <c r="P62" s="2">
        <v>-2.2000000000000002</v>
      </c>
      <c r="Q62" s="2"/>
      <c r="R62" s="2">
        <v>-8.1999999999999993</v>
      </c>
      <c r="S62" s="2"/>
      <c r="T62" s="2">
        <v>-8.5</v>
      </c>
      <c r="U62" s="2"/>
      <c r="V62" s="2">
        <v>-8.6999999999999993</v>
      </c>
      <c r="W62" s="2"/>
      <c r="X62">
        <v>-8.9</v>
      </c>
      <c r="Y62" s="2"/>
    </row>
    <row r="63" spans="1:26" ht="16" x14ac:dyDescent="0.2">
      <c r="A63" s="1" t="s">
        <v>579</v>
      </c>
      <c r="D63" s="2">
        <v>8.1</v>
      </c>
      <c r="E63" s="2"/>
      <c r="F63" s="2">
        <v>11.3</v>
      </c>
      <c r="G63" s="2"/>
      <c r="H63" s="2">
        <v>5.5</v>
      </c>
      <c r="I63" s="2"/>
      <c r="J63">
        <v>7.4</v>
      </c>
      <c r="K63" s="2"/>
      <c r="L63">
        <v>9.3000000000000007</v>
      </c>
      <c r="M63" s="2"/>
      <c r="N63" s="2">
        <v>9.4</v>
      </c>
      <c r="O63" s="2"/>
      <c r="P63" s="2">
        <v>7.9</v>
      </c>
      <c r="Q63" s="2"/>
      <c r="R63" s="2">
        <v>7.6</v>
      </c>
      <c r="S63" s="2"/>
      <c r="T63" s="2">
        <v>6.6</v>
      </c>
      <c r="U63" s="2"/>
      <c r="V63" s="2">
        <v>4.5999999999999996</v>
      </c>
      <c r="W63" s="2"/>
      <c r="X63">
        <v>4.2</v>
      </c>
      <c r="Y63" s="2"/>
    </row>
    <row r="64" spans="1:26" ht="16" x14ac:dyDescent="0.2">
      <c r="A64" s="1" t="s">
        <v>580</v>
      </c>
      <c r="D64" s="2">
        <v>10.5</v>
      </c>
      <c r="E64" s="2"/>
      <c r="F64" s="2">
        <v>9.6999999999999993</v>
      </c>
      <c r="G64" s="2"/>
      <c r="H64" s="2">
        <v>10.4</v>
      </c>
      <c r="I64" s="2"/>
      <c r="J64">
        <v>8.1</v>
      </c>
      <c r="K64" s="2"/>
      <c r="L64">
        <v>8.4</v>
      </c>
      <c r="M64" s="2"/>
      <c r="N64" s="2">
        <v>6.9</v>
      </c>
      <c r="O64" s="2"/>
      <c r="P64" s="2">
        <v>7.4</v>
      </c>
      <c r="Q64" s="2"/>
      <c r="R64" s="2">
        <v>7</v>
      </c>
      <c r="S64" s="2"/>
      <c r="T64" s="2">
        <v>7.9</v>
      </c>
      <c r="U64" s="2"/>
      <c r="V64" s="2">
        <v>7.8</v>
      </c>
      <c r="W64" s="2"/>
      <c r="X64">
        <v>8.4</v>
      </c>
      <c r="Y64" s="2"/>
    </row>
    <row r="65" spans="1:25" ht="16" x14ac:dyDescent="0.2">
      <c r="A65" s="1" t="s">
        <v>581</v>
      </c>
      <c r="D65" s="2">
        <v>-10.6</v>
      </c>
      <c r="E65" s="2"/>
      <c r="F65" s="2">
        <v>-17.100000000000001</v>
      </c>
      <c r="G65" s="2"/>
      <c r="H65" s="2">
        <v>-11.7</v>
      </c>
      <c r="I65" s="2"/>
      <c r="J65">
        <v>-9.6999999999999993</v>
      </c>
      <c r="K65" s="2"/>
      <c r="L65">
        <v>-3.4</v>
      </c>
      <c r="M65" s="2"/>
      <c r="N65" s="2">
        <v>-3.8</v>
      </c>
      <c r="O65" s="2"/>
      <c r="P65" s="2">
        <v>-4.3</v>
      </c>
      <c r="Q65" s="2"/>
      <c r="R65" s="2">
        <v>-2.6</v>
      </c>
      <c r="S65" s="2"/>
      <c r="T65" s="2">
        <v>-1.3</v>
      </c>
      <c r="U65" s="2"/>
      <c r="V65" s="2">
        <v>-1.3</v>
      </c>
      <c r="W65" s="2"/>
      <c r="X65">
        <v>1.2</v>
      </c>
      <c r="Y65" s="2"/>
    </row>
    <row r="66" spans="1:25" ht="16" x14ac:dyDescent="0.2">
      <c r="A66" s="1" t="s">
        <v>582</v>
      </c>
      <c r="D66" s="2">
        <v>6.4</v>
      </c>
      <c r="E66" s="2"/>
      <c r="F66" s="2">
        <v>2.7</v>
      </c>
      <c r="G66" s="2"/>
      <c r="H66" s="2">
        <v>-6.1</v>
      </c>
      <c r="I66" s="2"/>
      <c r="J66">
        <v>-4.8</v>
      </c>
      <c r="K66" s="2"/>
      <c r="L66">
        <v>-5.2</v>
      </c>
      <c r="M66" s="2"/>
      <c r="N66" s="2">
        <v>-5.2</v>
      </c>
      <c r="O66" s="2"/>
      <c r="P66" s="2">
        <v>-3.5</v>
      </c>
      <c r="Q66" s="2"/>
      <c r="R66" s="2">
        <v>-4.5</v>
      </c>
      <c r="S66" s="2"/>
      <c r="T66" s="2">
        <v>-3.3</v>
      </c>
      <c r="U66" s="2"/>
      <c r="V66" s="2">
        <v>-3.8</v>
      </c>
      <c r="W66" s="2"/>
      <c r="X66">
        <v>-3.9</v>
      </c>
      <c r="Y66" s="2"/>
    </row>
    <row r="67" spans="1:25" ht="16" x14ac:dyDescent="0.2">
      <c r="A67" s="1" t="s">
        <v>583</v>
      </c>
      <c r="D67" s="2">
        <v>12.7</v>
      </c>
      <c r="E67" s="2"/>
      <c r="F67" s="2">
        <v>6.8</v>
      </c>
      <c r="G67" s="2"/>
      <c r="H67" s="2">
        <v>1.8</v>
      </c>
      <c r="I67" s="2"/>
      <c r="J67">
        <v>1.4</v>
      </c>
      <c r="K67" s="2"/>
      <c r="L67">
        <v>2.8</v>
      </c>
      <c r="M67" s="2"/>
      <c r="N67" s="2">
        <v>2.1</v>
      </c>
      <c r="O67" s="2"/>
      <c r="P67" s="2">
        <v>1.2</v>
      </c>
      <c r="Q67" s="2"/>
      <c r="R67" s="2">
        <v>1.6</v>
      </c>
      <c r="S67" s="2"/>
      <c r="T67" s="2">
        <v>0.9</v>
      </c>
      <c r="U67" s="2"/>
      <c r="V67" s="2">
        <v>1.4</v>
      </c>
      <c r="W67" s="2"/>
      <c r="X67">
        <v>2.2000000000000002</v>
      </c>
      <c r="Y67" s="2"/>
    </row>
    <row r="68" spans="1:25" ht="16" x14ac:dyDescent="0.2">
      <c r="A68" s="1" t="s">
        <v>584</v>
      </c>
      <c r="D68" s="2">
        <v>16.3</v>
      </c>
      <c r="E68" s="2"/>
      <c r="F68" s="2">
        <v>9.3000000000000007</v>
      </c>
      <c r="G68" s="2"/>
      <c r="H68" s="2">
        <v>8.1999999999999993</v>
      </c>
      <c r="I68" s="2"/>
      <c r="J68">
        <v>6.2</v>
      </c>
      <c r="K68" s="2"/>
      <c r="L68">
        <v>7.2</v>
      </c>
      <c r="M68" s="2"/>
      <c r="N68" s="2">
        <v>7.2</v>
      </c>
      <c r="O68" s="2"/>
      <c r="P68" s="2">
        <v>6.6</v>
      </c>
      <c r="Q68" s="2"/>
      <c r="R68" s="2">
        <v>8.6999999999999993</v>
      </c>
      <c r="S68" s="2"/>
      <c r="T68" s="2">
        <v>9.8000000000000007</v>
      </c>
      <c r="U68" s="2"/>
      <c r="V68" s="2">
        <v>9.5</v>
      </c>
      <c r="W68" s="2"/>
      <c r="X68">
        <v>9.6999999999999993</v>
      </c>
      <c r="Y68" s="2"/>
    </row>
    <row r="69" spans="1:25" ht="16" x14ac:dyDescent="0.2">
      <c r="A69" s="1" t="s">
        <v>585</v>
      </c>
      <c r="D69" s="2">
        <v>8.1</v>
      </c>
      <c r="E69" s="2"/>
      <c r="F69" s="2">
        <v>-1</v>
      </c>
      <c r="G69" s="2"/>
      <c r="H69" s="2">
        <v>-1.4</v>
      </c>
      <c r="I69" s="2"/>
      <c r="J69">
        <v>-0.1</v>
      </c>
      <c r="K69" s="2"/>
      <c r="L69">
        <v>0.2</v>
      </c>
      <c r="M69" s="2"/>
      <c r="N69" s="2">
        <v>1.8</v>
      </c>
      <c r="O69" s="2"/>
      <c r="P69" s="2">
        <v>1.5</v>
      </c>
      <c r="Q69" s="2"/>
      <c r="R69" s="2">
        <v>1.8</v>
      </c>
      <c r="S69" s="2"/>
      <c r="T69" s="2">
        <v>-0.3</v>
      </c>
      <c r="U69" s="2"/>
      <c r="V69" s="2">
        <v>-0.4</v>
      </c>
      <c r="W69" s="2"/>
      <c r="X69">
        <v>-1.5</v>
      </c>
      <c r="Y69" s="2"/>
    </row>
    <row r="70" spans="1:25" ht="16" x14ac:dyDescent="0.2">
      <c r="A70" s="1" t="s">
        <v>586</v>
      </c>
      <c r="D70" s="2">
        <v>-9.6999999999999993</v>
      </c>
      <c r="E70" s="2"/>
      <c r="F70" s="2">
        <v>-8.6999999999999993</v>
      </c>
      <c r="G70" s="2"/>
      <c r="H70" s="2">
        <v>-8.1999999999999993</v>
      </c>
      <c r="I70" s="2"/>
      <c r="J70">
        <v>-8.6</v>
      </c>
      <c r="K70" s="2"/>
      <c r="L70">
        <v>-10.5</v>
      </c>
      <c r="M70" s="2"/>
      <c r="N70" s="2">
        <v>-10.4</v>
      </c>
      <c r="O70" s="2"/>
      <c r="P70" s="2">
        <v>-10.7</v>
      </c>
      <c r="Q70" s="2"/>
      <c r="R70" s="2">
        <v>-8.3000000000000007</v>
      </c>
      <c r="S70" s="2"/>
      <c r="T70" s="2">
        <v>-5.9</v>
      </c>
      <c r="U70" s="2"/>
      <c r="V70" s="2">
        <v>-5.7</v>
      </c>
      <c r="W70" s="2"/>
      <c r="X70">
        <v>-2.5</v>
      </c>
      <c r="Y70" s="2"/>
    </row>
    <row r="71" spans="1:25" ht="16" x14ac:dyDescent="0.2">
      <c r="A71" s="1" t="s">
        <v>587</v>
      </c>
      <c r="D71" s="2">
        <v>-2.2000000000000002</v>
      </c>
      <c r="E71" s="2"/>
      <c r="F71" s="2">
        <v>-3.1</v>
      </c>
      <c r="G71" s="2"/>
      <c r="H71" s="2">
        <v>-6.5</v>
      </c>
      <c r="I71" s="2"/>
      <c r="J71">
        <v>-5.9</v>
      </c>
      <c r="K71" s="2"/>
      <c r="L71">
        <v>-8.1</v>
      </c>
      <c r="M71" s="2"/>
      <c r="N71" s="2">
        <v>-7.5</v>
      </c>
      <c r="O71" s="2"/>
      <c r="P71" s="2">
        <v>-8</v>
      </c>
      <c r="Q71" s="2"/>
      <c r="R71" s="2">
        <v>-7.6</v>
      </c>
      <c r="S71" s="2"/>
      <c r="T71" s="2">
        <v>-7.5</v>
      </c>
      <c r="U71" s="2"/>
      <c r="V71" s="2">
        <v>-6.8</v>
      </c>
      <c r="W71" s="2"/>
      <c r="X71">
        <v>-7.5</v>
      </c>
      <c r="Y71" s="2"/>
    </row>
    <row r="72" spans="1:25" ht="16" x14ac:dyDescent="0.2">
      <c r="A72" s="1" t="s">
        <v>588</v>
      </c>
      <c r="D72" s="2">
        <v>-2.6</v>
      </c>
      <c r="E72" s="2"/>
      <c r="F72" s="2">
        <v>5.5</v>
      </c>
      <c r="G72" s="2"/>
      <c r="H72" s="2">
        <v>6.7</v>
      </c>
      <c r="I72" s="2"/>
      <c r="J72">
        <v>6.2</v>
      </c>
      <c r="K72" s="2"/>
      <c r="L72">
        <v>8.5</v>
      </c>
      <c r="M72" s="2"/>
      <c r="N72" s="2">
        <v>10.5</v>
      </c>
      <c r="O72" s="2"/>
      <c r="P72" s="2">
        <v>11.1</v>
      </c>
      <c r="Q72" s="2"/>
      <c r="R72" s="2">
        <v>11.6</v>
      </c>
      <c r="S72" s="2"/>
      <c r="T72" s="2">
        <v>13.6</v>
      </c>
      <c r="U72" s="2"/>
      <c r="V72" s="2">
        <v>13.8</v>
      </c>
      <c r="W72" s="2"/>
      <c r="X72">
        <v>16.8</v>
      </c>
      <c r="Y72" s="2"/>
    </row>
    <row r="73" spans="1:25" ht="16" x14ac:dyDescent="0.2">
      <c r="A73" s="1" t="s">
        <v>589</v>
      </c>
      <c r="D73" s="2">
        <v>-1.4</v>
      </c>
      <c r="E73" s="2"/>
      <c r="F73" s="2">
        <v>0.7</v>
      </c>
      <c r="G73" s="2"/>
      <c r="H73" s="2">
        <v>0.5</v>
      </c>
      <c r="I73" s="2"/>
      <c r="J73">
        <v>0.8</v>
      </c>
      <c r="K73" s="2"/>
      <c r="L73">
        <v>-0.5</v>
      </c>
      <c r="M73" s="2"/>
      <c r="N73" s="2">
        <v>0</v>
      </c>
      <c r="O73" s="2"/>
      <c r="P73" s="2">
        <v>0.4</v>
      </c>
      <c r="Q73" s="2"/>
      <c r="R73" s="2">
        <v>0.4</v>
      </c>
      <c r="S73" s="2"/>
      <c r="T73" s="2">
        <v>1.9</v>
      </c>
      <c r="U73" s="2"/>
      <c r="V73" s="2">
        <v>3.6</v>
      </c>
      <c r="W73" s="2"/>
      <c r="X73">
        <v>4.5</v>
      </c>
      <c r="Y73" s="2"/>
    </row>
    <row r="74" spans="1:25" ht="16" x14ac:dyDescent="0.2">
      <c r="A74" s="1" t="s">
        <v>590</v>
      </c>
      <c r="D74" s="2">
        <v>16.100000000000001</v>
      </c>
      <c r="E74" s="2"/>
      <c r="F74" s="2">
        <v>22.7</v>
      </c>
      <c r="G74" s="2"/>
      <c r="H74" s="2">
        <v>22.7</v>
      </c>
      <c r="I74" s="2"/>
      <c r="J74">
        <v>20</v>
      </c>
      <c r="K74" s="2"/>
      <c r="L74">
        <v>22.1</v>
      </c>
      <c r="M74" s="2"/>
      <c r="N74" s="2">
        <v>15.8</v>
      </c>
      <c r="O74" s="2"/>
      <c r="P74" s="2">
        <v>15.1</v>
      </c>
      <c r="Q74" s="2"/>
      <c r="R74" s="2">
        <v>15.5</v>
      </c>
      <c r="S74" s="2"/>
      <c r="T74" s="2">
        <v>13.8</v>
      </c>
      <c r="U74" s="2"/>
      <c r="V74" s="2">
        <v>13.4</v>
      </c>
      <c r="W74" s="2"/>
      <c r="X74">
        <v>13.9</v>
      </c>
      <c r="Y74" s="2"/>
    </row>
    <row r="75" spans="1:25" ht="16" x14ac:dyDescent="0.2">
      <c r="A75" s="1" t="s">
        <v>591</v>
      </c>
      <c r="D75" s="2">
        <v>4.3</v>
      </c>
      <c r="E75" s="2"/>
      <c r="F75" s="2">
        <v>4.4000000000000004</v>
      </c>
      <c r="G75" s="2"/>
      <c r="H75" s="2">
        <v>4.4000000000000004</v>
      </c>
      <c r="I75" s="2"/>
      <c r="J75">
        <v>4</v>
      </c>
      <c r="K75" s="2"/>
      <c r="L75">
        <v>4.0999999999999996</v>
      </c>
      <c r="M75" s="2"/>
      <c r="N75" s="2">
        <v>3.8</v>
      </c>
      <c r="O75" s="2"/>
      <c r="P75" s="2">
        <v>4.2</v>
      </c>
      <c r="Q75" s="2"/>
      <c r="R75" s="2">
        <v>3.5</v>
      </c>
      <c r="S75" s="2"/>
      <c r="T75" s="2">
        <v>4.2</v>
      </c>
      <c r="U75" s="2"/>
      <c r="V75" s="2">
        <v>4</v>
      </c>
      <c r="W75" s="2"/>
      <c r="X75">
        <v>3.8</v>
      </c>
      <c r="Y75" s="2"/>
    </row>
    <row r="76" spans="1:25" ht="20" x14ac:dyDescent="0.2">
      <c r="A76" s="32"/>
      <c r="D76" s="2"/>
      <c r="E76" s="2"/>
      <c r="F76" s="2"/>
      <c r="G76" s="2"/>
      <c r="H76" s="2"/>
      <c r="I76" s="2"/>
      <c r="K76" s="2"/>
      <c r="M76" s="2"/>
      <c r="N76" s="2"/>
      <c r="O76" s="2"/>
      <c r="P76" s="2"/>
      <c r="Q76" s="2"/>
      <c r="R76" s="2"/>
      <c r="S76" s="2"/>
      <c r="T76" s="2"/>
      <c r="U76" s="2"/>
      <c r="V76" s="2"/>
      <c r="W76" s="2"/>
      <c r="Y76" s="2"/>
    </row>
    <row r="77" spans="1:25" x14ac:dyDescent="0.15">
      <c r="A77" s="1" t="s">
        <v>219</v>
      </c>
      <c r="B77" t="s">
        <v>31</v>
      </c>
      <c r="D77" t="s">
        <v>32</v>
      </c>
      <c r="F77" t="s">
        <v>33</v>
      </c>
      <c r="H77" t="s">
        <v>34</v>
      </c>
      <c r="J77" t="s">
        <v>35</v>
      </c>
      <c r="L77" t="s">
        <v>36</v>
      </c>
      <c r="N77" t="s">
        <v>37</v>
      </c>
      <c r="P77" t="s">
        <v>38</v>
      </c>
      <c r="R77" t="s">
        <v>39</v>
      </c>
      <c r="T77" t="s">
        <v>40</v>
      </c>
      <c r="V77" t="s">
        <v>41</v>
      </c>
      <c r="X77" t="s">
        <v>42</v>
      </c>
    </row>
    <row r="78" spans="1:25" x14ac:dyDescent="0.15">
      <c r="A78" s="1" t="s">
        <v>564</v>
      </c>
      <c r="R78">
        <v>4.2</v>
      </c>
      <c r="T78">
        <v>4.2</v>
      </c>
      <c r="V78">
        <v>4.1500000000000004</v>
      </c>
      <c r="X78">
        <v>4.1500000000000004</v>
      </c>
    </row>
    <row r="79" spans="1:25" x14ac:dyDescent="0.15">
      <c r="A79" s="1" t="s">
        <v>565</v>
      </c>
      <c r="R79">
        <v>4.8499999999999996</v>
      </c>
      <c r="T79">
        <v>4.8499999999999996</v>
      </c>
      <c r="V79">
        <v>4.8</v>
      </c>
      <c r="X79">
        <v>4.8</v>
      </c>
    </row>
    <row r="80" spans="1:25" x14ac:dyDescent="0.15">
      <c r="A80" s="1" t="s">
        <v>564</v>
      </c>
      <c r="B80">
        <v>4.1500000000000004</v>
      </c>
      <c r="D80">
        <v>4.05</v>
      </c>
      <c r="R80">
        <v>4.2</v>
      </c>
      <c r="T80">
        <v>4.2</v>
      </c>
      <c r="V80">
        <v>4.1500000000000004</v>
      </c>
      <c r="X80">
        <v>4.1500000000000004</v>
      </c>
    </row>
    <row r="81" spans="1:25" x14ac:dyDescent="0.15">
      <c r="A81" s="1" t="s">
        <v>565</v>
      </c>
      <c r="B81">
        <v>4.8</v>
      </c>
      <c r="D81">
        <v>4.75</v>
      </c>
      <c r="R81">
        <v>4.8499999999999996</v>
      </c>
      <c r="T81">
        <v>4.8499999999999996</v>
      </c>
      <c r="V81">
        <v>4.8</v>
      </c>
      <c r="X81">
        <v>4.8</v>
      </c>
    </row>
    <row r="82" spans="1:25" ht="33" x14ac:dyDescent="0.3">
      <c r="A82" s="33"/>
    </row>
    <row r="83" spans="1:25" s="34" customFormat="1" x14ac:dyDescent="0.15">
      <c r="A83" s="34" t="s">
        <v>592</v>
      </c>
      <c r="B83" s="34">
        <v>1</v>
      </c>
      <c r="D83" s="34">
        <v>2</v>
      </c>
      <c r="F83" s="34">
        <v>3</v>
      </c>
      <c r="H83" s="34">
        <v>4</v>
      </c>
      <c r="J83" s="34">
        <v>5</v>
      </c>
      <c r="L83" s="34">
        <v>6</v>
      </c>
      <c r="N83" s="34">
        <v>7</v>
      </c>
      <c r="P83" s="34">
        <v>8</v>
      </c>
      <c r="R83" s="34">
        <v>9</v>
      </c>
      <c r="T83" s="34">
        <v>10</v>
      </c>
      <c r="V83" s="34">
        <v>11</v>
      </c>
      <c r="X83" s="34">
        <v>12</v>
      </c>
    </row>
    <row r="84" spans="1:25" s="34" customFormat="1" x14ac:dyDescent="0.15">
      <c r="A84" s="35"/>
      <c r="D84" s="34">
        <v>5.3</v>
      </c>
      <c r="F84" s="34">
        <v>8.5</v>
      </c>
      <c r="H84" s="34">
        <v>5.4</v>
      </c>
      <c r="J84" s="34">
        <v>5</v>
      </c>
      <c r="L84" s="34">
        <v>6.3</v>
      </c>
      <c r="N84" s="34">
        <v>4.8</v>
      </c>
      <c r="P84" s="34">
        <v>4.4000000000000004</v>
      </c>
      <c r="R84" s="34">
        <v>5.8</v>
      </c>
      <c r="T84" s="34">
        <v>4.7</v>
      </c>
      <c r="V84" s="34">
        <v>6.2</v>
      </c>
      <c r="X84" s="34">
        <v>6.9</v>
      </c>
    </row>
    <row r="85" spans="1:25" ht="16" x14ac:dyDescent="0.2">
      <c r="A85" s="1" t="s">
        <v>593</v>
      </c>
      <c r="D85" s="2">
        <v>6.3</v>
      </c>
      <c r="E85" s="2"/>
      <c r="F85" s="2">
        <v>5.7</v>
      </c>
      <c r="G85" s="2"/>
      <c r="H85" s="2">
        <v>3.4</v>
      </c>
      <c r="I85" s="2"/>
      <c r="J85">
        <v>4.4000000000000004</v>
      </c>
      <c r="K85" s="2"/>
      <c r="L85">
        <v>2.5</v>
      </c>
      <c r="M85" s="2"/>
      <c r="N85" s="2">
        <v>1.5</v>
      </c>
      <c r="O85" s="2"/>
      <c r="P85" s="2">
        <v>0</v>
      </c>
      <c r="Q85" s="2"/>
      <c r="R85" s="2">
        <v>-1.2</v>
      </c>
      <c r="S85" s="2"/>
      <c r="T85" s="2">
        <v>-2.7</v>
      </c>
      <c r="U85" s="2"/>
      <c r="V85" s="2">
        <v>-0.6</v>
      </c>
      <c r="W85" s="2"/>
      <c r="X85">
        <v>-0.3</v>
      </c>
      <c r="Y85" s="2"/>
    </row>
    <row r="86" spans="1:25" ht="16" x14ac:dyDescent="0.2">
      <c r="A86" s="1" t="s">
        <v>594</v>
      </c>
      <c r="D86" s="2">
        <v>6</v>
      </c>
      <c r="E86" s="2"/>
      <c r="F86" s="2">
        <v>4.8</v>
      </c>
      <c r="G86" s="2"/>
      <c r="H86" s="2">
        <v>5.6</v>
      </c>
      <c r="I86" s="2"/>
      <c r="J86">
        <v>4.5999999999999996</v>
      </c>
      <c r="K86" s="2"/>
      <c r="L86">
        <v>6.7</v>
      </c>
      <c r="M86" s="2"/>
      <c r="N86" s="2">
        <v>7.3</v>
      </c>
      <c r="O86" s="2"/>
      <c r="P86" s="2">
        <v>5</v>
      </c>
      <c r="Q86" s="2"/>
      <c r="R86" s="2">
        <v>4.2</v>
      </c>
      <c r="S86" s="2"/>
      <c r="T86" s="2">
        <v>3.4</v>
      </c>
      <c r="U86" s="2"/>
      <c r="V86" s="2">
        <v>5.5</v>
      </c>
      <c r="W86" s="2"/>
      <c r="X86">
        <v>4.5999999999999996</v>
      </c>
      <c r="Y86" s="2"/>
    </row>
    <row r="87" spans="1:25" ht="16" x14ac:dyDescent="0.2">
      <c r="A87" s="1" t="s">
        <v>595</v>
      </c>
      <c r="D87" s="2">
        <v>0.2</v>
      </c>
      <c r="E87" s="2"/>
      <c r="F87" s="2">
        <v>9</v>
      </c>
      <c r="G87" s="2"/>
      <c r="H87" s="2">
        <v>-1.8</v>
      </c>
      <c r="I87" s="2"/>
      <c r="J87">
        <v>0.7</v>
      </c>
      <c r="K87" s="2"/>
      <c r="L87">
        <v>1.6</v>
      </c>
      <c r="M87" s="2"/>
      <c r="N87" s="2">
        <v>1.2</v>
      </c>
      <c r="O87" s="2"/>
      <c r="P87" s="2">
        <v>0.1</v>
      </c>
      <c r="Q87" s="2"/>
      <c r="R87" s="2">
        <v>0.6</v>
      </c>
      <c r="S87" s="2"/>
      <c r="T87" s="2">
        <v>-1.3</v>
      </c>
      <c r="U87" s="2"/>
      <c r="V87" s="2">
        <v>2.5</v>
      </c>
      <c r="W87" s="2"/>
      <c r="X87">
        <v>0.2</v>
      </c>
      <c r="Y87" s="2"/>
    </row>
    <row r="88" spans="1:25" ht="16" x14ac:dyDescent="0.2">
      <c r="A88" s="1" t="s">
        <v>596</v>
      </c>
      <c r="D88">
        <v>4.3</v>
      </c>
      <c r="F88">
        <v>7.1</v>
      </c>
      <c r="H88">
        <v>3.4</v>
      </c>
      <c r="J88">
        <v>3.5</v>
      </c>
      <c r="L88">
        <v>5.4</v>
      </c>
      <c r="N88" s="2">
        <v>3.8</v>
      </c>
      <c r="P88" s="2">
        <v>1.2</v>
      </c>
      <c r="R88" s="2">
        <v>3.3</v>
      </c>
      <c r="T88" s="2">
        <v>3</v>
      </c>
      <c r="V88" s="2">
        <v>7.9</v>
      </c>
      <c r="X88">
        <v>7.7</v>
      </c>
    </row>
    <row r="89" spans="1:25" ht="16" x14ac:dyDescent="0.2">
      <c r="A89" s="1" t="s">
        <v>597</v>
      </c>
      <c r="D89" s="2">
        <v>5.9</v>
      </c>
      <c r="E89" s="2"/>
      <c r="F89" s="2">
        <v>6.9</v>
      </c>
      <c r="G89" s="2"/>
      <c r="H89" s="2">
        <v>9.1</v>
      </c>
      <c r="I89" s="2"/>
      <c r="J89">
        <v>5.6</v>
      </c>
      <c r="K89" s="2"/>
      <c r="L89">
        <v>5.9</v>
      </c>
      <c r="M89" s="2"/>
      <c r="N89" s="2">
        <v>7.4</v>
      </c>
      <c r="O89" s="2"/>
      <c r="P89" s="2">
        <v>8.3000000000000007</v>
      </c>
      <c r="Q89" s="2"/>
      <c r="R89" s="2">
        <v>7.3</v>
      </c>
      <c r="S89" s="2"/>
      <c r="T89" s="2">
        <v>7.1</v>
      </c>
      <c r="U89" s="2"/>
      <c r="V89" s="2">
        <v>5.0999999999999996</v>
      </c>
      <c r="W89" s="2"/>
      <c r="X89">
        <v>5.3</v>
      </c>
      <c r="Y89" s="2"/>
    </row>
    <row r="90" spans="1:25" ht="16" x14ac:dyDescent="0.2">
      <c r="A90" s="1" t="s">
        <v>598</v>
      </c>
      <c r="D90" s="2">
        <v>8.8000000000000007</v>
      </c>
      <c r="E90" s="2"/>
      <c r="F90" s="2">
        <v>15.4</v>
      </c>
      <c r="G90" s="2"/>
      <c r="H90" s="2">
        <v>9.8000000000000007</v>
      </c>
      <c r="I90" s="2"/>
      <c r="J90">
        <v>9.9</v>
      </c>
      <c r="K90" s="2"/>
      <c r="L90">
        <v>9.5</v>
      </c>
      <c r="M90" s="2"/>
      <c r="N90" s="2">
        <v>8.6999999999999993</v>
      </c>
      <c r="O90" s="2"/>
      <c r="P90" s="2">
        <v>8.1</v>
      </c>
      <c r="Q90" s="2"/>
      <c r="R90" s="2">
        <v>7</v>
      </c>
      <c r="S90" s="2"/>
      <c r="T90" s="2">
        <v>4.0999999999999996</v>
      </c>
      <c r="U90" s="2"/>
      <c r="V90" s="2">
        <v>8.6</v>
      </c>
      <c r="W90" s="2"/>
      <c r="X90">
        <v>8.4</v>
      </c>
      <c r="Y90" s="2"/>
    </row>
    <row r="91" spans="1:25" ht="16" x14ac:dyDescent="0.2">
      <c r="A91" s="1" t="s">
        <v>599</v>
      </c>
      <c r="D91" s="2">
        <v>7.5</v>
      </c>
      <c r="E91" s="2"/>
      <c r="F91" s="2">
        <v>8.5</v>
      </c>
      <c r="G91" s="2"/>
      <c r="H91" s="2">
        <v>11.5</v>
      </c>
      <c r="I91" s="2"/>
      <c r="J91">
        <v>11.7</v>
      </c>
      <c r="K91" s="2"/>
      <c r="L91">
        <v>13.7</v>
      </c>
      <c r="M91" s="2"/>
      <c r="N91" s="2">
        <v>10</v>
      </c>
      <c r="O91" s="2"/>
      <c r="P91" s="2">
        <v>10.4</v>
      </c>
      <c r="Q91" s="2"/>
      <c r="R91" s="2">
        <v>9.5</v>
      </c>
      <c r="S91" s="2"/>
      <c r="T91" s="2">
        <v>6.3</v>
      </c>
      <c r="U91" s="2"/>
      <c r="V91" s="2">
        <v>10.7</v>
      </c>
      <c r="W91" s="2"/>
      <c r="X91">
        <v>10.7</v>
      </c>
      <c r="Y91" s="2"/>
    </row>
    <row r="92" spans="1:25" ht="16" x14ac:dyDescent="0.2">
      <c r="A92" s="1" t="s">
        <v>600</v>
      </c>
      <c r="D92" s="2">
        <v>9.3000000000000007</v>
      </c>
      <c r="E92" s="2"/>
      <c r="F92" s="2">
        <v>11.1</v>
      </c>
      <c r="G92" s="2"/>
      <c r="H92" s="2">
        <v>8.9</v>
      </c>
      <c r="I92" s="2"/>
      <c r="J92" s="2">
        <v>9.4</v>
      </c>
      <c r="K92" s="2"/>
      <c r="L92" s="2">
        <v>12.9</v>
      </c>
      <c r="M92" s="2"/>
      <c r="N92" s="2">
        <v>10.3</v>
      </c>
      <c r="O92" s="2"/>
      <c r="P92" s="2">
        <v>8.5</v>
      </c>
      <c r="Q92" s="2"/>
      <c r="R92" s="2">
        <v>7.7</v>
      </c>
      <c r="S92" s="2"/>
      <c r="T92" s="2">
        <v>9.1</v>
      </c>
      <c r="U92" s="2"/>
      <c r="V92" s="2">
        <v>6.4</v>
      </c>
      <c r="W92" s="2"/>
      <c r="X92">
        <v>5</v>
      </c>
      <c r="Y92" s="2"/>
    </row>
    <row r="93" spans="1:25" ht="16" x14ac:dyDescent="0.2">
      <c r="A93" s="1" t="s">
        <v>601</v>
      </c>
      <c r="D93" s="2">
        <v>8.5</v>
      </c>
      <c r="E93" s="2"/>
      <c r="F93" s="2">
        <v>14.6</v>
      </c>
      <c r="G93" s="2"/>
      <c r="H93" s="2">
        <v>3.3</v>
      </c>
      <c r="I93" s="2"/>
      <c r="J93" s="2">
        <v>6.5</v>
      </c>
      <c r="K93" s="2"/>
      <c r="L93" s="2">
        <v>5.7</v>
      </c>
      <c r="M93" s="2"/>
      <c r="N93" s="2">
        <v>4.2</v>
      </c>
      <c r="O93" s="2"/>
      <c r="P93" s="2">
        <v>0.9</v>
      </c>
      <c r="Q93" s="2"/>
      <c r="R93" s="2">
        <v>2.6</v>
      </c>
      <c r="S93" s="2"/>
      <c r="T93" s="2">
        <v>3.1</v>
      </c>
      <c r="U93" s="2"/>
      <c r="V93" s="2">
        <v>6</v>
      </c>
      <c r="W93" s="2"/>
      <c r="X93">
        <v>6.3</v>
      </c>
      <c r="Y93" s="2"/>
    </row>
    <row r="94" spans="1:25" ht="16" x14ac:dyDescent="0.2">
      <c r="A94" s="1" t="s">
        <v>602</v>
      </c>
      <c r="D94" s="2">
        <v>4.4000000000000004</v>
      </c>
      <c r="E94" s="2"/>
      <c r="F94">
        <v>14.1</v>
      </c>
      <c r="G94" s="2"/>
      <c r="H94">
        <v>2</v>
      </c>
      <c r="I94" s="2"/>
      <c r="J94">
        <v>2.5</v>
      </c>
      <c r="K94" s="2"/>
      <c r="L94">
        <v>2.6</v>
      </c>
      <c r="M94" s="2"/>
      <c r="N94">
        <v>0.7</v>
      </c>
      <c r="O94" s="2"/>
      <c r="P94">
        <v>0</v>
      </c>
      <c r="Q94" s="2"/>
      <c r="R94">
        <v>3.5</v>
      </c>
      <c r="S94" s="2"/>
      <c r="T94">
        <v>3.1</v>
      </c>
      <c r="U94" s="2"/>
      <c r="V94">
        <v>6.2</v>
      </c>
      <c r="W94" s="2"/>
      <c r="X94">
        <v>4.9000000000000004</v>
      </c>
      <c r="Y94" s="2"/>
    </row>
    <row r="95" spans="1:25" ht="16" x14ac:dyDescent="0.2">
      <c r="A95" s="1" t="s">
        <v>603</v>
      </c>
      <c r="D95" s="2">
        <v>10</v>
      </c>
      <c r="E95" s="2"/>
      <c r="F95">
        <v>16.399999999999999</v>
      </c>
      <c r="G95" s="2"/>
      <c r="H95">
        <v>2.8</v>
      </c>
      <c r="I95" s="2"/>
      <c r="J95">
        <v>4.9000000000000004</v>
      </c>
      <c r="K95" s="2"/>
      <c r="L95">
        <v>5.3</v>
      </c>
      <c r="M95" s="2"/>
      <c r="N95">
        <v>4</v>
      </c>
      <c r="O95" s="2"/>
      <c r="P95">
        <v>3.3</v>
      </c>
      <c r="Q95" s="2"/>
      <c r="R95">
        <v>7</v>
      </c>
      <c r="S95" s="2"/>
      <c r="T95">
        <v>5</v>
      </c>
      <c r="U95" s="2"/>
      <c r="V95">
        <v>7</v>
      </c>
      <c r="W95" s="2"/>
      <c r="X95">
        <v>6.5</v>
      </c>
      <c r="Y95" s="2"/>
    </row>
    <row r="96" spans="1:25" ht="16" x14ac:dyDescent="0.2">
      <c r="A96" s="1" t="s">
        <v>604</v>
      </c>
      <c r="D96" s="2">
        <v>-5.3</v>
      </c>
      <c r="E96" s="2"/>
      <c r="F96" s="2">
        <v>2.6</v>
      </c>
      <c r="G96" s="2"/>
      <c r="H96" s="2">
        <v>-1.1000000000000001</v>
      </c>
      <c r="I96" s="2"/>
      <c r="J96">
        <v>-4.7</v>
      </c>
      <c r="K96" s="2"/>
      <c r="L96">
        <v>-2.5</v>
      </c>
      <c r="M96" s="2"/>
      <c r="N96" s="2">
        <v>-4.4000000000000004</v>
      </c>
      <c r="O96" s="2"/>
      <c r="P96" s="2">
        <v>4.3</v>
      </c>
      <c r="Q96" s="2"/>
      <c r="R96" s="2">
        <v>0.5</v>
      </c>
      <c r="S96" s="2"/>
      <c r="T96" s="2">
        <v>4.9000000000000004</v>
      </c>
      <c r="U96" s="2"/>
      <c r="V96" s="2">
        <v>7.7</v>
      </c>
      <c r="W96" s="2"/>
      <c r="X96">
        <v>10.4</v>
      </c>
      <c r="Y96" s="2"/>
    </row>
    <row r="97" spans="1:25" ht="16" x14ac:dyDescent="0.2">
      <c r="A97" s="1" t="s">
        <v>605</v>
      </c>
      <c r="D97" s="2">
        <v>7.9</v>
      </c>
      <c r="E97" s="2"/>
      <c r="F97" s="2">
        <v>13.6</v>
      </c>
      <c r="G97" s="2"/>
      <c r="H97" s="2">
        <v>5.8</v>
      </c>
      <c r="I97" s="2"/>
      <c r="J97">
        <v>8.3000000000000007</v>
      </c>
      <c r="K97" s="2"/>
      <c r="L97">
        <v>14.5</v>
      </c>
      <c r="M97" s="2"/>
      <c r="N97" s="2">
        <v>15.7</v>
      </c>
      <c r="O97" s="2"/>
      <c r="P97" s="2">
        <v>7.8</v>
      </c>
      <c r="Q97" s="2"/>
      <c r="R97" s="2">
        <v>4.7</v>
      </c>
      <c r="S97" s="2"/>
      <c r="T97" s="2">
        <v>3</v>
      </c>
      <c r="U97" s="2"/>
      <c r="V97" s="2">
        <v>0.1</v>
      </c>
      <c r="W97" s="2"/>
      <c r="X97">
        <v>-2.5</v>
      </c>
      <c r="Y97" s="2"/>
    </row>
    <row r="98" spans="1:25" ht="16" x14ac:dyDescent="0.2">
      <c r="A98" s="1" t="s">
        <v>606</v>
      </c>
      <c r="D98" s="2">
        <v>8</v>
      </c>
      <c r="E98" s="2"/>
      <c r="F98" s="2">
        <v>15.2</v>
      </c>
      <c r="G98" s="2"/>
      <c r="H98" s="2">
        <v>7.1</v>
      </c>
      <c r="I98" s="2"/>
      <c r="J98">
        <v>8.8000000000000007</v>
      </c>
      <c r="K98" s="2"/>
      <c r="L98">
        <v>11.3</v>
      </c>
      <c r="M98" s="2"/>
      <c r="N98" s="2">
        <v>7.6</v>
      </c>
      <c r="O98" s="2"/>
      <c r="P98" s="2">
        <v>10</v>
      </c>
      <c r="Q98" s="2"/>
      <c r="R98" s="2">
        <v>12.1</v>
      </c>
      <c r="S98" s="2"/>
      <c r="T98" s="2">
        <v>10.7</v>
      </c>
      <c r="U98" s="2"/>
      <c r="V98" s="2">
        <v>12.6</v>
      </c>
      <c r="W98" s="2"/>
      <c r="X98">
        <v>12.4</v>
      </c>
      <c r="Y98" s="2"/>
    </row>
    <row r="99" spans="1:25" x14ac:dyDescent="0.15">
      <c r="A99" s="1" t="s">
        <v>607</v>
      </c>
      <c r="D99">
        <v>6</v>
      </c>
      <c r="F99">
        <v>10.199999999999999</v>
      </c>
      <c r="H99">
        <v>12.4</v>
      </c>
      <c r="J99">
        <v>10.6</v>
      </c>
      <c r="L99">
        <v>10.4</v>
      </c>
      <c r="N99">
        <v>6.1</v>
      </c>
      <c r="P99">
        <v>4.7</v>
      </c>
      <c r="R99">
        <v>11.4</v>
      </c>
      <c r="T99">
        <v>8.1999999999999993</v>
      </c>
      <c r="V99">
        <v>9.6999999999999993</v>
      </c>
      <c r="X99">
        <v>11.6</v>
      </c>
    </row>
    <row r="100" spans="1:25" ht="16" x14ac:dyDescent="0.2">
      <c r="A100" s="2" t="s">
        <v>608</v>
      </c>
      <c r="D100" s="2">
        <v>6.1</v>
      </c>
      <c r="E100" s="2"/>
      <c r="F100" s="2">
        <v>7.2</v>
      </c>
      <c r="G100" s="2"/>
      <c r="H100" s="2">
        <v>9.1</v>
      </c>
      <c r="I100" s="2"/>
      <c r="J100">
        <v>5</v>
      </c>
      <c r="K100" s="2"/>
      <c r="L100">
        <v>5.6</v>
      </c>
      <c r="M100" s="2"/>
      <c r="N100" s="2">
        <v>6.5</v>
      </c>
      <c r="O100" s="2"/>
      <c r="P100" s="2">
        <v>5.0999999999999996</v>
      </c>
      <c r="Q100" s="2"/>
      <c r="R100" s="2">
        <v>5.4</v>
      </c>
      <c r="S100" s="2"/>
      <c r="T100" s="2">
        <v>6.7</v>
      </c>
      <c r="U100" s="2"/>
      <c r="V100" s="2">
        <v>6.8</v>
      </c>
      <c r="W100" s="2"/>
      <c r="X100">
        <v>7</v>
      </c>
      <c r="Y100" s="2"/>
    </row>
    <row r="101" spans="1:25" ht="16" x14ac:dyDescent="0.2">
      <c r="A101" s="1"/>
      <c r="D101" s="2"/>
      <c r="E101" s="2"/>
      <c r="F101" s="2"/>
      <c r="G101" s="2"/>
      <c r="H101" s="2"/>
      <c r="I101" s="2"/>
      <c r="K101" s="2"/>
      <c r="M101" s="2"/>
      <c r="N101" s="2"/>
      <c r="O101" s="2"/>
      <c r="P101" s="2"/>
      <c r="Q101" s="2"/>
      <c r="R101" s="2"/>
      <c r="S101" s="2"/>
      <c r="T101" s="2"/>
      <c r="U101" s="2"/>
      <c r="V101" s="2"/>
      <c r="W101" s="2"/>
      <c r="Y101" s="2"/>
    </row>
    <row r="102" spans="1:25" s="34" customFormat="1" x14ac:dyDescent="0.15">
      <c r="A102" s="34" t="s">
        <v>215</v>
      </c>
      <c r="B102" s="34" t="s">
        <v>31</v>
      </c>
      <c r="D102" s="34" t="s">
        <v>32</v>
      </c>
      <c r="F102" s="34" t="s">
        <v>33</v>
      </c>
      <c r="H102" s="34" t="s">
        <v>34</v>
      </c>
      <c r="J102" s="34" t="s">
        <v>35</v>
      </c>
      <c r="L102" s="34" t="s">
        <v>36</v>
      </c>
      <c r="N102" s="34" t="s">
        <v>37</v>
      </c>
      <c r="P102" s="34" t="s">
        <v>38</v>
      </c>
      <c r="R102" s="34" t="s">
        <v>39</v>
      </c>
      <c r="T102" s="34" t="s">
        <v>40</v>
      </c>
      <c r="V102" s="34" t="s">
        <v>41</v>
      </c>
      <c r="X102" s="34" t="s">
        <v>42</v>
      </c>
    </row>
    <row r="103" spans="1:25" s="34" customFormat="1" x14ac:dyDescent="0.15">
      <c r="A103" s="35" t="s">
        <v>211</v>
      </c>
      <c r="D103" s="34">
        <v>100</v>
      </c>
      <c r="F103" s="34">
        <v>200</v>
      </c>
      <c r="H103" s="34">
        <v>300</v>
      </c>
      <c r="J103" s="34">
        <v>400</v>
      </c>
      <c r="L103" s="34">
        <v>500</v>
      </c>
      <c r="N103" s="34">
        <v>600</v>
      </c>
      <c r="P103" s="34">
        <v>700</v>
      </c>
      <c r="R103" s="34">
        <v>800</v>
      </c>
      <c r="T103" s="34">
        <v>900</v>
      </c>
      <c r="V103" s="34">
        <v>1000</v>
      </c>
      <c r="X103" s="34">
        <v>1100</v>
      </c>
    </row>
    <row r="104" spans="1:25" s="34" customFormat="1" x14ac:dyDescent="0.15">
      <c r="A104" s="34" t="s">
        <v>238</v>
      </c>
      <c r="D104" s="34">
        <v>-14</v>
      </c>
      <c r="F104" s="34">
        <v>13.9</v>
      </c>
      <c r="H104" s="34">
        <v>-3.7</v>
      </c>
      <c r="J104" s="34">
        <v>1.1000000000000001</v>
      </c>
      <c r="L104" s="34">
        <v>-3.1</v>
      </c>
      <c r="N104" s="34">
        <v>2.6</v>
      </c>
      <c r="P104" s="34">
        <v>-2</v>
      </c>
      <c r="R104" s="34">
        <v>-5.3</v>
      </c>
      <c r="T104" s="34">
        <v>-9.9</v>
      </c>
      <c r="V104" s="34">
        <v>5.4</v>
      </c>
      <c r="X104" s="34">
        <v>-6.3</v>
      </c>
    </row>
    <row r="105" spans="1:25" x14ac:dyDescent="0.15">
      <c r="A105" s="1" t="s">
        <v>609</v>
      </c>
      <c r="D105">
        <v>-21.6</v>
      </c>
      <c r="F105">
        <v>-7</v>
      </c>
      <c r="H105">
        <v>-15.3</v>
      </c>
      <c r="J105">
        <v>-13</v>
      </c>
      <c r="L105">
        <v>-7.9</v>
      </c>
      <c r="N105">
        <v>-6.3</v>
      </c>
      <c r="P105">
        <v>-2.7</v>
      </c>
      <c r="R105">
        <v>3.6</v>
      </c>
      <c r="T105">
        <v>6</v>
      </c>
      <c r="V105">
        <v>4.0999999999999996</v>
      </c>
      <c r="X105" s="6">
        <v>3.1</v>
      </c>
    </row>
    <row r="106" spans="1:25" x14ac:dyDescent="0.15">
      <c r="A106" s="1" t="s">
        <v>609</v>
      </c>
      <c r="D106">
        <v>78.400000000000006</v>
      </c>
      <c r="F106">
        <v>186</v>
      </c>
      <c r="H106">
        <v>254.1</v>
      </c>
      <c r="J106">
        <v>348</v>
      </c>
      <c r="L106">
        <v>460.5</v>
      </c>
      <c r="N106">
        <v>562.20000000000005</v>
      </c>
      <c r="P106">
        <v>681.1</v>
      </c>
      <c r="R106">
        <v>828.8</v>
      </c>
      <c r="T106">
        <v>954</v>
      </c>
      <c r="V106">
        <v>1041</v>
      </c>
      <c r="X106">
        <f>X103*(100+X105)/100</f>
        <v>1134.0999999999999</v>
      </c>
    </row>
    <row r="107" spans="1:25" x14ac:dyDescent="0.15">
      <c r="A107" t="s">
        <v>237</v>
      </c>
      <c r="D107">
        <v>78.400000000000006</v>
      </c>
      <c r="F107">
        <v>107.6</v>
      </c>
      <c r="H107">
        <v>68.099999999999994</v>
      </c>
      <c r="J107">
        <v>93.9</v>
      </c>
      <c r="L107">
        <v>112.5</v>
      </c>
      <c r="N107">
        <v>101.7</v>
      </c>
      <c r="P107">
        <v>118.9</v>
      </c>
      <c r="R107">
        <v>147.69999999999999</v>
      </c>
      <c r="T107">
        <v>125.2</v>
      </c>
      <c r="V107">
        <v>87</v>
      </c>
      <c r="X107">
        <f>X106-V106</f>
        <v>93.099999999999909</v>
      </c>
    </row>
    <row r="109" spans="1:25" ht="17" customHeight="1" x14ac:dyDescent="0.15">
      <c r="A109" s="1" t="s">
        <v>610</v>
      </c>
      <c r="D109" s="43">
        <v>5.2</v>
      </c>
      <c r="E109" s="43"/>
      <c r="F109" s="43">
        <v>8.6999999999999993</v>
      </c>
      <c r="G109" s="43"/>
      <c r="H109" s="43">
        <v>14.3</v>
      </c>
      <c r="I109" s="43"/>
      <c r="J109" s="43">
        <v>11.8</v>
      </c>
      <c r="K109" s="43"/>
      <c r="L109" s="43">
        <v>10.8</v>
      </c>
      <c r="M109" s="43"/>
      <c r="N109" s="43">
        <v>0.3</v>
      </c>
      <c r="O109" s="43"/>
      <c r="P109" s="43">
        <v>-2.7</v>
      </c>
      <c r="Q109" s="43"/>
      <c r="R109" s="43">
        <v>8</v>
      </c>
      <c r="S109" s="43"/>
      <c r="T109" s="43">
        <v>2.2000000000000002</v>
      </c>
      <c r="U109" s="43"/>
      <c r="V109" s="43">
        <v>5.4</v>
      </c>
      <c r="W109" s="43"/>
      <c r="Y109" s="43"/>
    </row>
    <row r="110" spans="1:25" x14ac:dyDescent="0.15">
      <c r="A110" s="1" t="s">
        <v>611</v>
      </c>
      <c r="D110">
        <v>4.5999999999999996</v>
      </c>
      <c r="F110">
        <v>7</v>
      </c>
      <c r="H110">
        <v>8.6999999999999993</v>
      </c>
      <c r="J110">
        <v>8.8000000000000007</v>
      </c>
      <c r="L110">
        <v>7.3</v>
      </c>
      <c r="N110">
        <v>6.8</v>
      </c>
      <c r="P110">
        <v>5.6</v>
      </c>
      <c r="R110">
        <v>5.6</v>
      </c>
      <c r="T110">
        <v>4.9000000000000004</v>
      </c>
      <c r="V110">
        <v>4.5</v>
      </c>
    </row>
    <row r="111" spans="1:25" x14ac:dyDescent="0.15">
      <c r="A111" t="s">
        <v>612</v>
      </c>
      <c r="D111" t="s">
        <v>272</v>
      </c>
      <c r="F111" t="s">
        <v>306</v>
      </c>
      <c r="H111" t="s">
        <v>275</v>
      </c>
      <c r="J111" t="s">
        <v>350</v>
      </c>
      <c r="L111" t="s">
        <v>307</v>
      </c>
      <c r="N111" t="s">
        <v>284</v>
      </c>
      <c r="P111" t="s">
        <v>285</v>
      </c>
      <c r="R111" t="s">
        <v>286</v>
      </c>
      <c r="T111" t="s">
        <v>287</v>
      </c>
      <c r="V111" t="s">
        <v>288</v>
      </c>
    </row>
    <row r="112" spans="1:25" x14ac:dyDescent="0.15">
      <c r="A112" t="s">
        <v>613</v>
      </c>
      <c r="D112" t="s">
        <v>271</v>
      </c>
      <c r="F112" t="s">
        <v>273</v>
      </c>
      <c r="H112" t="s">
        <v>276</v>
      </c>
      <c r="J112" t="s">
        <v>277</v>
      </c>
      <c r="L112" t="s">
        <v>278</v>
      </c>
      <c r="N112" t="s">
        <v>279</v>
      </c>
      <c r="P112" t="s">
        <v>280</v>
      </c>
      <c r="R112" t="s">
        <v>281</v>
      </c>
      <c r="T112" t="s">
        <v>282</v>
      </c>
      <c r="V112" t="s">
        <v>283</v>
      </c>
    </row>
    <row r="114" spans="1:25" x14ac:dyDescent="0.15">
      <c r="A114" s="1" t="s">
        <v>614</v>
      </c>
      <c r="D114" s="43">
        <v>6.5</v>
      </c>
      <c r="E114" s="43"/>
      <c r="F114" s="43">
        <v>19.600000000000001</v>
      </c>
      <c r="G114" s="43"/>
      <c r="H114" s="43">
        <v>17.3</v>
      </c>
      <c r="I114" s="43"/>
      <c r="J114" s="43">
        <v>16.5</v>
      </c>
      <c r="K114" s="43"/>
      <c r="L114" s="43">
        <v>14.6</v>
      </c>
      <c r="M114" s="43"/>
      <c r="N114" s="43">
        <v>14.4</v>
      </c>
      <c r="O114" s="43"/>
      <c r="P114" s="43">
        <v>14.3</v>
      </c>
      <c r="Q114" s="43"/>
      <c r="R114" s="43">
        <v>21</v>
      </c>
      <c r="S114" s="43"/>
      <c r="T114" s="43">
        <v>19.2</v>
      </c>
      <c r="U114" s="43"/>
      <c r="V114" s="43">
        <v>22.6</v>
      </c>
      <c r="W114" s="43"/>
      <c r="Y114" s="43"/>
    </row>
    <row r="115" spans="1:25" x14ac:dyDescent="0.15">
      <c r="A115" s="1" t="s">
        <v>615</v>
      </c>
      <c r="D115">
        <v>5.6</v>
      </c>
      <c r="F115">
        <v>0.5</v>
      </c>
      <c r="H115">
        <v>-0.4</v>
      </c>
      <c r="J115">
        <v>1</v>
      </c>
      <c r="L115">
        <v>1.4</v>
      </c>
      <c r="N115">
        <v>1.6</v>
      </c>
      <c r="P115">
        <v>1.1000000000000001</v>
      </c>
      <c r="R115">
        <v>1.3</v>
      </c>
      <c r="T115" s="43">
        <v>1</v>
      </c>
      <c r="V115">
        <v>1</v>
      </c>
    </row>
    <row r="116" spans="1:25" x14ac:dyDescent="0.15">
      <c r="A116" t="s">
        <v>616</v>
      </c>
      <c r="D116" t="s">
        <v>290</v>
      </c>
      <c r="F116" t="s">
        <v>308</v>
      </c>
      <c r="H116" t="s">
        <v>302</v>
      </c>
      <c r="J116" t="s">
        <v>309</v>
      </c>
      <c r="L116" t="s">
        <v>310</v>
      </c>
      <c r="N116" t="s">
        <v>311</v>
      </c>
      <c r="P116" t="s">
        <v>307</v>
      </c>
      <c r="R116" t="s">
        <v>303</v>
      </c>
      <c r="T116" t="s">
        <v>304</v>
      </c>
      <c r="V116" t="s">
        <v>305</v>
      </c>
    </row>
    <row r="117" spans="1:25" x14ac:dyDescent="0.15">
      <c r="A117" t="s">
        <v>617</v>
      </c>
      <c r="D117" t="s">
        <v>289</v>
      </c>
      <c r="F117" t="s">
        <v>291</v>
      </c>
      <c r="H117" t="s">
        <v>292</v>
      </c>
      <c r="J117" t="s">
        <v>293</v>
      </c>
      <c r="L117" t="s">
        <v>294</v>
      </c>
      <c r="N117" t="s">
        <v>295</v>
      </c>
      <c r="P117" t="s">
        <v>296</v>
      </c>
      <c r="R117" t="s">
        <v>297</v>
      </c>
      <c r="T117" t="s">
        <v>298</v>
      </c>
      <c r="V117" t="s">
        <v>299</v>
      </c>
    </row>
    <row r="119" spans="1:25" x14ac:dyDescent="0.15">
      <c r="A119" s="1" t="s">
        <v>618</v>
      </c>
      <c r="D119" s="43">
        <v>10.8</v>
      </c>
      <c r="E119" s="43"/>
      <c r="F119" s="43">
        <v>6.4</v>
      </c>
      <c r="G119" s="43"/>
      <c r="H119" s="43">
        <v>8.1</v>
      </c>
      <c r="I119" s="43"/>
      <c r="J119" s="43">
        <v>7.9</v>
      </c>
      <c r="K119" s="43"/>
      <c r="L119" s="43">
        <v>7</v>
      </c>
      <c r="M119" s="43"/>
      <c r="N119" s="43">
        <v>5.8</v>
      </c>
      <c r="O119" s="43"/>
      <c r="P119" s="43">
        <v>4.8</v>
      </c>
      <c r="Q119" s="43"/>
      <c r="R119" s="43">
        <v>7.6</v>
      </c>
      <c r="S119" s="43"/>
      <c r="T119" s="43">
        <v>6.5</v>
      </c>
      <c r="U119" s="43"/>
      <c r="V119" s="43">
        <v>11.4</v>
      </c>
      <c r="W119" s="43"/>
      <c r="Y119" s="43"/>
    </row>
    <row r="120" spans="1:25" x14ac:dyDescent="0.15">
      <c r="A120" s="1" t="s">
        <v>619</v>
      </c>
      <c r="D120">
        <v>8.8000000000000007</v>
      </c>
      <c r="F120">
        <v>11.8</v>
      </c>
      <c r="H120">
        <v>10.6</v>
      </c>
      <c r="J120">
        <v>11.5</v>
      </c>
      <c r="L120">
        <v>10.7</v>
      </c>
      <c r="N120">
        <v>10.199999999999999</v>
      </c>
      <c r="P120">
        <v>9.8000000000000007</v>
      </c>
      <c r="R120">
        <v>9.5</v>
      </c>
      <c r="T120" s="43">
        <v>8.3000000000000007</v>
      </c>
      <c r="V120">
        <v>9.1999999999999993</v>
      </c>
    </row>
    <row r="121" spans="1:25" x14ac:dyDescent="0.15">
      <c r="A121" t="s">
        <v>620</v>
      </c>
      <c r="D121" t="s">
        <v>312</v>
      </c>
      <c r="F121" t="s">
        <v>313</v>
      </c>
      <c r="H121" t="s">
        <v>314</v>
      </c>
      <c r="J121" t="s">
        <v>274</v>
      </c>
      <c r="L121" t="s">
        <v>315</v>
      </c>
      <c r="N121" t="s">
        <v>316</v>
      </c>
      <c r="P121" t="s">
        <v>317</v>
      </c>
      <c r="R121" t="s">
        <v>318</v>
      </c>
      <c r="T121" t="s">
        <v>319</v>
      </c>
      <c r="V121" t="s">
        <v>320</v>
      </c>
    </row>
    <row r="122" spans="1:25" x14ac:dyDescent="0.15">
      <c r="A122" t="s">
        <v>621</v>
      </c>
      <c r="D122" t="s">
        <v>321</v>
      </c>
      <c r="F122" t="s">
        <v>322</v>
      </c>
      <c r="H122" t="s">
        <v>323</v>
      </c>
      <c r="J122" t="s">
        <v>324</v>
      </c>
      <c r="L122" t="s">
        <v>325</v>
      </c>
      <c r="N122" t="s">
        <v>326</v>
      </c>
      <c r="P122" t="s">
        <v>327</v>
      </c>
      <c r="R122" t="s">
        <v>328</v>
      </c>
      <c r="T122" t="s">
        <v>329</v>
      </c>
      <c r="V122" t="s">
        <v>330</v>
      </c>
    </row>
    <row r="124" spans="1:25" x14ac:dyDescent="0.15">
      <c r="A124" s="1" t="s">
        <v>622</v>
      </c>
      <c r="D124" s="43">
        <v>2.4</v>
      </c>
      <c r="E124" s="43"/>
      <c r="F124" s="43">
        <v>2.2000000000000002</v>
      </c>
      <c r="G124" s="43"/>
      <c r="H124" s="43">
        <v>8.6</v>
      </c>
      <c r="I124" s="43"/>
      <c r="J124" s="43">
        <v>1.2</v>
      </c>
      <c r="K124" s="43"/>
      <c r="L124" s="43">
        <v>2.2999999999999998</v>
      </c>
      <c r="M124" s="43"/>
      <c r="N124" s="43">
        <v>2.2999999999999998</v>
      </c>
      <c r="O124" s="43"/>
      <c r="P124" s="43">
        <v>3.9</v>
      </c>
      <c r="Q124" s="43"/>
      <c r="R124" s="43">
        <v>5.3</v>
      </c>
      <c r="S124" s="43"/>
      <c r="T124" s="43">
        <v>7.8</v>
      </c>
      <c r="U124" s="43"/>
      <c r="V124" s="43">
        <v>2.1</v>
      </c>
      <c r="W124" s="43"/>
      <c r="Y124" s="43"/>
    </row>
    <row r="125" spans="1:25" x14ac:dyDescent="0.15">
      <c r="A125" s="1" t="s">
        <v>623</v>
      </c>
      <c r="D125">
        <v>5.3</v>
      </c>
      <c r="F125">
        <v>6.3</v>
      </c>
      <c r="H125">
        <v>5.6</v>
      </c>
      <c r="J125">
        <v>5.0999999999999996</v>
      </c>
      <c r="L125">
        <v>4.5999999999999996</v>
      </c>
      <c r="N125">
        <v>4.9000000000000004</v>
      </c>
      <c r="P125">
        <v>5.3</v>
      </c>
      <c r="R125">
        <v>4.8</v>
      </c>
      <c r="T125" s="43">
        <v>4.4000000000000004</v>
      </c>
      <c r="V125">
        <v>4</v>
      </c>
    </row>
    <row r="126" spans="1:25" x14ac:dyDescent="0.15">
      <c r="A126" t="s">
        <v>624</v>
      </c>
      <c r="D126" t="s">
        <v>332</v>
      </c>
      <c r="F126" t="s">
        <v>336</v>
      </c>
      <c r="H126" t="s">
        <v>340</v>
      </c>
      <c r="J126" t="s">
        <v>338</v>
      </c>
      <c r="L126" t="s">
        <v>343</v>
      </c>
      <c r="N126" t="s">
        <v>342</v>
      </c>
      <c r="P126" t="s">
        <v>345</v>
      </c>
      <c r="R126" t="s">
        <v>346</v>
      </c>
      <c r="T126" t="s">
        <v>351</v>
      </c>
      <c r="V126" t="s">
        <v>352</v>
      </c>
    </row>
    <row r="127" spans="1:25" x14ac:dyDescent="0.15">
      <c r="A127" t="s">
        <v>625</v>
      </c>
      <c r="D127" t="s">
        <v>333</v>
      </c>
      <c r="F127" t="s">
        <v>334</v>
      </c>
      <c r="H127" t="s">
        <v>335</v>
      </c>
      <c r="J127" t="s">
        <v>337</v>
      </c>
      <c r="L127" t="s">
        <v>339</v>
      </c>
      <c r="N127" t="s">
        <v>341</v>
      </c>
      <c r="P127" t="s">
        <v>344</v>
      </c>
      <c r="R127" t="s">
        <v>347</v>
      </c>
      <c r="T127" t="s">
        <v>348</v>
      </c>
      <c r="V127" t="s">
        <v>349</v>
      </c>
    </row>
    <row r="128" spans="1:25" x14ac:dyDescent="0.15">
      <c r="A128" s="1"/>
      <c r="D128" s="43"/>
      <c r="E128" s="43"/>
      <c r="F128" s="43"/>
      <c r="G128" s="43"/>
      <c r="H128" s="43"/>
      <c r="I128" s="43"/>
      <c r="J128" s="43"/>
      <c r="K128" s="43"/>
      <c r="L128" s="43"/>
      <c r="M128" s="43"/>
      <c r="N128" s="43"/>
      <c r="O128" s="43"/>
      <c r="P128" s="43"/>
      <c r="Q128" s="43"/>
      <c r="R128" s="43"/>
      <c r="S128" s="43"/>
      <c r="T128" s="43"/>
      <c r="U128" s="43"/>
      <c r="V128" s="43"/>
      <c r="W128" s="43"/>
      <c r="Y128" s="43"/>
    </row>
    <row r="129" spans="1:25" x14ac:dyDescent="0.15">
      <c r="A129" s="1" t="s">
        <v>626</v>
      </c>
      <c r="D129">
        <v>13.6</v>
      </c>
      <c r="F129">
        <v>14.4</v>
      </c>
      <c r="H129">
        <v>14.8</v>
      </c>
      <c r="J129">
        <v>14.7</v>
      </c>
      <c r="L129">
        <v>15</v>
      </c>
      <c r="N129">
        <v>15.1</v>
      </c>
      <c r="P129">
        <v>14.9</v>
      </c>
      <c r="R129">
        <v>15.2</v>
      </c>
      <c r="T129" s="43">
        <v>15.2</v>
      </c>
      <c r="V129">
        <v>15.5</v>
      </c>
    </row>
    <row r="130" spans="1:25" x14ac:dyDescent="0.15">
      <c r="A130" t="s">
        <v>627</v>
      </c>
      <c r="D130">
        <v>7</v>
      </c>
      <c r="F130">
        <v>13.3</v>
      </c>
      <c r="H130">
        <v>8.6999999999999993</v>
      </c>
      <c r="J130">
        <v>10.5</v>
      </c>
      <c r="L130">
        <v>9.9</v>
      </c>
      <c r="N130">
        <v>9.8000000000000007</v>
      </c>
      <c r="P130">
        <v>9.4</v>
      </c>
      <c r="R130">
        <v>10.8</v>
      </c>
      <c r="T130">
        <v>11.9</v>
      </c>
      <c r="V130">
        <v>11</v>
      </c>
    </row>
    <row r="131" spans="1:25" s="7" customFormat="1" x14ac:dyDescent="0.15">
      <c r="A131" s="7" t="s">
        <v>265</v>
      </c>
      <c r="F131" s="7" t="s">
        <v>0</v>
      </c>
      <c r="H131" s="7" t="s">
        <v>0</v>
      </c>
      <c r="J131" s="7" t="s">
        <v>0</v>
      </c>
      <c r="L131" s="7" t="s">
        <v>0</v>
      </c>
      <c r="N131" s="7" t="s">
        <v>1</v>
      </c>
      <c r="P131" s="7" t="s">
        <v>0</v>
      </c>
      <c r="R131" s="7" t="s">
        <v>0</v>
      </c>
      <c r="T131" s="7" t="s">
        <v>0</v>
      </c>
      <c r="V131" s="7" t="s">
        <v>0</v>
      </c>
      <c r="X131" s="7" t="s">
        <v>0</v>
      </c>
    </row>
    <row r="132" spans="1:25" x14ac:dyDescent="0.15">
      <c r="A132" s="1" t="s">
        <v>628</v>
      </c>
      <c r="D132">
        <v>13.6</v>
      </c>
      <c r="F132">
        <v>14.4</v>
      </c>
      <c r="H132">
        <v>14.8</v>
      </c>
      <c r="J132">
        <v>14.7</v>
      </c>
      <c r="L132">
        <v>15</v>
      </c>
      <c r="N132">
        <v>15.1</v>
      </c>
      <c r="P132">
        <v>14.9</v>
      </c>
      <c r="R132">
        <v>15.2</v>
      </c>
      <c r="T132" s="43">
        <v>15.2</v>
      </c>
      <c r="V132">
        <v>15.5</v>
      </c>
    </row>
    <row r="133" spans="1:25" x14ac:dyDescent="0.15">
      <c r="A133" t="s">
        <v>629</v>
      </c>
      <c r="D133">
        <v>7</v>
      </c>
      <c r="F133">
        <v>13.3</v>
      </c>
      <c r="H133">
        <v>8.6999999999999993</v>
      </c>
      <c r="J133">
        <v>10.5</v>
      </c>
      <c r="L133">
        <v>9.9</v>
      </c>
      <c r="N133">
        <v>9.8000000000000007</v>
      </c>
      <c r="P133">
        <v>9.4</v>
      </c>
      <c r="R133">
        <v>10.8</v>
      </c>
      <c r="T133">
        <v>11.9</v>
      </c>
      <c r="V133">
        <v>11</v>
      </c>
    </row>
    <row r="134" spans="1:25" s="7" customFormat="1" x14ac:dyDescent="0.15">
      <c r="A134" s="7" t="s">
        <v>265</v>
      </c>
      <c r="F134" s="7" t="s">
        <v>0</v>
      </c>
      <c r="H134" s="7" t="s">
        <v>0</v>
      </c>
      <c r="J134" s="7" t="s">
        <v>0</v>
      </c>
      <c r="L134" s="7" t="s">
        <v>0</v>
      </c>
      <c r="N134" s="7" t="s">
        <v>1</v>
      </c>
      <c r="P134" s="7" t="s">
        <v>0</v>
      </c>
      <c r="R134" s="7" t="s">
        <v>0</v>
      </c>
      <c r="T134" s="7" t="s">
        <v>0</v>
      </c>
      <c r="V134" s="7" t="s">
        <v>0</v>
      </c>
      <c r="X134" s="7" t="s">
        <v>0</v>
      </c>
    </row>
    <row r="135" spans="1:25" ht="17" x14ac:dyDescent="0.15">
      <c r="A135" s="17"/>
    </row>
    <row r="136" spans="1:25" ht="16" x14ac:dyDescent="0.2">
      <c r="A136" s="1" t="s">
        <v>630</v>
      </c>
      <c r="D136" s="2">
        <v>259.3</v>
      </c>
      <c r="E136" s="2"/>
      <c r="F136" s="2">
        <v>-25</v>
      </c>
      <c r="G136" s="2"/>
      <c r="H136" s="2">
        <v>-25.9</v>
      </c>
      <c r="I136" s="2"/>
      <c r="J136">
        <v>-27.2</v>
      </c>
      <c r="K136" s="2"/>
      <c r="L136">
        <v>-24.9</v>
      </c>
      <c r="M136" s="2"/>
      <c r="N136" s="2">
        <v>-23.2</v>
      </c>
      <c r="O136" s="2"/>
      <c r="P136" s="2">
        <v>-19</v>
      </c>
      <c r="Q136" s="2"/>
      <c r="R136" s="2">
        <v>-16.600000000000001</v>
      </c>
      <c r="S136" s="2"/>
      <c r="T136" s="2">
        <v>-14.7</v>
      </c>
      <c r="U136" s="2"/>
      <c r="V136" s="2">
        <v>13</v>
      </c>
      <c r="W136" s="2"/>
      <c r="Y136" s="2"/>
    </row>
    <row r="137" spans="1:25" ht="16" x14ac:dyDescent="0.2">
      <c r="A137" s="1" t="s">
        <v>631</v>
      </c>
      <c r="D137" s="2">
        <v>-42</v>
      </c>
      <c r="E137" s="2"/>
      <c r="F137" s="2">
        <v>-25</v>
      </c>
      <c r="G137" s="2"/>
      <c r="H137" s="2">
        <v>-25.9</v>
      </c>
      <c r="I137" s="2"/>
      <c r="J137">
        <v>-27.2</v>
      </c>
      <c r="K137" s="2"/>
      <c r="L137">
        <v>-24.9</v>
      </c>
      <c r="M137" s="2"/>
      <c r="N137" s="2">
        <v>-23.2</v>
      </c>
      <c r="O137" s="2"/>
      <c r="P137" s="2">
        <v>-19</v>
      </c>
      <c r="Q137" s="2"/>
      <c r="R137" s="2">
        <v>-16.600000000000001</v>
      </c>
      <c r="S137" s="2"/>
      <c r="T137" s="2">
        <v>-14.7</v>
      </c>
      <c r="U137" s="2"/>
      <c r="V137" s="2">
        <v>7.6</v>
      </c>
      <c r="W137" s="2"/>
      <c r="Y137" s="2"/>
    </row>
    <row r="139" spans="1:25" ht="16" x14ac:dyDescent="0.2">
      <c r="A139" s="1" t="s">
        <v>632</v>
      </c>
      <c r="D139" s="2">
        <v>-42</v>
      </c>
      <c r="E139" s="2"/>
      <c r="F139" s="2">
        <v>-25</v>
      </c>
      <c r="G139" s="2"/>
      <c r="H139" s="2">
        <v>-25.9</v>
      </c>
      <c r="I139" s="2"/>
      <c r="J139">
        <v>-27.2</v>
      </c>
      <c r="K139" s="2"/>
      <c r="L139">
        <v>-24.9</v>
      </c>
      <c r="M139" s="2"/>
      <c r="N139" s="2">
        <v>-23.2</v>
      </c>
      <c r="O139" s="2"/>
      <c r="P139" s="2">
        <v>-19</v>
      </c>
      <c r="Q139" s="2"/>
      <c r="R139" s="2">
        <v>-16.600000000000001</v>
      </c>
      <c r="S139" s="2"/>
      <c r="T139" s="2">
        <v>-14.7</v>
      </c>
      <c r="U139" s="2"/>
      <c r="V139" s="2">
        <v>-13.9</v>
      </c>
      <c r="W139" s="2"/>
      <c r="X139">
        <v>-15.9</v>
      </c>
      <c r="Y139" s="2"/>
    </row>
    <row r="140" spans="1:25" x14ac:dyDescent="0.15">
      <c r="A140" s="1" t="s">
        <v>7</v>
      </c>
      <c r="D140">
        <v>58</v>
      </c>
      <c r="F140">
        <v>150</v>
      </c>
      <c r="H140">
        <v>222.3</v>
      </c>
      <c r="J140">
        <v>291.2</v>
      </c>
      <c r="L140">
        <v>375.5</v>
      </c>
      <c r="N140">
        <v>460.8</v>
      </c>
      <c r="P140">
        <v>567</v>
      </c>
      <c r="R140">
        <v>667.2</v>
      </c>
      <c r="T140">
        <v>767.7</v>
      </c>
      <c r="V140">
        <v>861</v>
      </c>
      <c r="X140">
        <f>X103*(100+X139)/100</f>
        <v>925.1</v>
      </c>
    </row>
    <row r="141" spans="1:25" x14ac:dyDescent="0.15">
      <c r="A141" t="s">
        <v>237</v>
      </c>
      <c r="D141">
        <v>58</v>
      </c>
      <c r="F141">
        <v>92</v>
      </c>
      <c r="H141">
        <v>72.3</v>
      </c>
      <c r="J141">
        <v>68.900000000000006</v>
      </c>
      <c r="L141">
        <v>84.3</v>
      </c>
      <c r="N141">
        <v>85.3</v>
      </c>
      <c r="P141">
        <v>106.2</v>
      </c>
      <c r="R141">
        <v>100.2</v>
      </c>
      <c r="T141">
        <v>100.5</v>
      </c>
      <c r="V141">
        <v>93.3</v>
      </c>
      <c r="X141">
        <f>X140-V140</f>
        <v>64.100000000000023</v>
      </c>
    </row>
    <row r="142" spans="1:25" s="5" customFormat="1" x14ac:dyDescent="0.15">
      <c r="A142" s="5" t="s">
        <v>252</v>
      </c>
      <c r="F142" s="5" t="s">
        <v>0</v>
      </c>
      <c r="H142" s="5" t="s">
        <v>0</v>
      </c>
      <c r="J142" s="5" t="s">
        <v>0</v>
      </c>
      <c r="L142" s="5" t="s">
        <v>0</v>
      </c>
      <c r="N142" s="5" t="s">
        <v>1</v>
      </c>
      <c r="P142" s="5" t="s">
        <v>0</v>
      </c>
      <c r="R142" s="5" t="s">
        <v>0</v>
      </c>
      <c r="T142" s="5" t="s">
        <v>0</v>
      </c>
      <c r="V142" s="5" t="s">
        <v>0</v>
      </c>
      <c r="X142" s="5" t="s">
        <v>0</v>
      </c>
    </row>
    <row r="145" spans="1:25" ht="16" x14ac:dyDescent="0.2">
      <c r="A145" s="1" t="s">
        <v>579</v>
      </c>
      <c r="D145">
        <v>-27.3</v>
      </c>
      <c r="F145">
        <v>-17.8</v>
      </c>
      <c r="H145">
        <v>-16</v>
      </c>
      <c r="J145">
        <v>-13.6</v>
      </c>
      <c r="L145">
        <v>-13.8</v>
      </c>
      <c r="N145" s="2">
        <v>-11.6</v>
      </c>
      <c r="P145" s="2">
        <v>-13.1</v>
      </c>
      <c r="R145" s="2">
        <v>-13</v>
      </c>
      <c r="T145" s="2">
        <v>-25.3</v>
      </c>
      <c r="V145" s="2">
        <v>-23.3</v>
      </c>
      <c r="X145">
        <v>-25.6</v>
      </c>
    </row>
    <row r="146" spans="1:25" x14ac:dyDescent="0.15">
      <c r="A146" s="1" t="s">
        <v>579</v>
      </c>
      <c r="D146">
        <v>72.7</v>
      </c>
      <c r="F146">
        <v>164.4</v>
      </c>
      <c r="H146">
        <v>252</v>
      </c>
      <c r="J146">
        <v>345.6</v>
      </c>
      <c r="L146">
        <v>431</v>
      </c>
      <c r="N146">
        <v>536.4</v>
      </c>
      <c r="P146">
        <v>608.29999999999995</v>
      </c>
      <c r="R146">
        <v>696</v>
      </c>
      <c r="T146">
        <v>672.3</v>
      </c>
      <c r="V146">
        <v>767</v>
      </c>
      <c r="X146">
        <f>X103*(100+X145)/100</f>
        <v>818.4</v>
      </c>
    </row>
    <row r="147" spans="1:25" x14ac:dyDescent="0.15">
      <c r="A147" t="s">
        <v>2</v>
      </c>
      <c r="D147">
        <v>72.7</v>
      </c>
      <c r="F147">
        <v>91.7</v>
      </c>
      <c r="H147">
        <v>87.6</v>
      </c>
      <c r="J147">
        <v>93.6</v>
      </c>
      <c r="L147">
        <v>85.4</v>
      </c>
      <c r="N147">
        <v>105.4</v>
      </c>
      <c r="P147">
        <v>71.900000000000006</v>
      </c>
      <c r="R147">
        <v>87.7</v>
      </c>
      <c r="T147">
        <v>-23.7</v>
      </c>
      <c r="V147">
        <v>94.7</v>
      </c>
      <c r="X147">
        <f>X146-V146</f>
        <v>51.399999999999977</v>
      </c>
    </row>
    <row r="148" spans="1:25" s="3" customFormat="1" x14ac:dyDescent="0.15">
      <c r="A148" s="3" t="s">
        <v>4</v>
      </c>
      <c r="F148" s="3" t="s">
        <v>0</v>
      </c>
      <c r="H148" s="3" t="s">
        <v>0</v>
      </c>
      <c r="J148" s="3" t="s">
        <v>0</v>
      </c>
      <c r="L148" s="3" t="s">
        <v>0</v>
      </c>
      <c r="N148" s="3" t="s">
        <v>0</v>
      </c>
      <c r="P148" s="3" t="s">
        <v>0</v>
      </c>
      <c r="R148" s="3" t="s">
        <v>1</v>
      </c>
      <c r="T148" s="3" t="s">
        <v>0</v>
      </c>
      <c r="V148" s="3" t="s">
        <v>1</v>
      </c>
      <c r="X148" s="3" t="s">
        <v>0</v>
      </c>
    </row>
    <row r="149" spans="1:25" ht="16" x14ac:dyDescent="0.2">
      <c r="A149" s="8"/>
    </row>
    <row r="151" spans="1:25" ht="16" x14ac:dyDescent="0.2">
      <c r="A151" s="1" t="s">
        <v>633</v>
      </c>
      <c r="D151" s="2">
        <v>-59</v>
      </c>
      <c r="E151" s="2"/>
      <c r="F151" s="2">
        <v>-44.5</v>
      </c>
      <c r="G151" s="2"/>
      <c r="H151" s="2">
        <v>-28.1</v>
      </c>
      <c r="I151" s="2"/>
      <c r="J151">
        <v>-22.4</v>
      </c>
      <c r="K151" s="2"/>
      <c r="L151">
        <v>-21.8</v>
      </c>
      <c r="M151" s="2"/>
      <c r="N151" s="2">
        <v>-25.1</v>
      </c>
      <c r="O151" s="2"/>
      <c r="P151" s="2">
        <v>-31.3</v>
      </c>
      <c r="Q151" s="2"/>
      <c r="R151" s="2">
        <v>-41.8</v>
      </c>
      <c r="S151" s="2"/>
      <c r="T151" s="2">
        <v>-44.2</v>
      </c>
      <c r="U151" s="2"/>
      <c r="V151" s="2">
        <v>-42.3</v>
      </c>
      <c r="W151" s="2"/>
      <c r="X151">
        <v>-37.6</v>
      </c>
      <c r="Y151" s="2"/>
    </row>
    <row r="152" spans="1:25" x14ac:dyDescent="0.15">
      <c r="A152" s="1" t="s">
        <v>633</v>
      </c>
      <c r="D152">
        <v>41</v>
      </c>
      <c r="F152">
        <v>109</v>
      </c>
      <c r="H152">
        <v>215.7</v>
      </c>
      <c r="J152">
        <v>310.39999999999998</v>
      </c>
      <c r="L152">
        <v>391</v>
      </c>
      <c r="N152">
        <v>449.4</v>
      </c>
      <c r="P152">
        <v>480.9</v>
      </c>
      <c r="R152">
        <v>465.6</v>
      </c>
      <c r="T152">
        <v>502.2</v>
      </c>
      <c r="V152">
        <v>577</v>
      </c>
      <c r="X152">
        <f>X103*(100+X151)/100</f>
        <v>686.4</v>
      </c>
    </row>
    <row r="153" spans="1:25" x14ac:dyDescent="0.15">
      <c r="A153" t="s">
        <v>2</v>
      </c>
      <c r="D153">
        <v>41</v>
      </c>
      <c r="F153">
        <v>68</v>
      </c>
      <c r="H153">
        <v>106.7</v>
      </c>
      <c r="J153">
        <v>94.7</v>
      </c>
      <c r="L153">
        <v>80.599999999999994</v>
      </c>
      <c r="N153">
        <v>58</v>
      </c>
      <c r="P153">
        <v>31</v>
      </c>
      <c r="R153">
        <v>-15</v>
      </c>
      <c r="T153">
        <v>37</v>
      </c>
      <c r="V153">
        <v>75</v>
      </c>
      <c r="X153">
        <f>X152-V152</f>
        <v>109.39999999999998</v>
      </c>
    </row>
    <row r="154" spans="1:25" s="5" customFormat="1" x14ac:dyDescent="0.15">
      <c r="A154" s="5" t="s">
        <v>8</v>
      </c>
      <c r="F154" s="5" t="s">
        <v>0</v>
      </c>
      <c r="H154" s="5" t="s">
        <v>1</v>
      </c>
      <c r="J154" s="5" t="s">
        <v>0</v>
      </c>
      <c r="L154" s="5" t="s">
        <v>1</v>
      </c>
      <c r="N154" s="5" t="s">
        <v>1</v>
      </c>
      <c r="P154" s="5" t="s">
        <v>0</v>
      </c>
      <c r="R154" s="5" t="s">
        <v>1</v>
      </c>
      <c r="T154" s="5" t="s">
        <v>0</v>
      </c>
      <c r="V154" s="5" t="s">
        <v>1</v>
      </c>
      <c r="X154" s="5" t="s">
        <v>0</v>
      </c>
    </row>
    <row r="157" spans="1:25" ht="16" x14ac:dyDescent="0.2">
      <c r="A157" s="1" t="s">
        <v>634</v>
      </c>
      <c r="D157" s="2">
        <v>-34.5</v>
      </c>
      <c r="E157" s="2"/>
      <c r="F157" s="2">
        <v>-12.6</v>
      </c>
      <c r="G157" s="2"/>
      <c r="H157" s="2">
        <v>-6.6</v>
      </c>
      <c r="I157" s="2"/>
      <c r="J157" s="2">
        <v>2.6</v>
      </c>
      <c r="K157" s="2"/>
      <c r="L157" s="2">
        <v>3.1</v>
      </c>
      <c r="M157" s="2"/>
      <c r="N157" s="2">
        <v>6</v>
      </c>
      <c r="O157" s="2"/>
      <c r="P157" s="2">
        <v>9.6999999999999993</v>
      </c>
      <c r="Q157" s="2"/>
      <c r="R157" s="2">
        <v>8.1</v>
      </c>
      <c r="S157" s="2"/>
      <c r="T157" s="2">
        <v>5.4</v>
      </c>
      <c r="U157" s="2"/>
      <c r="V157" s="2">
        <v>8.6999999999999993</v>
      </c>
      <c r="W157" s="2"/>
      <c r="X157">
        <v>1.2</v>
      </c>
      <c r="Y157" s="2"/>
    </row>
    <row r="158" spans="1:25" x14ac:dyDescent="0.15">
      <c r="A158" s="1" t="s">
        <v>634</v>
      </c>
      <c r="D158">
        <v>65.5</v>
      </c>
      <c r="F158">
        <v>174.8</v>
      </c>
      <c r="H158">
        <v>280.2</v>
      </c>
      <c r="J158">
        <v>410.4</v>
      </c>
      <c r="L158">
        <v>515.5</v>
      </c>
      <c r="N158">
        <v>636</v>
      </c>
      <c r="P158">
        <v>768.6</v>
      </c>
      <c r="R158">
        <v>840.8</v>
      </c>
      <c r="T158">
        <v>948.6</v>
      </c>
      <c r="V158">
        <v>1087</v>
      </c>
      <c r="X158">
        <f>X103*(100+X157)/100</f>
        <v>1113.2</v>
      </c>
    </row>
    <row r="159" spans="1:25" x14ac:dyDescent="0.15">
      <c r="A159" t="s">
        <v>2</v>
      </c>
      <c r="D159">
        <v>65.5</v>
      </c>
      <c r="F159">
        <v>109.3</v>
      </c>
      <c r="H159">
        <v>105.4</v>
      </c>
      <c r="J159">
        <v>130.19999999999999</v>
      </c>
      <c r="L159">
        <v>105.1</v>
      </c>
      <c r="N159">
        <v>120.5</v>
      </c>
      <c r="P159">
        <v>132.6</v>
      </c>
      <c r="R159">
        <v>72.2</v>
      </c>
      <c r="T159">
        <v>107.8</v>
      </c>
      <c r="V159">
        <v>138.4</v>
      </c>
      <c r="X159">
        <f>X158-V158</f>
        <v>26.200000000000045</v>
      </c>
    </row>
    <row r="160" spans="1:25" s="4" customFormat="1" x14ac:dyDescent="0.15">
      <c r="A160" s="4" t="s">
        <v>14</v>
      </c>
      <c r="F160" s="4" t="s">
        <v>0</v>
      </c>
      <c r="H160" s="4" t="s">
        <v>1</v>
      </c>
      <c r="J160" s="4" t="s">
        <v>0</v>
      </c>
      <c r="L160" s="4" t="s">
        <v>1</v>
      </c>
      <c r="N160" s="4" t="s">
        <v>1</v>
      </c>
      <c r="P160" s="4" t="s">
        <v>0</v>
      </c>
      <c r="R160" s="4" t="s">
        <v>1</v>
      </c>
      <c r="T160" s="4" t="s">
        <v>0</v>
      </c>
      <c r="V160" s="4" t="s">
        <v>1</v>
      </c>
      <c r="X160" s="4" t="s">
        <v>0</v>
      </c>
    </row>
    <row r="163" spans="1:25" ht="16" x14ac:dyDescent="0.2">
      <c r="A163" s="1" t="s">
        <v>635</v>
      </c>
      <c r="D163" s="2">
        <v>3.1</v>
      </c>
      <c r="E163" s="2"/>
      <c r="F163" s="2">
        <v>13.6</v>
      </c>
      <c r="G163" s="2"/>
      <c r="H163" s="2">
        <v>12.6</v>
      </c>
      <c r="I163" s="2"/>
      <c r="J163">
        <v>12.9</v>
      </c>
      <c r="K163" s="2"/>
      <c r="L163">
        <v>11.9</v>
      </c>
      <c r="M163" s="2"/>
      <c r="N163" s="2">
        <v>10.8</v>
      </c>
      <c r="O163" s="2"/>
      <c r="P163" s="2">
        <v>11.1</v>
      </c>
      <c r="Q163" s="2"/>
      <c r="R163" s="2">
        <v>11.8</v>
      </c>
      <c r="S163" s="2"/>
      <c r="T163" s="2">
        <v>10.9</v>
      </c>
      <c r="U163" s="2"/>
      <c r="V163" s="2">
        <v>10.7</v>
      </c>
      <c r="W163" s="2"/>
      <c r="X163">
        <v>7.5</v>
      </c>
      <c r="Y163" s="2"/>
    </row>
    <row r="164" spans="1:25" x14ac:dyDescent="0.15">
      <c r="A164" s="1" t="s">
        <v>635</v>
      </c>
      <c r="D164">
        <v>103.1</v>
      </c>
      <c r="F164" s="1">
        <v>227.2</v>
      </c>
      <c r="H164">
        <v>337.8</v>
      </c>
      <c r="J164">
        <v>471.6</v>
      </c>
      <c r="L164">
        <v>584.5</v>
      </c>
      <c r="N164">
        <v>705</v>
      </c>
      <c r="P164">
        <v>823.2</v>
      </c>
      <c r="R164">
        <v>937.6</v>
      </c>
      <c r="T164">
        <v>1058.4000000000001</v>
      </c>
      <c r="V164">
        <v>1174</v>
      </c>
      <c r="X164">
        <f>X103*(100+X163)/100</f>
        <v>1182.5</v>
      </c>
    </row>
    <row r="165" spans="1:25" x14ac:dyDescent="0.15">
      <c r="A165" t="s">
        <v>2</v>
      </c>
      <c r="D165">
        <v>103.1</v>
      </c>
      <c r="F165">
        <v>124.1</v>
      </c>
      <c r="H165">
        <v>110.6</v>
      </c>
      <c r="J165">
        <v>117.3</v>
      </c>
      <c r="L165">
        <v>112.9</v>
      </c>
      <c r="N165">
        <v>120.5</v>
      </c>
      <c r="P165">
        <v>118.2</v>
      </c>
      <c r="R165">
        <v>114.4</v>
      </c>
      <c r="T165">
        <v>120.8</v>
      </c>
      <c r="V165">
        <v>115.6</v>
      </c>
      <c r="X165">
        <f>X164-V164</f>
        <v>8.5</v>
      </c>
    </row>
    <row r="166" spans="1:25" s="5" customFormat="1" x14ac:dyDescent="0.15">
      <c r="A166" s="5" t="s">
        <v>11</v>
      </c>
      <c r="F166" s="5" t="s">
        <v>0</v>
      </c>
      <c r="H166" s="5" t="s">
        <v>0</v>
      </c>
      <c r="J166" s="5" t="s">
        <v>0</v>
      </c>
      <c r="L166" s="5" t="s">
        <v>10</v>
      </c>
      <c r="N166" s="5" t="s">
        <v>1</v>
      </c>
      <c r="P166" s="5" t="s">
        <v>0</v>
      </c>
      <c r="R166" s="5" t="s">
        <v>1</v>
      </c>
      <c r="T166" s="5" t="s">
        <v>1</v>
      </c>
      <c r="V166" s="5" t="s">
        <v>1</v>
      </c>
      <c r="X166" s="5" t="s">
        <v>1</v>
      </c>
    </row>
    <row r="169" spans="1:25" ht="16" x14ac:dyDescent="0.2">
      <c r="A169" s="1" t="s">
        <v>636</v>
      </c>
      <c r="D169" s="2">
        <v>14</v>
      </c>
      <c r="E169" s="2"/>
      <c r="F169">
        <v>32.799999999999997</v>
      </c>
      <c r="G169" s="2"/>
      <c r="H169">
        <v>17.899999999999999</v>
      </c>
      <c r="I169" s="2"/>
      <c r="J169">
        <v>17.7</v>
      </c>
      <c r="K169" s="2"/>
      <c r="L169">
        <v>16.600000000000001</v>
      </c>
      <c r="M169" s="2"/>
      <c r="N169">
        <v>14.3</v>
      </c>
      <c r="O169" s="2"/>
      <c r="P169">
        <v>13.3</v>
      </c>
      <c r="Q169" s="2"/>
      <c r="R169">
        <v>12.9</v>
      </c>
      <c r="S169" s="2"/>
      <c r="T169">
        <v>12</v>
      </c>
      <c r="U169" s="2"/>
      <c r="V169">
        <v>13.6</v>
      </c>
      <c r="W169" s="2"/>
      <c r="X169">
        <v>12.9</v>
      </c>
      <c r="Y169" s="2"/>
    </row>
    <row r="170" spans="1:25" x14ac:dyDescent="0.15">
      <c r="A170" s="1" t="s">
        <v>636</v>
      </c>
      <c r="D170">
        <v>114</v>
      </c>
      <c r="F170">
        <v>265.60000000000002</v>
      </c>
      <c r="H170">
        <v>353.7</v>
      </c>
      <c r="J170">
        <v>468.4</v>
      </c>
      <c r="L170">
        <v>583</v>
      </c>
      <c r="N170">
        <v>685.8</v>
      </c>
      <c r="P170">
        <v>793.1</v>
      </c>
      <c r="R170">
        <v>903.2</v>
      </c>
      <c r="T170">
        <v>1008</v>
      </c>
      <c r="V170">
        <v>1136</v>
      </c>
      <c r="X170">
        <f>X103*(100+X169)/100</f>
        <v>1241.9000000000001</v>
      </c>
    </row>
    <row r="171" spans="1:25" x14ac:dyDescent="0.15">
      <c r="A171" t="s">
        <v>2</v>
      </c>
      <c r="D171">
        <v>114</v>
      </c>
      <c r="F171">
        <v>151.6</v>
      </c>
      <c r="H171">
        <v>88.1</v>
      </c>
      <c r="J171">
        <v>114.7</v>
      </c>
      <c r="L171">
        <v>114.6</v>
      </c>
      <c r="N171">
        <v>102.8</v>
      </c>
      <c r="P171">
        <v>107.3</v>
      </c>
      <c r="R171">
        <v>110.1</v>
      </c>
      <c r="T171">
        <v>104.8</v>
      </c>
      <c r="V171">
        <v>128</v>
      </c>
      <c r="X171">
        <f>X170-V170</f>
        <v>105.90000000000009</v>
      </c>
    </row>
    <row r="172" spans="1:25" s="4" customFormat="1" x14ac:dyDescent="0.15">
      <c r="A172" s="4" t="s">
        <v>5</v>
      </c>
      <c r="F172" s="4" t="s">
        <v>0</v>
      </c>
      <c r="H172" s="4" t="s">
        <v>0</v>
      </c>
      <c r="J172" s="4" t="s">
        <v>0</v>
      </c>
      <c r="L172" s="4" t="s">
        <v>0</v>
      </c>
      <c r="N172" s="4" t="s">
        <v>1</v>
      </c>
      <c r="P172" s="4" t="s">
        <v>0</v>
      </c>
      <c r="R172" s="4" t="s">
        <v>0</v>
      </c>
      <c r="T172" s="4" t="s">
        <v>1</v>
      </c>
      <c r="V172" s="4" t="s">
        <v>1</v>
      </c>
      <c r="X172" s="4" t="s">
        <v>0</v>
      </c>
    </row>
    <row r="178" spans="1:25" s="34" customFormat="1" x14ac:dyDescent="0.15">
      <c r="A178" s="34" t="s">
        <v>215</v>
      </c>
      <c r="B178" s="34" t="s">
        <v>31</v>
      </c>
      <c r="D178" s="34" t="s">
        <v>32</v>
      </c>
      <c r="F178" s="34" t="s">
        <v>33</v>
      </c>
      <c r="H178" s="34" t="s">
        <v>34</v>
      </c>
      <c r="J178" s="34" t="s">
        <v>35</v>
      </c>
      <c r="L178" s="34" t="s">
        <v>36</v>
      </c>
      <c r="N178" s="34" t="s">
        <v>37</v>
      </c>
      <c r="P178" s="34" t="s">
        <v>38</v>
      </c>
      <c r="R178" s="34" t="s">
        <v>39</v>
      </c>
      <c r="T178" s="34" t="s">
        <v>40</v>
      </c>
      <c r="V178" s="34" t="s">
        <v>41</v>
      </c>
      <c r="X178" s="34" t="s">
        <v>42</v>
      </c>
    </row>
    <row r="179" spans="1:25" s="34" customFormat="1" x14ac:dyDescent="0.15">
      <c r="A179" s="35" t="s">
        <v>211</v>
      </c>
      <c r="D179" s="34">
        <v>100</v>
      </c>
      <c r="F179" s="34">
        <v>200</v>
      </c>
      <c r="H179" s="34">
        <v>300</v>
      </c>
      <c r="J179" s="34">
        <v>400</v>
      </c>
      <c r="L179" s="34">
        <v>500</v>
      </c>
      <c r="N179" s="34">
        <v>600</v>
      </c>
      <c r="P179" s="34">
        <v>700</v>
      </c>
      <c r="R179" s="34">
        <v>800</v>
      </c>
      <c r="T179" s="34">
        <v>900</v>
      </c>
      <c r="V179" s="34">
        <v>1000</v>
      </c>
      <c r="X179" s="34">
        <v>1100</v>
      </c>
    </row>
    <row r="180" spans="1:25" s="34" customFormat="1" x14ac:dyDescent="0.15">
      <c r="A180" s="34" t="s">
        <v>238</v>
      </c>
      <c r="D180" s="34">
        <v>-14</v>
      </c>
      <c r="F180" s="34">
        <v>13.9</v>
      </c>
      <c r="H180" s="34">
        <v>-3.7</v>
      </c>
      <c r="J180" s="34">
        <v>1.1000000000000001</v>
      </c>
      <c r="L180" s="34">
        <v>-3.1</v>
      </c>
      <c r="N180" s="34">
        <v>2.6</v>
      </c>
      <c r="P180" s="34">
        <v>-2</v>
      </c>
      <c r="R180" s="34">
        <v>-5.3</v>
      </c>
      <c r="T180" s="34">
        <v>-9.9</v>
      </c>
      <c r="V180" s="34">
        <v>5.4</v>
      </c>
    </row>
    <row r="181" spans="1:25" x14ac:dyDescent="0.15">
      <c r="A181" s="1"/>
    </row>
    <row r="183" spans="1:25" ht="16" x14ac:dyDescent="0.2">
      <c r="A183" s="1" t="s">
        <v>637</v>
      </c>
      <c r="D183" s="2">
        <v>-5.5</v>
      </c>
      <c r="E183" s="2"/>
      <c r="F183" s="2">
        <v>-4.7</v>
      </c>
      <c r="G183" s="2"/>
      <c r="H183" s="2">
        <v>-4.9000000000000004</v>
      </c>
      <c r="I183" s="2"/>
      <c r="J183">
        <v>-3.7</v>
      </c>
      <c r="K183" s="2"/>
      <c r="L183">
        <v>-2</v>
      </c>
      <c r="M183" s="2"/>
      <c r="N183" s="2">
        <v>0.9</v>
      </c>
      <c r="O183" s="2"/>
      <c r="P183" s="2">
        <v>2.5</v>
      </c>
      <c r="Q183" s="2"/>
      <c r="R183" s="2">
        <v>3.5</v>
      </c>
      <c r="S183" s="2"/>
      <c r="T183" s="2">
        <v>5.0999999999999996</v>
      </c>
      <c r="U183" s="2"/>
      <c r="V183" s="2">
        <v>8.3000000000000007</v>
      </c>
      <c r="W183" s="2"/>
      <c r="X183">
        <v>3.9</v>
      </c>
      <c r="Y183" s="2"/>
    </row>
    <row r="184" spans="1:25" x14ac:dyDescent="0.15">
      <c r="A184" s="1" t="s">
        <v>637</v>
      </c>
      <c r="D184">
        <v>94.5</v>
      </c>
      <c r="F184" s="1">
        <v>190.6</v>
      </c>
      <c r="H184">
        <v>285.3</v>
      </c>
      <c r="J184">
        <v>385.2</v>
      </c>
      <c r="L184">
        <v>490</v>
      </c>
      <c r="N184">
        <v>605.4</v>
      </c>
      <c r="P184">
        <v>717.5</v>
      </c>
      <c r="R184">
        <v>828</v>
      </c>
      <c r="T184">
        <v>945.9</v>
      </c>
      <c r="V184">
        <v>1083</v>
      </c>
      <c r="X184">
        <f>X179*(100+X183)/100</f>
        <v>1142.9000000000001</v>
      </c>
    </row>
    <row r="185" spans="1:25" x14ac:dyDescent="0.15">
      <c r="A185" t="s">
        <v>2</v>
      </c>
      <c r="D185">
        <v>94.5</v>
      </c>
      <c r="F185">
        <v>96.1</v>
      </c>
      <c r="H185">
        <v>94.7</v>
      </c>
      <c r="J185">
        <v>99.9</v>
      </c>
      <c r="L185">
        <v>104.8</v>
      </c>
      <c r="N185">
        <v>115.5</v>
      </c>
      <c r="P185">
        <v>112.1</v>
      </c>
      <c r="R185">
        <v>110.5</v>
      </c>
      <c r="T185">
        <v>117.9</v>
      </c>
      <c r="V185">
        <v>131.1</v>
      </c>
      <c r="X185">
        <f>X184-V184</f>
        <v>59.900000000000091</v>
      </c>
    </row>
    <row r="186" spans="1:25" s="5" customFormat="1" x14ac:dyDescent="0.15">
      <c r="A186" s="5" t="s">
        <v>27</v>
      </c>
      <c r="F186" s="5" t="s">
        <v>0</v>
      </c>
      <c r="H186" s="5" t="s">
        <v>0</v>
      </c>
      <c r="J186" s="5" t="s">
        <v>0</v>
      </c>
      <c r="L186" s="5" t="s">
        <v>10</v>
      </c>
      <c r="N186" s="5" t="s">
        <v>1</v>
      </c>
      <c r="P186" s="5" t="s">
        <v>1</v>
      </c>
      <c r="R186" s="5" t="s">
        <v>0</v>
      </c>
      <c r="T186" s="5" t="s">
        <v>1</v>
      </c>
      <c r="V186" s="5" t="s">
        <v>1</v>
      </c>
      <c r="X186" s="5" t="s">
        <v>0</v>
      </c>
    </row>
    <row r="187" spans="1:25" x14ac:dyDescent="0.15">
      <c r="A187" s="1"/>
    </row>
    <row r="189" spans="1:25" ht="16" x14ac:dyDescent="0.2">
      <c r="A189" s="1" t="s">
        <v>638</v>
      </c>
      <c r="D189" s="2">
        <v>11.2</v>
      </c>
      <c r="E189" s="2"/>
      <c r="F189" s="2">
        <v>18.899999999999999</v>
      </c>
      <c r="G189" s="2"/>
      <c r="H189" s="2">
        <v>17.7</v>
      </c>
      <c r="I189" s="2"/>
      <c r="J189">
        <v>17.3</v>
      </c>
      <c r="K189" s="2"/>
      <c r="L189">
        <v>13.5</v>
      </c>
      <c r="M189" s="2"/>
      <c r="N189" s="2">
        <v>14.6</v>
      </c>
      <c r="O189" s="2"/>
      <c r="P189" s="2">
        <v>12.5</v>
      </c>
      <c r="Q189" s="2"/>
      <c r="R189" s="2">
        <v>11.5</v>
      </c>
      <c r="S189" s="2"/>
      <c r="T189" s="2">
        <v>8.6999999999999993</v>
      </c>
      <c r="U189" s="2"/>
      <c r="V189" s="2">
        <v>11.1</v>
      </c>
      <c r="W189" s="2"/>
      <c r="X189">
        <v>9.1</v>
      </c>
      <c r="Y189" s="2"/>
    </row>
    <row r="190" spans="1:25" x14ac:dyDescent="0.15">
      <c r="A190" s="1" t="s">
        <v>638</v>
      </c>
      <c r="D190">
        <v>111.2</v>
      </c>
      <c r="F190" s="1">
        <v>237.8</v>
      </c>
      <c r="H190">
        <v>353.1</v>
      </c>
      <c r="J190">
        <v>469.2</v>
      </c>
      <c r="L190">
        <v>567.5</v>
      </c>
      <c r="N190">
        <v>687.6</v>
      </c>
      <c r="P190">
        <v>787.5</v>
      </c>
      <c r="R190">
        <v>892</v>
      </c>
      <c r="T190">
        <v>978.3</v>
      </c>
      <c r="V190">
        <v>1110</v>
      </c>
      <c r="X190">
        <f>X179*(100+X189)/100</f>
        <v>1200.0999999999999</v>
      </c>
    </row>
    <row r="191" spans="1:25" x14ac:dyDescent="0.15">
      <c r="A191" t="s">
        <v>2</v>
      </c>
      <c r="D191">
        <v>111.2</v>
      </c>
      <c r="F191">
        <v>125.6</v>
      </c>
      <c r="H191">
        <v>115.3</v>
      </c>
      <c r="J191">
        <v>116.1</v>
      </c>
      <c r="L191">
        <v>98.3</v>
      </c>
      <c r="N191">
        <v>120.1</v>
      </c>
      <c r="P191">
        <v>99.9</v>
      </c>
      <c r="R191">
        <v>104.5</v>
      </c>
      <c r="T191">
        <v>86.3</v>
      </c>
      <c r="V191">
        <v>131.69999999999999</v>
      </c>
      <c r="X191">
        <f>X190-V190</f>
        <v>90.099999999999909</v>
      </c>
    </row>
    <row r="192" spans="1:25" s="4" customFormat="1" x14ac:dyDescent="0.15">
      <c r="A192" s="4" t="s">
        <v>25</v>
      </c>
      <c r="F192" s="4" t="s">
        <v>0</v>
      </c>
      <c r="H192" s="4" t="s">
        <v>0</v>
      </c>
      <c r="J192" s="4" t="s">
        <v>0</v>
      </c>
      <c r="L192" s="4" t="s">
        <v>10</v>
      </c>
      <c r="N192" s="4" t="s">
        <v>0</v>
      </c>
      <c r="P192" s="4" t="s">
        <v>0</v>
      </c>
      <c r="R192" s="4" t="s">
        <v>0</v>
      </c>
      <c r="T192" s="4" t="s">
        <v>1</v>
      </c>
      <c r="V192" s="4" t="s">
        <v>1</v>
      </c>
      <c r="X192" s="4" t="s">
        <v>0</v>
      </c>
    </row>
    <row r="193" spans="1:25" x14ac:dyDescent="0.15">
      <c r="A193" s="1"/>
    </row>
    <row r="194" spans="1:25" ht="16" x14ac:dyDescent="0.2">
      <c r="A194" s="1" t="s">
        <v>639</v>
      </c>
      <c r="D194" s="2">
        <v>23.3</v>
      </c>
      <c r="E194" s="2"/>
      <c r="F194" s="2">
        <v>20.7</v>
      </c>
      <c r="G194" s="2"/>
      <c r="H194" s="2">
        <v>18.100000000000001</v>
      </c>
      <c r="I194" s="2"/>
      <c r="J194">
        <v>17.899999999999999</v>
      </c>
      <c r="K194" s="2"/>
      <c r="L194">
        <v>16.899999999999999</v>
      </c>
      <c r="M194" s="2"/>
      <c r="N194" s="2">
        <v>17.5</v>
      </c>
      <c r="O194" s="2"/>
      <c r="P194" s="2">
        <v>17.600000000000001</v>
      </c>
      <c r="Q194" s="2"/>
      <c r="R194" s="2">
        <v>17.2</v>
      </c>
      <c r="S194" s="2"/>
      <c r="T194" s="2">
        <v>17.600000000000001</v>
      </c>
      <c r="U194" s="2"/>
      <c r="V194" s="2">
        <v>17.399999999999999</v>
      </c>
      <c r="W194" s="2"/>
      <c r="X194">
        <v>10.199999999999999</v>
      </c>
      <c r="Y194" s="2"/>
    </row>
    <row r="195" spans="1:25" x14ac:dyDescent="0.15">
      <c r="A195" s="1" t="s">
        <v>639</v>
      </c>
      <c r="D195">
        <v>123.3</v>
      </c>
      <c r="F195" s="1">
        <v>240</v>
      </c>
      <c r="H195">
        <v>354.3</v>
      </c>
      <c r="J195">
        <v>471.6</v>
      </c>
      <c r="L195">
        <v>584.5</v>
      </c>
      <c r="N195">
        <v>705</v>
      </c>
      <c r="P195">
        <v>823.2</v>
      </c>
      <c r="R195">
        <v>937.6</v>
      </c>
      <c r="T195">
        <v>1058.4000000000001</v>
      </c>
      <c r="V195">
        <v>1174</v>
      </c>
      <c r="X195">
        <f>X179*(100+X194)/100</f>
        <v>1212.2</v>
      </c>
    </row>
    <row r="196" spans="1:25" x14ac:dyDescent="0.15">
      <c r="A196" t="s">
        <v>2</v>
      </c>
      <c r="D196">
        <v>123.3</v>
      </c>
      <c r="F196">
        <v>116.7</v>
      </c>
      <c r="H196">
        <v>114.3</v>
      </c>
      <c r="J196">
        <v>117.3</v>
      </c>
      <c r="L196">
        <v>112.9</v>
      </c>
      <c r="N196">
        <v>120.5</v>
      </c>
      <c r="P196">
        <v>118.2</v>
      </c>
      <c r="R196">
        <v>114.4</v>
      </c>
      <c r="T196">
        <v>120.8</v>
      </c>
      <c r="V196">
        <v>115.6</v>
      </c>
      <c r="X196">
        <f>X195-V195</f>
        <v>38.200000000000045</v>
      </c>
    </row>
    <row r="197" spans="1:25" s="5" customFormat="1" x14ac:dyDescent="0.15">
      <c r="A197" s="5" t="s">
        <v>9</v>
      </c>
      <c r="F197" s="5" t="s">
        <v>0</v>
      </c>
      <c r="H197" s="5" t="s">
        <v>0</v>
      </c>
      <c r="J197" s="5" t="s">
        <v>0</v>
      </c>
      <c r="L197" s="5" t="s">
        <v>10</v>
      </c>
      <c r="N197" s="5" t="s">
        <v>0</v>
      </c>
      <c r="P197" s="5" t="s">
        <v>0</v>
      </c>
      <c r="R197" s="5" t="s">
        <v>0</v>
      </c>
      <c r="T197" s="5" t="s">
        <v>0</v>
      </c>
      <c r="V197" s="5" t="s">
        <v>0</v>
      </c>
      <c r="X197" s="5" t="s">
        <v>0</v>
      </c>
    </row>
    <row r="198" spans="1:25" s="6" customFormat="1" x14ac:dyDescent="0.15">
      <c r="A198" s="1"/>
    </row>
    <row r="200" spans="1:25" ht="16" x14ac:dyDescent="0.2">
      <c r="A200" s="1" t="s">
        <v>640</v>
      </c>
      <c r="D200" s="2">
        <v>4.2</v>
      </c>
      <c r="E200" s="2"/>
      <c r="F200" s="2">
        <v>7.6</v>
      </c>
      <c r="G200" s="2"/>
      <c r="H200" s="2">
        <v>9.6999999999999993</v>
      </c>
      <c r="I200" s="2"/>
      <c r="J200">
        <v>10.9</v>
      </c>
      <c r="K200" s="2"/>
      <c r="L200">
        <v>9.4</v>
      </c>
      <c r="M200" s="2"/>
      <c r="N200" s="2">
        <v>9.3000000000000007</v>
      </c>
      <c r="O200" s="2"/>
      <c r="P200" s="2">
        <v>9.5</v>
      </c>
      <c r="Q200" s="2"/>
      <c r="R200" s="2">
        <v>10</v>
      </c>
      <c r="S200" s="2"/>
      <c r="T200" s="2">
        <v>10.6</v>
      </c>
      <c r="U200" s="2"/>
      <c r="V200" s="2">
        <v>10</v>
      </c>
      <c r="W200" s="2"/>
      <c r="X200">
        <v>5.9</v>
      </c>
      <c r="Y200" s="2"/>
    </row>
    <row r="201" spans="1:25" x14ac:dyDescent="0.15">
      <c r="A201" s="1" t="s">
        <v>640</v>
      </c>
      <c r="D201">
        <v>104.2</v>
      </c>
      <c r="F201" s="1">
        <v>215.2</v>
      </c>
      <c r="H201">
        <v>329.1</v>
      </c>
      <c r="J201">
        <v>443.6</v>
      </c>
      <c r="L201">
        <v>547</v>
      </c>
      <c r="N201">
        <v>655.8</v>
      </c>
      <c r="P201">
        <v>766.5</v>
      </c>
      <c r="R201" s="1">
        <v>880</v>
      </c>
      <c r="T201">
        <v>995.4</v>
      </c>
      <c r="V201" s="1">
        <v>1100</v>
      </c>
      <c r="X201">
        <f>X179*(100+X200)/100</f>
        <v>1164.9000000000001</v>
      </c>
    </row>
    <row r="202" spans="1:25" x14ac:dyDescent="0.15">
      <c r="A202" t="s">
        <v>2</v>
      </c>
      <c r="D202">
        <v>104.2</v>
      </c>
      <c r="F202">
        <v>111</v>
      </c>
      <c r="H202">
        <v>113.9</v>
      </c>
      <c r="J202">
        <v>114.5</v>
      </c>
      <c r="L202">
        <v>103.4</v>
      </c>
      <c r="N202">
        <v>108.8</v>
      </c>
      <c r="P202">
        <v>110.7</v>
      </c>
      <c r="R202">
        <v>113.5</v>
      </c>
      <c r="T202">
        <v>115.4</v>
      </c>
      <c r="V202">
        <v>104.6</v>
      </c>
      <c r="X202">
        <f>X201-V201</f>
        <v>64.900000000000091</v>
      </c>
    </row>
    <row r="203" spans="1:25" s="5" customFormat="1" x14ac:dyDescent="0.15">
      <c r="A203" s="5" t="s">
        <v>15</v>
      </c>
      <c r="F203" s="5" t="s">
        <v>0</v>
      </c>
      <c r="H203" s="5" t="s">
        <v>0</v>
      </c>
      <c r="J203" s="5" t="s">
        <v>0</v>
      </c>
      <c r="L203" s="5" t="s">
        <v>10</v>
      </c>
      <c r="N203" s="5" t="s">
        <v>1</v>
      </c>
      <c r="P203" s="5" t="s">
        <v>0</v>
      </c>
      <c r="R203" s="5" t="s">
        <v>1</v>
      </c>
      <c r="T203" s="5" t="s">
        <v>0</v>
      </c>
      <c r="V203" s="5" t="s">
        <v>0</v>
      </c>
      <c r="X203" s="5" t="s">
        <v>1</v>
      </c>
    </row>
    <row r="205" spans="1:25" ht="16" x14ac:dyDescent="0.2">
      <c r="A205" s="1" t="s">
        <v>641</v>
      </c>
      <c r="D205" s="2">
        <v>16</v>
      </c>
      <c r="E205" s="2"/>
      <c r="F205" s="2">
        <v>22</v>
      </c>
      <c r="G205" s="2"/>
      <c r="H205" s="2">
        <v>29.4</v>
      </c>
      <c r="I205" s="2"/>
      <c r="J205">
        <v>28.3</v>
      </c>
      <c r="K205" s="2"/>
      <c r="L205">
        <v>21.7</v>
      </c>
      <c r="M205" s="2"/>
      <c r="N205" s="2">
        <v>17.3</v>
      </c>
      <c r="O205" s="2"/>
      <c r="P205" s="2">
        <v>17.399999999999999</v>
      </c>
      <c r="Q205" s="2"/>
      <c r="R205" s="2">
        <v>12</v>
      </c>
      <c r="S205" s="2"/>
      <c r="T205" s="2">
        <v>10.8</v>
      </c>
      <c r="U205" s="2"/>
      <c r="V205" s="2">
        <v>13.8</v>
      </c>
      <c r="W205" s="2"/>
      <c r="X205">
        <v>9.9</v>
      </c>
      <c r="Y205" s="2"/>
    </row>
    <row r="206" spans="1:25" x14ac:dyDescent="0.15">
      <c r="A206" s="1" t="s">
        <v>641</v>
      </c>
      <c r="D206">
        <v>116</v>
      </c>
      <c r="F206" s="1">
        <v>244</v>
      </c>
      <c r="H206">
        <v>388.2</v>
      </c>
      <c r="J206">
        <v>513.20000000000005</v>
      </c>
      <c r="L206">
        <v>608.5</v>
      </c>
      <c r="N206">
        <v>703.8</v>
      </c>
      <c r="P206">
        <v>821.8</v>
      </c>
      <c r="R206" s="1">
        <v>896</v>
      </c>
      <c r="T206">
        <v>972</v>
      </c>
      <c r="V206" s="1">
        <v>1138</v>
      </c>
      <c r="X206">
        <f>X179*(100+X205)/100</f>
        <v>1208.9000000000001</v>
      </c>
    </row>
    <row r="207" spans="1:25" x14ac:dyDescent="0.15">
      <c r="A207" t="s">
        <v>2</v>
      </c>
      <c r="D207">
        <v>116</v>
      </c>
      <c r="F207">
        <v>128</v>
      </c>
      <c r="H207">
        <v>144.19999999999999</v>
      </c>
      <c r="J207">
        <v>125</v>
      </c>
      <c r="L207">
        <v>95.3</v>
      </c>
      <c r="N207">
        <v>95.3</v>
      </c>
      <c r="P207">
        <v>118</v>
      </c>
      <c r="R207">
        <v>72.8</v>
      </c>
      <c r="T207">
        <v>76</v>
      </c>
      <c r="V207">
        <v>166</v>
      </c>
      <c r="X207">
        <f>X206-V206</f>
        <v>70.900000000000091</v>
      </c>
    </row>
    <row r="208" spans="1:25" s="4" customFormat="1" x14ac:dyDescent="0.15">
      <c r="A208" s="4" t="s">
        <v>12</v>
      </c>
      <c r="F208" s="4" t="s">
        <v>0</v>
      </c>
      <c r="H208" s="4" t="s">
        <v>0</v>
      </c>
      <c r="J208" s="4" t="s">
        <v>0</v>
      </c>
      <c r="L208" s="4" t="s">
        <v>10</v>
      </c>
      <c r="N208" s="4" t="s">
        <v>1</v>
      </c>
      <c r="P208" s="4" t="s">
        <v>1</v>
      </c>
      <c r="R208" s="4" t="s">
        <v>1</v>
      </c>
      <c r="T208" s="4" t="s">
        <v>1</v>
      </c>
      <c r="V208" s="4" t="s">
        <v>1</v>
      </c>
      <c r="X208" s="4" t="s">
        <v>1</v>
      </c>
    </row>
    <row r="209" spans="1:25" x14ac:dyDescent="0.15">
      <c r="A209" s="1"/>
    </row>
    <row r="211" spans="1:25" ht="16" x14ac:dyDescent="0.2">
      <c r="A211" s="2" t="s">
        <v>642</v>
      </c>
      <c r="D211" s="2">
        <v>4.2</v>
      </c>
      <c r="E211" s="2"/>
      <c r="F211" s="2">
        <v>11.4</v>
      </c>
      <c r="G211" s="2"/>
      <c r="H211" s="2">
        <v>12.3</v>
      </c>
      <c r="I211" s="2"/>
      <c r="J211">
        <v>13.7</v>
      </c>
      <c r="K211" s="2"/>
      <c r="L211">
        <v>11.5</v>
      </c>
      <c r="M211" s="2"/>
      <c r="N211" s="2">
        <v>12.2</v>
      </c>
      <c r="O211" s="2"/>
      <c r="P211" s="2">
        <v>12.4</v>
      </c>
      <c r="Q211" s="2"/>
      <c r="R211" s="2">
        <v>13.7</v>
      </c>
      <c r="S211" s="2"/>
      <c r="T211" s="2">
        <v>16.2</v>
      </c>
      <c r="U211" s="2"/>
      <c r="V211" s="2">
        <v>20.6</v>
      </c>
      <c r="W211" s="2"/>
      <c r="X211">
        <v>19</v>
      </c>
      <c r="Y211" s="2"/>
    </row>
    <row r="212" spans="1:25" ht="16" x14ac:dyDescent="0.2">
      <c r="A212" s="2" t="s">
        <v>642</v>
      </c>
      <c r="D212">
        <v>104.2</v>
      </c>
      <c r="F212" s="1">
        <v>222.8</v>
      </c>
      <c r="H212">
        <v>336.9</v>
      </c>
      <c r="J212">
        <v>454.8</v>
      </c>
      <c r="L212">
        <v>557.5</v>
      </c>
      <c r="N212">
        <v>673.2</v>
      </c>
      <c r="P212">
        <v>786.8</v>
      </c>
      <c r="R212" s="1">
        <v>909.6</v>
      </c>
      <c r="T212">
        <v>1045.8</v>
      </c>
      <c r="V212" s="1">
        <v>1206</v>
      </c>
      <c r="X212">
        <f>X179*(100+X211)/100</f>
        <v>1309</v>
      </c>
    </row>
    <row r="213" spans="1:25" x14ac:dyDescent="0.15">
      <c r="A213" t="s">
        <v>2</v>
      </c>
      <c r="D213">
        <v>104.2</v>
      </c>
      <c r="F213">
        <v>118.6</v>
      </c>
      <c r="H213">
        <v>114.1</v>
      </c>
      <c r="J213">
        <v>117.9</v>
      </c>
      <c r="L213">
        <v>102.7</v>
      </c>
      <c r="N213">
        <v>115.7</v>
      </c>
      <c r="P213">
        <v>113.6</v>
      </c>
      <c r="R213">
        <v>123.6</v>
      </c>
      <c r="T213">
        <v>136.19999999999999</v>
      </c>
      <c r="V213">
        <v>160.19999999999999</v>
      </c>
      <c r="X213">
        <f>X212-V212</f>
        <v>103</v>
      </c>
    </row>
    <row r="214" spans="1:25" s="4" customFormat="1" x14ac:dyDescent="0.15">
      <c r="A214" s="4" t="s">
        <v>240</v>
      </c>
      <c r="F214" s="4" t="s">
        <v>0</v>
      </c>
      <c r="H214" s="4" t="s">
        <v>0</v>
      </c>
      <c r="J214" s="4" t="s">
        <v>0</v>
      </c>
      <c r="L214" s="4" t="s">
        <v>10</v>
      </c>
      <c r="N214" s="4" t="s">
        <v>1</v>
      </c>
      <c r="P214" s="4" t="s">
        <v>1</v>
      </c>
      <c r="R214" s="4" t="s">
        <v>1</v>
      </c>
      <c r="T214" s="4" t="s">
        <v>1</v>
      </c>
      <c r="V214" s="4" t="s">
        <v>1</v>
      </c>
      <c r="X214" s="4" t="s">
        <v>1</v>
      </c>
    </row>
    <row r="217" spans="1:25" ht="16" x14ac:dyDescent="0.2">
      <c r="A217" s="1" t="s">
        <v>643</v>
      </c>
      <c r="D217" s="2">
        <v>10.9</v>
      </c>
      <c r="E217" s="2"/>
      <c r="F217" s="2">
        <v>21.2</v>
      </c>
      <c r="G217" s="2"/>
      <c r="H217" s="2">
        <v>14.5</v>
      </c>
      <c r="I217" s="2"/>
      <c r="J217">
        <v>15.9</v>
      </c>
      <c r="K217" s="2"/>
      <c r="L217">
        <v>13</v>
      </c>
      <c r="M217" s="2"/>
      <c r="N217" s="2">
        <v>15.6</v>
      </c>
      <c r="O217" s="2"/>
      <c r="P217" s="2">
        <v>15.8</v>
      </c>
      <c r="Q217" s="2"/>
      <c r="R217" s="2">
        <v>13.5</v>
      </c>
      <c r="S217" s="2"/>
      <c r="T217" s="2">
        <v>15</v>
      </c>
      <c r="U217" s="2"/>
      <c r="V217" s="2">
        <v>13.3</v>
      </c>
      <c r="W217" s="2"/>
      <c r="X217">
        <v>10.8</v>
      </c>
      <c r="Y217" s="2"/>
    </row>
    <row r="218" spans="1:25" x14ac:dyDescent="0.15">
      <c r="A218" s="1" t="s">
        <v>643</v>
      </c>
      <c r="D218">
        <v>104.2</v>
      </c>
      <c r="F218" s="1">
        <v>222.8</v>
      </c>
      <c r="H218">
        <v>336.9</v>
      </c>
      <c r="J218">
        <v>454.8</v>
      </c>
      <c r="L218">
        <v>557.5</v>
      </c>
      <c r="N218">
        <v>673.2</v>
      </c>
      <c r="P218">
        <v>786.8</v>
      </c>
      <c r="R218" s="1">
        <v>909.6</v>
      </c>
      <c r="T218">
        <v>1045.8</v>
      </c>
      <c r="V218" s="1">
        <v>1206</v>
      </c>
      <c r="X218">
        <f>X179*(100+X217)/100</f>
        <v>1218.8</v>
      </c>
    </row>
    <row r="219" spans="1:25" x14ac:dyDescent="0.15">
      <c r="A219" t="s">
        <v>2</v>
      </c>
      <c r="D219">
        <v>104.2</v>
      </c>
      <c r="F219">
        <v>118.6</v>
      </c>
      <c r="H219">
        <v>114.1</v>
      </c>
      <c r="J219">
        <v>117.9</v>
      </c>
      <c r="L219">
        <v>102.7</v>
      </c>
      <c r="N219">
        <v>115.7</v>
      </c>
      <c r="P219">
        <v>113.6</v>
      </c>
      <c r="R219">
        <v>123.6</v>
      </c>
      <c r="T219">
        <v>136.19999999999999</v>
      </c>
      <c r="V219">
        <v>160.19999999999999</v>
      </c>
      <c r="X219">
        <f>X218-V218</f>
        <v>12.799999999999955</v>
      </c>
    </row>
    <row r="220" spans="1:25" s="4" customFormat="1" x14ac:dyDescent="0.15">
      <c r="A220" s="4" t="s">
        <v>242</v>
      </c>
    </row>
    <row r="226" spans="1:25" s="34" customFormat="1" x14ac:dyDescent="0.15">
      <c r="A226" s="34" t="s">
        <v>215</v>
      </c>
      <c r="B226" s="34" t="s">
        <v>31</v>
      </c>
      <c r="D226" s="34" t="s">
        <v>32</v>
      </c>
      <c r="F226" s="34" t="s">
        <v>33</v>
      </c>
      <c r="H226" s="34" t="s">
        <v>34</v>
      </c>
      <c r="J226" s="34" t="s">
        <v>35</v>
      </c>
      <c r="L226" s="34" t="s">
        <v>36</v>
      </c>
      <c r="N226" s="34" t="s">
        <v>37</v>
      </c>
      <c r="P226" s="34" t="s">
        <v>38</v>
      </c>
      <c r="R226" s="34" t="s">
        <v>39</v>
      </c>
      <c r="T226" s="34" t="s">
        <v>40</v>
      </c>
      <c r="V226" s="34" t="s">
        <v>41</v>
      </c>
      <c r="X226" s="34" t="s">
        <v>42</v>
      </c>
    </row>
    <row r="227" spans="1:25" s="34" customFormat="1" x14ac:dyDescent="0.15">
      <c r="A227" s="35" t="s">
        <v>211</v>
      </c>
      <c r="D227" s="34">
        <v>100</v>
      </c>
      <c r="F227" s="34">
        <v>200</v>
      </c>
      <c r="H227" s="34">
        <v>300</v>
      </c>
      <c r="J227" s="34">
        <v>400</v>
      </c>
      <c r="L227" s="34">
        <v>500</v>
      </c>
      <c r="N227" s="34">
        <v>600</v>
      </c>
      <c r="P227" s="34">
        <v>700</v>
      </c>
      <c r="R227" s="34">
        <v>800</v>
      </c>
      <c r="T227" s="34">
        <v>900</v>
      </c>
      <c r="V227" s="34">
        <v>1000</v>
      </c>
      <c r="X227" s="34">
        <v>1100</v>
      </c>
    </row>
    <row r="228" spans="1:25" s="34" customFormat="1" x14ac:dyDescent="0.15">
      <c r="A228" s="34" t="s">
        <v>238</v>
      </c>
      <c r="D228" s="34">
        <v>-14</v>
      </c>
      <c r="F228" s="34">
        <v>13.9</v>
      </c>
      <c r="H228" s="34">
        <v>-3.7</v>
      </c>
      <c r="J228" s="34">
        <v>1.1000000000000001</v>
      </c>
      <c r="L228" s="34">
        <v>-3.1</v>
      </c>
      <c r="N228" s="34">
        <v>2.6</v>
      </c>
      <c r="P228" s="34">
        <v>-2</v>
      </c>
      <c r="R228" s="34">
        <v>-5.3</v>
      </c>
      <c r="T228" s="34">
        <v>-9.9</v>
      </c>
      <c r="V228" s="34">
        <v>5.4</v>
      </c>
    </row>
    <row r="229" spans="1:25" x14ac:dyDescent="0.15">
      <c r="A229" s="1"/>
    </row>
    <row r="230" spans="1:25" ht="16" x14ac:dyDescent="0.2">
      <c r="A230" s="1" t="s">
        <v>644</v>
      </c>
      <c r="D230" s="2">
        <v>-70.400000000000006</v>
      </c>
      <c r="E230" s="2"/>
      <c r="F230" s="2">
        <v>-54.5</v>
      </c>
      <c r="G230" s="2"/>
      <c r="H230" s="2">
        <v>-50.2</v>
      </c>
      <c r="I230" s="2"/>
      <c r="J230">
        <v>-51.3</v>
      </c>
      <c r="K230" s="2"/>
      <c r="L230">
        <v>-53.6</v>
      </c>
      <c r="M230" s="2"/>
      <c r="N230" s="2">
        <v>-50.6</v>
      </c>
      <c r="O230" s="2"/>
      <c r="P230" s="2">
        <v>-53.1</v>
      </c>
      <c r="Q230" s="2"/>
      <c r="R230" s="2">
        <v>-53.5</v>
      </c>
      <c r="S230" s="2"/>
      <c r="T230" s="2">
        <v>-51.2</v>
      </c>
      <c r="U230" s="2"/>
      <c r="V230" s="2">
        <v>-47.2</v>
      </c>
      <c r="W230" s="2"/>
      <c r="X230">
        <v>-42.5</v>
      </c>
      <c r="Y230" s="2"/>
    </row>
    <row r="231" spans="1:25" x14ac:dyDescent="0.15">
      <c r="A231" s="1" t="s">
        <v>644</v>
      </c>
      <c r="D231">
        <v>29.4</v>
      </c>
      <c r="F231" s="1">
        <v>91</v>
      </c>
      <c r="H231">
        <v>149.4</v>
      </c>
      <c r="J231">
        <v>194.8</v>
      </c>
      <c r="L231">
        <v>232</v>
      </c>
      <c r="N231">
        <v>296.39999999999998</v>
      </c>
      <c r="P231">
        <v>328.3</v>
      </c>
      <c r="R231">
        <v>372</v>
      </c>
      <c r="T231">
        <v>448.2</v>
      </c>
      <c r="V231">
        <v>528</v>
      </c>
      <c r="X231">
        <f>X227*(100+X230)/100</f>
        <v>632.5</v>
      </c>
    </row>
    <row r="232" spans="1:25" x14ac:dyDescent="0.15">
      <c r="A232" t="s">
        <v>2</v>
      </c>
      <c r="D232">
        <v>29.4</v>
      </c>
      <c r="F232">
        <v>61.6</v>
      </c>
      <c r="H232">
        <v>58.4</v>
      </c>
      <c r="J232">
        <v>45.4</v>
      </c>
      <c r="L232">
        <v>37.200000000000003</v>
      </c>
      <c r="N232">
        <v>64.400000000000006</v>
      </c>
      <c r="P232">
        <v>31.9</v>
      </c>
      <c r="R232">
        <v>43.7</v>
      </c>
      <c r="T232">
        <v>76.2</v>
      </c>
      <c r="V232">
        <v>79.8</v>
      </c>
      <c r="X232">
        <f>X231-V231</f>
        <v>104.5</v>
      </c>
    </row>
    <row r="233" spans="1:25" s="5" customFormat="1" x14ac:dyDescent="0.15">
      <c r="A233" s="5" t="s">
        <v>244</v>
      </c>
    </row>
    <row r="235" spans="1:25" ht="16" x14ac:dyDescent="0.2">
      <c r="A235" s="1" t="s">
        <v>645</v>
      </c>
      <c r="D235" s="2">
        <v>-23.2</v>
      </c>
      <c r="E235" s="2"/>
      <c r="F235" s="2">
        <v>-18</v>
      </c>
      <c r="G235" s="2"/>
      <c r="H235" s="2">
        <v>-16.5</v>
      </c>
      <c r="I235" s="2"/>
      <c r="J235">
        <v>-9.4</v>
      </c>
      <c r="K235" s="2"/>
      <c r="L235">
        <v>-7.1</v>
      </c>
      <c r="M235" s="2"/>
      <c r="N235" s="2">
        <v>-3.8</v>
      </c>
      <c r="O235" s="2"/>
      <c r="P235" s="2">
        <v>-4.3</v>
      </c>
      <c r="Q235" s="2"/>
      <c r="R235" s="2">
        <v>-3.2</v>
      </c>
      <c r="S235" s="2"/>
      <c r="T235" s="2">
        <v>-2.1</v>
      </c>
      <c r="U235" s="2"/>
      <c r="V235" s="2">
        <v>-1.7</v>
      </c>
      <c r="W235" s="2"/>
      <c r="X235">
        <v>-2.4</v>
      </c>
      <c r="Y235" s="2"/>
    </row>
    <row r="236" spans="1:25" x14ac:dyDescent="0.15">
      <c r="A236" s="1" t="s">
        <v>645</v>
      </c>
      <c r="D236">
        <v>76.8</v>
      </c>
      <c r="F236" s="1">
        <v>164</v>
      </c>
      <c r="H236">
        <v>250.5</v>
      </c>
      <c r="J236">
        <v>366.4</v>
      </c>
      <c r="L236">
        <v>464.5</v>
      </c>
      <c r="N236">
        <v>577.20000000000005</v>
      </c>
      <c r="P236">
        <v>669.9</v>
      </c>
      <c r="R236">
        <v>774.4</v>
      </c>
      <c r="T236">
        <v>881.1</v>
      </c>
      <c r="V236">
        <v>983</v>
      </c>
      <c r="X236">
        <f>X227*(100+X235)/100</f>
        <v>1073.5999999999999</v>
      </c>
    </row>
    <row r="237" spans="1:25" x14ac:dyDescent="0.15">
      <c r="A237" t="s">
        <v>2</v>
      </c>
      <c r="D237">
        <v>76.8</v>
      </c>
      <c r="F237">
        <v>87.2</v>
      </c>
      <c r="H237">
        <v>86.5</v>
      </c>
      <c r="J237">
        <v>115.9</v>
      </c>
      <c r="L237">
        <v>98.1</v>
      </c>
      <c r="N237">
        <v>112.7</v>
      </c>
      <c r="P237">
        <v>92.7</v>
      </c>
      <c r="R237">
        <v>104.5</v>
      </c>
      <c r="T237">
        <v>106.7</v>
      </c>
      <c r="V237">
        <v>101.9</v>
      </c>
      <c r="X237">
        <f>X236-V236</f>
        <v>90.599999999999909</v>
      </c>
    </row>
    <row r="238" spans="1:25" s="5" customFormat="1" x14ac:dyDescent="0.15">
      <c r="A238" s="5" t="s">
        <v>246</v>
      </c>
    </row>
    <row r="240" spans="1:25" ht="16" x14ac:dyDescent="0.2">
      <c r="A240" s="1" t="s">
        <v>646</v>
      </c>
      <c r="D240" s="2">
        <v>-5.7</v>
      </c>
      <c r="E240" s="2"/>
      <c r="F240" s="2">
        <v>10.3</v>
      </c>
      <c r="G240" s="2"/>
      <c r="H240" s="2">
        <v>19.7</v>
      </c>
      <c r="I240" s="2"/>
      <c r="J240">
        <v>24</v>
      </c>
      <c r="K240" s="2"/>
      <c r="L240">
        <v>17.8</v>
      </c>
      <c r="M240" s="2"/>
      <c r="N240" s="2">
        <v>12.9</v>
      </c>
      <c r="O240" s="2"/>
      <c r="P240" s="2">
        <v>7.3</v>
      </c>
      <c r="Q240" s="2"/>
      <c r="R240" s="2">
        <v>7.9</v>
      </c>
      <c r="S240" s="2"/>
      <c r="T240" s="2">
        <v>3.4</v>
      </c>
      <c r="U240" s="2"/>
      <c r="V240" s="2">
        <v>-0.4</v>
      </c>
      <c r="W240" s="2"/>
      <c r="X240">
        <v>1.8</v>
      </c>
      <c r="Y240" s="2"/>
    </row>
    <row r="241" spans="1:25" x14ac:dyDescent="0.15">
      <c r="A241" s="1" t="s">
        <v>646</v>
      </c>
      <c r="D241">
        <v>94.3</v>
      </c>
      <c r="F241" s="1">
        <v>220.6</v>
      </c>
      <c r="H241">
        <v>359.1</v>
      </c>
      <c r="J241">
        <v>496</v>
      </c>
      <c r="L241">
        <v>589</v>
      </c>
      <c r="N241">
        <v>677.4</v>
      </c>
      <c r="P241">
        <v>751.1</v>
      </c>
      <c r="R241">
        <v>863.2</v>
      </c>
      <c r="T241">
        <v>930.6</v>
      </c>
      <c r="V241">
        <v>996</v>
      </c>
      <c r="X241">
        <f>X227*(100+X240)/100</f>
        <v>1119.8</v>
      </c>
    </row>
    <row r="242" spans="1:25" x14ac:dyDescent="0.15">
      <c r="A242" t="s">
        <v>2</v>
      </c>
      <c r="D242">
        <v>94.3</v>
      </c>
      <c r="F242">
        <v>126.3</v>
      </c>
      <c r="H242">
        <v>138.5</v>
      </c>
      <c r="J242">
        <v>136.9</v>
      </c>
      <c r="L242">
        <v>93</v>
      </c>
      <c r="N242">
        <v>88.4</v>
      </c>
      <c r="P242">
        <v>73.7</v>
      </c>
      <c r="R242">
        <v>112.1</v>
      </c>
      <c r="T242">
        <v>67.400000000000006</v>
      </c>
      <c r="V242">
        <v>60</v>
      </c>
      <c r="X242">
        <f>X241-V241</f>
        <v>123.79999999999995</v>
      </c>
    </row>
    <row r="243" spans="1:25" s="5" customFormat="1" x14ac:dyDescent="0.15">
      <c r="A243" s="5" t="s">
        <v>248</v>
      </c>
    </row>
    <row r="246" spans="1:25" ht="16" x14ac:dyDescent="0.2">
      <c r="A246" s="1" t="s">
        <v>648</v>
      </c>
      <c r="D246" s="2">
        <v>-11.3</v>
      </c>
      <c r="E246" s="2"/>
      <c r="F246" s="2">
        <v>3.6</v>
      </c>
      <c r="G246" s="2"/>
      <c r="H246" s="2">
        <v>3.7</v>
      </c>
      <c r="I246" s="2"/>
      <c r="J246">
        <v>3.2</v>
      </c>
      <c r="K246" s="2"/>
      <c r="L246">
        <v>-0.1</v>
      </c>
      <c r="M246" s="2"/>
      <c r="N246" s="2">
        <v>0.1</v>
      </c>
      <c r="O246" s="2"/>
      <c r="P246" s="2">
        <v>-3.4</v>
      </c>
      <c r="Q246" s="2"/>
      <c r="R246" s="2">
        <v>-4.3</v>
      </c>
      <c r="S246" s="2"/>
      <c r="T246" s="2">
        <v>-6.4</v>
      </c>
      <c r="U246" s="2"/>
      <c r="V246" s="2">
        <v>-7</v>
      </c>
      <c r="W246" s="2"/>
      <c r="X246">
        <v>-10.9</v>
      </c>
      <c r="Y246" s="2"/>
    </row>
    <row r="247" spans="1:25" x14ac:dyDescent="0.15">
      <c r="A247" s="1" t="s">
        <v>647</v>
      </c>
      <c r="D247">
        <v>89.7</v>
      </c>
      <c r="F247" s="1">
        <v>207.2</v>
      </c>
      <c r="H247">
        <v>311.10000000000002</v>
      </c>
      <c r="J247">
        <v>412.8</v>
      </c>
      <c r="L247">
        <v>499.5</v>
      </c>
      <c r="N247">
        <v>606</v>
      </c>
      <c r="P247">
        <v>674.8</v>
      </c>
      <c r="R247">
        <v>765.6</v>
      </c>
      <c r="T247">
        <v>860.4</v>
      </c>
      <c r="V247">
        <v>930</v>
      </c>
      <c r="X247">
        <f>X227*(100+X246)/100</f>
        <v>980.1</v>
      </c>
    </row>
    <row r="248" spans="1:25" x14ac:dyDescent="0.15">
      <c r="A248" t="s">
        <v>2</v>
      </c>
      <c r="D248">
        <v>89.7</v>
      </c>
      <c r="F248">
        <v>117.5</v>
      </c>
      <c r="H248">
        <v>103.9</v>
      </c>
      <c r="J248">
        <v>101.7</v>
      </c>
      <c r="L248">
        <v>86.7</v>
      </c>
      <c r="N248">
        <v>106.5</v>
      </c>
      <c r="P248">
        <v>68.8</v>
      </c>
      <c r="R248">
        <v>90.8</v>
      </c>
      <c r="T248">
        <v>94.8</v>
      </c>
      <c r="V248">
        <v>69.599999999999994</v>
      </c>
      <c r="X248">
        <f>X247-V247</f>
        <v>50.100000000000023</v>
      </c>
    </row>
    <row r="249" spans="1:25" s="5" customFormat="1" x14ac:dyDescent="0.15">
      <c r="A249" s="5" t="s">
        <v>251</v>
      </c>
    </row>
  </sheetData>
  <mergeCells count="22">
    <mergeCell ref="Z48:Z51"/>
    <mergeCell ref="O16:O28"/>
    <mergeCell ref="Q16:Q28"/>
    <mergeCell ref="S16:S28"/>
    <mergeCell ref="U16:U28"/>
    <mergeCell ref="W16:W28"/>
    <mergeCell ref="Y16:Y28"/>
    <mergeCell ref="B37:P37"/>
    <mergeCell ref="B38:P38"/>
    <mergeCell ref="B39:P39"/>
    <mergeCell ref="B40:P40"/>
    <mergeCell ref="B41:P41"/>
    <mergeCell ref="M16:M28"/>
    <mergeCell ref="B1:X1"/>
    <mergeCell ref="Z3:Z6"/>
    <mergeCell ref="A7:P7"/>
    <mergeCell ref="A8:P8"/>
    <mergeCell ref="C16:C28"/>
    <mergeCell ref="E16:E28"/>
    <mergeCell ref="G16:G28"/>
    <mergeCell ref="I16:I28"/>
    <mergeCell ref="K16:K28"/>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workbookViewId="0">
      <selection activeCell="F68" sqref="F68"/>
    </sheetView>
  </sheetViews>
  <sheetFormatPr baseColWidth="10" defaultRowHeight="15" x14ac:dyDescent="0.15"/>
  <cols>
    <col min="1" max="1" width="17.1640625" customWidth="1"/>
  </cols>
  <sheetData>
    <row r="1" spans="1:17" s="34" customFormat="1" ht="43" customHeight="1" x14ac:dyDescent="0.15">
      <c r="A1" s="40" t="s">
        <v>533</v>
      </c>
      <c r="B1" s="55" t="s">
        <v>534</v>
      </c>
      <c r="C1" s="55"/>
      <c r="D1" s="55"/>
      <c r="E1" s="55"/>
      <c r="F1" s="55"/>
      <c r="G1" s="55"/>
      <c r="H1" s="55"/>
      <c r="I1" s="55"/>
      <c r="J1" s="55"/>
      <c r="K1" s="55"/>
      <c r="L1" s="55"/>
      <c r="M1" s="55"/>
      <c r="N1" s="55"/>
      <c r="O1" s="55"/>
      <c r="P1" s="55"/>
    </row>
    <row r="3" spans="1:17" x14ac:dyDescent="0.15">
      <c r="A3" s="1" t="s">
        <v>532</v>
      </c>
      <c r="B3" t="s">
        <v>495</v>
      </c>
      <c r="C3" s="4" t="s">
        <v>496</v>
      </c>
      <c r="D3" t="s">
        <v>497</v>
      </c>
      <c r="E3" t="s">
        <v>498</v>
      </c>
      <c r="F3" s="41" t="s">
        <v>499</v>
      </c>
      <c r="G3" s="34" t="s">
        <v>500</v>
      </c>
      <c r="H3" s="41" t="s">
        <v>501</v>
      </c>
      <c r="I3" s="41" t="s">
        <v>502</v>
      </c>
      <c r="J3" s="41" t="s">
        <v>503</v>
      </c>
      <c r="K3" t="s">
        <v>504</v>
      </c>
      <c r="L3" t="s">
        <v>505</v>
      </c>
      <c r="M3" s="41" t="s">
        <v>506</v>
      </c>
      <c r="N3" s="41" t="s">
        <v>507</v>
      </c>
      <c r="O3" s="41" t="s">
        <v>508</v>
      </c>
      <c r="P3" s="34" t="s">
        <v>509</v>
      </c>
    </row>
    <row r="4" spans="1:17" x14ac:dyDescent="0.15">
      <c r="A4" s="1" t="s">
        <v>492</v>
      </c>
      <c r="B4">
        <v>3437</v>
      </c>
      <c r="C4" s="4">
        <v>4533</v>
      </c>
      <c r="F4" s="41">
        <v>4150</v>
      </c>
      <c r="G4" s="34">
        <v>5214</v>
      </c>
      <c r="H4" s="41">
        <v>3719</v>
      </c>
      <c r="I4" s="41">
        <v>3569</v>
      </c>
      <c r="J4" s="41">
        <v>3735</v>
      </c>
      <c r="M4" s="41">
        <v>3552</v>
      </c>
      <c r="N4" s="41">
        <v>3344</v>
      </c>
      <c r="O4" s="41">
        <v>3960</v>
      </c>
      <c r="P4" s="34">
        <v>3894</v>
      </c>
    </row>
    <row r="5" spans="1:17" x14ac:dyDescent="0.15">
      <c r="A5" s="1" t="s">
        <v>493</v>
      </c>
      <c r="B5">
        <v>324</v>
      </c>
      <c r="C5" s="4">
        <v>412</v>
      </c>
      <c r="F5" s="41">
        <v>370</v>
      </c>
      <c r="G5" s="34">
        <v>504</v>
      </c>
      <c r="H5" s="41">
        <v>344</v>
      </c>
      <c r="I5" s="41">
        <v>324</v>
      </c>
      <c r="J5" s="41">
        <v>341</v>
      </c>
      <c r="M5" s="41">
        <v>314</v>
      </c>
      <c r="N5" s="41">
        <v>300</v>
      </c>
      <c r="O5" s="41">
        <v>350</v>
      </c>
      <c r="P5" s="34">
        <v>364</v>
      </c>
    </row>
    <row r="6" spans="1:17" x14ac:dyDescent="0.15">
      <c r="A6" s="1" t="s">
        <v>494</v>
      </c>
      <c r="B6">
        <f>B4/B5</f>
        <v>10.608024691358025</v>
      </c>
      <c r="C6" s="4">
        <f>C4/C5</f>
        <v>11.00242718446602</v>
      </c>
      <c r="F6" s="41">
        <f>F4/F5</f>
        <v>11.216216216216216</v>
      </c>
      <c r="G6" s="34">
        <f>G4/G5</f>
        <v>10.345238095238095</v>
      </c>
      <c r="H6" s="41">
        <f>H4/H5</f>
        <v>10.811046511627907</v>
      </c>
      <c r="I6" s="41">
        <f>I4/I5</f>
        <v>11.015432098765432</v>
      </c>
      <c r="J6" s="41">
        <f>J4/J5</f>
        <v>10.953079178885631</v>
      </c>
      <c r="M6" s="41">
        <f>M4/M5</f>
        <v>11.312101910828025</v>
      </c>
      <c r="N6" s="41">
        <f>N4/N5</f>
        <v>11.146666666666667</v>
      </c>
      <c r="O6" s="41">
        <f>O4/O5</f>
        <v>11.314285714285715</v>
      </c>
      <c r="P6" s="34">
        <f>P4/P5</f>
        <v>10.697802197802197</v>
      </c>
    </row>
    <row r="7" spans="1:17" s="34" customFormat="1" x14ac:dyDescent="0.15">
      <c r="A7" s="35" t="s">
        <v>529</v>
      </c>
      <c r="B7" s="34">
        <v>4014</v>
      </c>
      <c r="C7" s="4">
        <v>3957</v>
      </c>
      <c r="F7" s="41">
        <v>3896</v>
      </c>
      <c r="G7" s="34">
        <v>3828</v>
      </c>
      <c r="H7" s="41">
        <v>3814</v>
      </c>
      <c r="I7" s="41">
        <v>3854</v>
      </c>
      <c r="J7" s="41">
        <v>3813</v>
      </c>
      <c r="M7" s="41">
        <v>3880</v>
      </c>
      <c r="N7" s="41">
        <v>3853</v>
      </c>
      <c r="O7" s="41">
        <v>3872</v>
      </c>
      <c r="P7" s="34">
        <v>3888</v>
      </c>
    </row>
    <row r="8" spans="1:17" x14ac:dyDescent="0.15">
      <c r="A8" s="1" t="s">
        <v>532</v>
      </c>
      <c r="B8" s="34" t="s">
        <v>511</v>
      </c>
      <c r="C8" t="s">
        <v>512</v>
      </c>
      <c r="D8" t="s">
        <v>513</v>
      </c>
      <c r="E8" s="34" t="s">
        <v>514</v>
      </c>
      <c r="F8" s="42" t="s">
        <v>515</v>
      </c>
      <c r="G8" s="41" t="s">
        <v>516</v>
      </c>
      <c r="H8" s="41" t="s">
        <v>517</v>
      </c>
      <c r="I8" s="41" t="s">
        <v>518</v>
      </c>
      <c r="J8" t="s">
        <v>519</v>
      </c>
      <c r="K8" t="s">
        <v>520</v>
      </c>
      <c r="L8" s="34" t="s">
        <v>521</v>
      </c>
      <c r="M8" s="4" t="s">
        <v>522</v>
      </c>
      <c r="N8" s="42" t="s">
        <v>523</v>
      </c>
      <c r="O8" s="42" t="s">
        <v>524</v>
      </c>
      <c r="P8" s="4" t="s">
        <v>525</v>
      </c>
      <c r="Q8" t="s">
        <v>526</v>
      </c>
    </row>
    <row r="9" spans="1:17" x14ac:dyDescent="0.15">
      <c r="A9" s="1" t="s">
        <v>492</v>
      </c>
      <c r="B9" s="34">
        <v>4251</v>
      </c>
      <c r="E9" s="34">
        <v>5769</v>
      </c>
      <c r="F9" s="42">
        <v>5192</v>
      </c>
      <c r="G9" s="41">
        <v>4516</v>
      </c>
      <c r="H9" s="41">
        <v>4391</v>
      </c>
      <c r="I9" s="41">
        <v>4691</v>
      </c>
      <c r="L9" s="34">
        <v>4601</v>
      </c>
      <c r="M9" s="4">
        <v>5573</v>
      </c>
      <c r="N9" s="42">
        <v>4931</v>
      </c>
      <c r="O9" s="42">
        <v>4765</v>
      </c>
      <c r="P9" s="4">
        <v>5473</v>
      </c>
    </row>
    <row r="10" spans="1:17" x14ac:dyDescent="0.15">
      <c r="A10" s="1" t="s">
        <v>493</v>
      </c>
      <c r="B10" s="34">
        <v>368</v>
      </c>
      <c r="E10" s="34">
        <v>517</v>
      </c>
      <c r="F10" s="42">
        <v>482</v>
      </c>
      <c r="G10" s="41">
        <v>407</v>
      </c>
      <c r="H10" s="41">
        <v>405</v>
      </c>
      <c r="I10" s="41">
        <v>420</v>
      </c>
      <c r="L10" s="34">
        <v>426</v>
      </c>
      <c r="M10" s="4">
        <v>519</v>
      </c>
      <c r="N10" s="42">
        <v>468</v>
      </c>
      <c r="O10" s="42">
        <v>450</v>
      </c>
      <c r="P10" s="4">
        <v>493</v>
      </c>
    </row>
    <row r="11" spans="1:17" x14ac:dyDescent="0.15">
      <c r="A11" s="1" t="s">
        <v>494</v>
      </c>
      <c r="B11" s="34">
        <f>B9/B10</f>
        <v>11.551630434782609</v>
      </c>
      <c r="E11" s="34">
        <f t="shared" ref="E11:I11" si="0">E9/E10</f>
        <v>11.158607350096712</v>
      </c>
      <c r="F11" s="42">
        <f t="shared" si="0"/>
        <v>10.771784232365146</v>
      </c>
      <c r="G11" s="41">
        <f t="shared" si="0"/>
        <v>11.095823095823096</v>
      </c>
      <c r="H11" s="41">
        <f t="shared" si="0"/>
        <v>10.841975308641976</v>
      </c>
      <c r="I11" s="41">
        <f t="shared" si="0"/>
        <v>11.169047619047619</v>
      </c>
      <c r="L11" s="34">
        <f>L9/L10</f>
        <v>10.800469483568076</v>
      </c>
      <c r="M11" s="4">
        <f>M9/M10</f>
        <v>10.73795761078998</v>
      </c>
      <c r="N11" s="42">
        <f>N9/N10</f>
        <v>10.536324786324787</v>
      </c>
      <c r="O11" s="42">
        <f>O9/O10</f>
        <v>10.588888888888889</v>
      </c>
      <c r="P11" s="4">
        <f>P9/P10</f>
        <v>11.101419878296147</v>
      </c>
    </row>
    <row r="12" spans="1:17" s="34" customFormat="1" x14ac:dyDescent="0.15">
      <c r="A12" s="35" t="s">
        <v>529</v>
      </c>
      <c r="B12" s="34">
        <v>3906</v>
      </c>
      <c r="E12" s="34">
        <v>4007</v>
      </c>
      <c r="F12" s="42">
        <v>4008</v>
      </c>
      <c r="G12" s="41">
        <v>4006</v>
      </c>
      <c r="H12" s="41">
        <v>4017</v>
      </c>
      <c r="I12" s="41">
        <v>4030</v>
      </c>
      <c r="L12" s="34">
        <v>3987</v>
      </c>
      <c r="M12" s="34">
        <v>4048</v>
      </c>
      <c r="N12" s="34">
        <v>4036</v>
      </c>
      <c r="O12" s="34">
        <v>4029</v>
      </c>
      <c r="P12" s="34">
        <v>4011</v>
      </c>
    </row>
    <row r="13" spans="1:17" s="6" customFormat="1" x14ac:dyDescent="0.15">
      <c r="A13" s="39"/>
    </row>
    <row r="14" spans="1:17" x14ac:dyDescent="0.15">
      <c r="A14" s="1" t="s">
        <v>531</v>
      </c>
      <c r="B14" t="s">
        <v>495</v>
      </c>
      <c r="C14" s="34" t="s">
        <v>496</v>
      </c>
      <c r="D14" s="34" t="s">
        <v>497</v>
      </c>
      <c r="E14" s="34" t="s">
        <v>498</v>
      </c>
      <c r="F14" s="34" t="s">
        <v>499</v>
      </c>
      <c r="G14" s="41" t="s">
        <v>500</v>
      </c>
      <c r="H14" t="s">
        <v>501</v>
      </c>
      <c r="I14" t="s">
        <v>502</v>
      </c>
      <c r="J14" s="4" t="s">
        <v>503</v>
      </c>
      <c r="K14" s="42" t="s">
        <v>504</v>
      </c>
      <c r="L14" s="42" t="s">
        <v>505</v>
      </c>
      <c r="M14" s="42" t="s">
        <v>506</v>
      </c>
      <c r="N14" t="s">
        <v>507</v>
      </c>
      <c r="O14" t="s">
        <v>508</v>
      </c>
      <c r="P14" t="s">
        <v>509</v>
      </c>
    </row>
    <row r="15" spans="1:17" x14ac:dyDescent="0.15">
      <c r="A15" s="1" t="s">
        <v>492</v>
      </c>
      <c r="C15" s="34">
        <v>5488</v>
      </c>
      <c r="D15" s="34">
        <v>5607</v>
      </c>
      <c r="E15" s="34">
        <v>6025</v>
      </c>
      <c r="F15" s="34">
        <v>7931</v>
      </c>
      <c r="G15" s="41">
        <v>6308</v>
      </c>
      <c r="J15" s="4">
        <v>7142</v>
      </c>
      <c r="K15" s="42">
        <v>6952</v>
      </c>
      <c r="L15" s="42">
        <v>6420</v>
      </c>
      <c r="M15" s="42">
        <v>5365</v>
      </c>
    </row>
    <row r="16" spans="1:17" x14ac:dyDescent="0.15">
      <c r="A16" s="1" t="s">
        <v>493</v>
      </c>
      <c r="C16" s="34">
        <v>497</v>
      </c>
      <c r="D16" s="34">
        <v>494</v>
      </c>
      <c r="E16" s="34">
        <v>551</v>
      </c>
      <c r="F16" s="34">
        <v>729</v>
      </c>
      <c r="G16" s="41">
        <v>547</v>
      </c>
      <c r="J16" s="4">
        <v>629</v>
      </c>
      <c r="K16" s="42">
        <v>621</v>
      </c>
      <c r="L16" s="42">
        <v>581</v>
      </c>
      <c r="M16" s="42">
        <v>486</v>
      </c>
    </row>
    <row r="17" spans="1:17" x14ac:dyDescent="0.15">
      <c r="A17" s="1" t="s">
        <v>494</v>
      </c>
      <c r="C17" s="34">
        <f>C15/C16</f>
        <v>11.04225352112676</v>
      </c>
      <c r="D17" s="34">
        <f>D15/D16</f>
        <v>11.350202429149798</v>
      </c>
      <c r="E17" s="34">
        <f>E15/E16</f>
        <v>10.934664246823957</v>
      </c>
      <c r="F17" s="34">
        <f>F15/F16</f>
        <v>10.879286694101509</v>
      </c>
      <c r="G17" s="41">
        <f>G15/G16</f>
        <v>11.53199268738574</v>
      </c>
      <c r="J17" s="4">
        <f>J15/J16</f>
        <v>11.354531001589825</v>
      </c>
      <c r="K17" s="42">
        <f>K15/K16</f>
        <v>11.194847020933977</v>
      </c>
      <c r="L17" s="42">
        <f>L15/L16</f>
        <v>11.049913941480206</v>
      </c>
      <c r="M17" s="42">
        <f>M15/M16</f>
        <v>11.039094650205762</v>
      </c>
    </row>
    <row r="18" spans="1:17" s="34" customFormat="1" x14ac:dyDescent="0.15">
      <c r="A18" s="35" t="s">
        <v>529</v>
      </c>
      <c r="C18" s="34">
        <v>4083</v>
      </c>
      <c r="D18" s="34">
        <v>4100</v>
      </c>
      <c r="E18" s="34">
        <v>4135</v>
      </c>
      <c r="F18" s="34">
        <v>4175</v>
      </c>
      <c r="G18" s="41">
        <v>4194</v>
      </c>
      <c r="J18" s="4">
        <v>4252</v>
      </c>
      <c r="K18" s="42">
        <v>4245</v>
      </c>
      <c r="L18" s="42">
        <v>4216</v>
      </c>
      <c r="M18" s="42">
        <v>4250</v>
      </c>
      <c r="O18" s="34">
        <v>4199</v>
      </c>
      <c r="P18" s="34">
        <v>4163</v>
      </c>
    </row>
    <row r="19" spans="1:17" x14ac:dyDescent="0.15">
      <c r="A19" s="1" t="s">
        <v>531</v>
      </c>
      <c r="B19" s="42" t="s">
        <v>511</v>
      </c>
      <c r="C19" s="42" t="s">
        <v>512</v>
      </c>
      <c r="D19" s="41" t="s">
        <v>513</v>
      </c>
      <c r="E19" s="41" t="s">
        <v>514</v>
      </c>
      <c r="F19" s="41" t="s">
        <v>515</v>
      </c>
      <c r="G19" t="s">
        <v>516</v>
      </c>
      <c r="H19" t="s">
        <v>517</v>
      </c>
      <c r="I19" s="41" t="s">
        <v>518</v>
      </c>
      <c r="J19" s="41" t="s">
        <v>519</v>
      </c>
      <c r="K19" s="41" t="s">
        <v>520</v>
      </c>
      <c r="L19" s="41" t="s">
        <v>521</v>
      </c>
      <c r="M19" s="41" t="s">
        <v>522</v>
      </c>
      <c r="N19" t="s">
        <v>523</v>
      </c>
      <c r="O19" t="s">
        <v>524</v>
      </c>
      <c r="P19" s="41" t="s">
        <v>525</v>
      </c>
      <c r="Q19" t="s">
        <v>526</v>
      </c>
    </row>
    <row r="20" spans="1:17" x14ac:dyDescent="0.15">
      <c r="A20" s="1" t="s">
        <v>492</v>
      </c>
      <c r="B20" s="42">
        <v>5807</v>
      </c>
      <c r="C20" s="42">
        <v>5853</v>
      </c>
      <c r="D20" s="41">
        <v>4866</v>
      </c>
      <c r="E20" s="41">
        <v>4910</v>
      </c>
      <c r="F20" s="41">
        <v>5466</v>
      </c>
      <c r="I20" s="41">
        <v>5078</v>
      </c>
      <c r="J20" s="41">
        <v>5479</v>
      </c>
      <c r="K20" s="41">
        <v>5237</v>
      </c>
      <c r="L20" s="41">
        <v>5366</v>
      </c>
      <c r="M20" s="41">
        <v>3958</v>
      </c>
      <c r="P20" s="41">
        <v>3451</v>
      </c>
    </row>
    <row r="21" spans="1:17" x14ac:dyDescent="0.15">
      <c r="A21" s="1" t="s">
        <v>493</v>
      </c>
      <c r="B21" s="42">
        <v>539</v>
      </c>
      <c r="C21" s="42">
        <v>551</v>
      </c>
      <c r="D21" s="41">
        <v>424</v>
      </c>
      <c r="E21" s="41">
        <v>427</v>
      </c>
      <c r="F21" s="41">
        <v>463</v>
      </c>
      <c r="I21" s="41">
        <v>439</v>
      </c>
      <c r="J21" s="41">
        <v>447</v>
      </c>
      <c r="K21" s="41">
        <v>453</v>
      </c>
      <c r="L21" s="41">
        <v>477</v>
      </c>
      <c r="M21" s="41">
        <v>347</v>
      </c>
      <c r="P21" s="41">
        <v>299</v>
      </c>
    </row>
    <row r="22" spans="1:17" x14ac:dyDescent="0.15">
      <c r="A22" s="1" t="s">
        <v>494</v>
      </c>
      <c r="B22" s="42">
        <f>B20/B21</f>
        <v>10.77365491651206</v>
      </c>
      <c r="C22" s="42">
        <f>C20/C21</f>
        <v>10.622504537205081</v>
      </c>
      <c r="D22" s="41">
        <f>D20/D21</f>
        <v>11.476415094339623</v>
      </c>
      <c r="E22" s="41">
        <f>E20/E21</f>
        <v>11.498829039812646</v>
      </c>
      <c r="F22" s="41">
        <f>F20/F21</f>
        <v>11.80561555075594</v>
      </c>
      <c r="I22" s="41">
        <f>I20/I21</f>
        <v>11.567198177676538</v>
      </c>
      <c r="J22" s="41">
        <f>J20/J21</f>
        <v>12.257270693512304</v>
      </c>
      <c r="K22" s="41">
        <f>K20/K21</f>
        <v>11.560706401766005</v>
      </c>
      <c r="L22" s="41">
        <f>L20/L21</f>
        <v>11.249475890985325</v>
      </c>
      <c r="M22" s="41">
        <f>M20/M21</f>
        <v>11.406340057636887</v>
      </c>
      <c r="P22" s="41">
        <f>P20/P21</f>
        <v>11.54180602006689</v>
      </c>
    </row>
    <row r="23" spans="1:17" s="34" customFormat="1" x14ac:dyDescent="0.15">
      <c r="A23" s="35" t="s">
        <v>529</v>
      </c>
      <c r="B23" s="42">
        <v>4249</v>
      </c>
      <c r="C23" s="42">
        <v>4167</v>
      </c>
      <c r="D23" s="41">
        <v>4178</v>
      </c>
      <c r="E23" s="41">
        <v>4208</v>
      </c>
      <c r="F23" s="41">
        <v>4216</v>
      </c>
      <c r="I23" s="41">
        <v>4175</v>
      </c>
      <c r="J23" s="41">
        <v>4187</v>
      </c>
      <c r="K23" s="41">
        <v>4134</v>
      </c>
      <c r="L23" s="41">
        <v>4064</v>
      </c>
      <c r="M23" s="41">
        <v>4085</v>
      </c>
      <c r="P23" s="41">
        <v>4042</v>
      </c>
    </row>
    <row r="24" spans="1:17" s="6" customFormat="1" x14ac:dyDescent="0.15">
      <c r="A24" s="39"/>
    </row>
    <row r="25" spans="1:17" x14ac:dyDescent="0.15">
      <c r="A25" s="1" t="s">
        <v>530</v>
      </c>
      <c r="B25" t="s">
        <v>495</v>
      </c>
      <c r="C25" t="s">
        <v>496</v>
      </c>
      <c r="D25" t="s">
        <v>497</v>
      </c>
      <c r="E25" t="s">
        <v>498</v>
      </c>
      <c r="F25" t="s">
        <v>499</v>
      </c>
      <c r="G25" t="s">
        <v>500</v>
      </c>
      <c r="H25" t="s">
        <v>501</v>
      </c>
      <c r="I25" t="s">
        <v>502</v>
      </c>
      <c r="J25" s="34" t="s">
        <v>503</v>
      </c>
      <c r="K25" t="s">
        <v>504</v>
      </c>
      <c r="L25" t="s">
        <v>505</v>
      </c>
      <c r="M25" t="s">
        <v>506</v>
      </c>
      <c r="N25" t="s">
        <v>507</v>
      </c>
      <c r="O25" t="s">
        <v>508</v>
      </c>
      <c r="P25" t="s">
        <v>509</v>
      </c>
    </row>
    <row r="26" spans="1:17" x14ac:dyDescent="0.15">
      <c r="A26" s="1" t="s">
        <v>492</v>
      </c>
      <c r="I26">
        <v>3685</v>
      </c>
      <c r="J26" s="34">
        <v>3625</v>
      </c>
      <c r="K26">
        <v>4171</v>
      </c>
      <c r="L26">
        <v>4532</v>
      </c>
      <c r="O26">
        <v>5302</v>
      </c>
      <c r="P26">
        <v>4546</v>
      </c>
    </row>
    <row r="27" spans="1:17" x14ac:dyDescent="0.15">
      <c r="A27" s="1" t="s">
        <v>493</v>
      </c>
      <c r="I27">
        <v>313</v>
      </c>
      <c r="J27" s="34">
        <v>318</v>
      </c>
      <c r="K27">
        <v>356</v>
      </c>
      <c r="L27">
        <v>404</v>
      </c>
      <c r="O27">
        <v>493</v>
      </c>
      <c r="P27">
        <v>421</v>
      </c>
    </row>
    <row r="28" spans="1:17" x14ac:dyDescent="0.15">
      <c r="A28" s="1" t="s">
        <v>494</v>
      </c>
      <c r="I28">
        <f>I26/I27</f>
        <v>11.773162939297125</v>
      </c>
      <c r="J28" s="34">
        <f>J26/J27</f>
        <v>11.39937106918239</v>
      </c>
      <c r="K28">
        <f>K26/K27</f>
        <v>11.716292134831461</v>
      </c>
      <c r="L28">
        <f>L26/L27</f>
        <v>11.217821782178218</v>
      </c>
      <c r="O28">
        <f>O26/O27</f>
        <v>10.754563894523326</v>
      </c>
      <c r="P28">
        <f>P26/P27</f>
        <v>10.79809976247031</v>
      </c>
    </row>
    <row r="29" spans="1:17" s="34" customFormat="1" x14ac:dyDescent="0.15">
      <c r="A29" s="35" t="s">
        <v>529</v>
      </c>
      <c r="I29" s="34">
        <v>4055</v>
      </c>
      <c r="J29" s="34">
        <v>4076</v>
      </c>
      <c r="K29" s="34">
        <v>4120</v>
      </c>
      <c r="L29" s="34">
        <v>4145</v>
      </c>
      <c r="O29" s="34">
        <v>4199</v>
      </c>
      <c r="P29" s="34">
        <v>4163</v>
      </c>
    </row>
    <row r="30" spans="1:17" x14ac:dyDescent="0.15">
      <c r="A30" s="1" t="s">
        <v>530</v>
      </c>
      <c r="B30" t="s">
        <v>511</v>
      </c>
      <c r="C30" t="s">
        <v>512</v>
      </c>
      <c r="D30" t="s">
        <v>513</v>
      </c>
      <c r="E30" t="s">
        <v>514</v>
      </c>
      <c r="F30" t="s">
        <v>515</v>
      </c>
      <c r="G30" t="s">
        <v>516</v>
      </c>
      <c r="H30" t="s">
        <v>517</v>
      </c>
      <c r="I30" t="s">
        <v>518</v>
      </c>
      <c r="J30" t="s">
        <v>519</v>
      </c>
      <c r="K30" t="s">
        <v>520</v>
      </c>
      <c r="L30" t="s">
        <v>521</v>
      </c>
      <c r="M30" t="s">
        <v>522</v>
      </c>
      <c r="N30" t="s">
        <v>523</v>
      </c>
      <c r="O30" t="s">
        <v>524</v>
      </c>
      <c r="P30" t="s">
        <v>525</v>
      </c>
      <c r="Q30" t="s">
        <v>526</v>
      </c>
    </row>
    <row r="31" spans="1:17" x14ac:dyDescent="0.15">
      <c r="A31" s="1" t="s">
        <v>492</v>
      </c>
      <c r="B31">
        <v>4197</v>
      </c>
      <c r="C31">
        <v>3581</v>
      </c>
      <c r="D31">
        <v>4117</v>
      </c>
      <c r="G31">
        <v>3651</v>
      </c>
      <c r="H31">
        <v>3524</v>
      </c>
      <c r="I31">
        <v>3629</v>
      </c>
      <c r="J31">
        <v>3557</v>
      </c>
      <c r="K31">
        <v>4001</v>
      </c>
      <c r="N31">
        <v>5134</v>
      </c>
      <c r="O31">
        <v>5283</v>
      </c>
      <c r="P31">
        <v>4575</v>
      </c>
      <c r="Q31">
        <v>4391</v>
      </c>
    </row>
    <row r="32" spans="1:17" x14ac:dyDescent="0.15">
      <c r="A32" s="1" t="s">
        <v>493</v>
      </c>
      <c r="B32">
        <v>382</v>
      </c>
      <c r="C32">
        <v>328</v>
      </c>
      <c r="D32">
        <v>387</v>
      </c>
      <c r="G32">
        <v>341</v>
      </c>
      <c r="H32">
        <v>324</v>
      </c>
      <c r="I32">
        <v>338</v>
      </c>
      <c r="J32">
        <v>333</v>
      </c>
      <c r="K32">
        <v>360</v>
      </c>
      <c r="N32">
        <v>471</v>
      </c>
      <c r="O32">
        <v>482</v>
      </c>
      <c r="P32">
        <v>426</v>
      </c>
      <c r="Q32">
        <v>399</v>
      </c>
    </row>
    <row r="33" spans="1:17" x14ac:dyDescent="0.15">
      <c r="A33" s="1" t="s">
        <v>494</v>
      </c>
      <c r="B33">
        <f>B31/B32</f>
        <v>10.986910994764397</v>
      </c>
      <c r="C33">
        <f>C31/C32</f>
        <v>10.917682926829269</v>
      </c>
      <c r="D33">
        <f>D31/D32</f>
        <v>10.638242894056848</v>
      </c>
      <c r="G33">
        <f>G31/G32</f>
        <v>10.706744868035191</v>
      </c>
      <c r="H33">
        <f>H31/H32</f>
        <v>10.876543209876543</v>
      </c>
      <c r="I33">
        <f>I31/I32</f>
        <v>10.736686390532544</v>
      </c>
      <c r="J33">
        <f>J31/J32</f>
        <v>10.681681681681681</v>
      </c>
      <c r="K33">
        <f>K31/K32</f>
        <v>11.113888888888889</v>
      </c>
      <c r="N33">
        <f>N31/N32</f>
        <v>10.900212314225053</v>
      </c>
      <c r="O33">
        <f>O31/O32</f>
        <v>10.960580912863071</v>
      </c>
      <c r="P33">
        <f>P31/P32</f>
        <v>10.73943661971831</v>
      </c>
      <c r="Q33">
        <f>Q31/Q32</f>
        <v>11.005012531328321</v>
      </c>
    </row>
    <row r="34" spans="1:17" s="34" customFormat="1" x14ac:dyDescent="0.15">
      <c r="A34" s="35" t="s">
        <v>529</v>
      </c>
      <c r="B34" s="34">
        <v>4145</v>
      </c>
      <c r="C34" s="34">
        <v>4144</v>
      </c>
      <c r="D34" s="34">
        <v>4088</v>
      </c>
      <c r="G34" s="34">
        <v>4148</v>
      </c>
      <c r="H34" s="34">
        <v>4164</v>
      </c>
      <c r="I34" s="34">
        <v>4147</v>
      </c>
      <c r="L34" s="34">
        <v>4061</v>
      </c>
      <c r="M34" s="34">
        <v>4065</v>
      </c>
      <c r="N34" s="34">
        <v>4060</v>
      </c>
      <c r="O34" s="34">
        <v>4076</v>
      </c>
      <c r="P34" s="34">
        <v>4040</v>
      </c>
    </row>
    <row r="35" spans="1:17" s="6" customFormat="1" x14ac:dyDescent="0.15">
      <c r="A35" s="39"/>
    </row>
    <row r="36" spans="1:17" x14ac:dyDescent="0.15">
      <c r="A36" s="1" t="s">
        <v>528</v>
      </c>
      <c r="B36" t="s">
        <v>495</v>
      </c>
      <c r="C36" t="s">
        <v>496</v>
      </c>
      <c r="D36" t="s">
        <v>497</v>
      </c>
      <c r="E36" t="s">
        <v>498</v>
      </c>
      <c r="F36" t="s">
        <v>499</v>
      </c>
      <c r="G36" t="s">
        <v>500</v>
      </c>
      <c r="H36" t="s">
        <v>501</v>
      </c>
      <c r="I36" t="s">
        <v>502</v>
      </c>
      <c r="J36" t="s">
        <v>503</v>
      </c>
      <c r="K36" t="s">
        <v>504</v>
      </c>
      <c r="L36" t="s">
        <v>505</v>
      </c>
      <c r="M36" t="s">
        <v>506</v>
      </c>
      <c r="N36" t="s">
        <v>507</v>
      </c>
      <c r="O36" t="s">
        <v>508</v>
      </c>
      <c r="P36" t="s">
        <v>509</v>
      </c>
    </row>
    <row r="37" spans="1:17" x14ac:dyDescent="0.15">
      <c r="A37" s="1" t="s">
        <v>492</v>
      </c>
      <c r="B37">
        <v>4245</v>
      </c>
      <c r="E37">
        <v>4598</v>
      </c>
      <c r="F37">
        <v>4674</v>
      </c>
      <c r="G37">
        <v>4370</v>
      </c>
      <c r="H37">
        <v>3847</v>
      </c>
      <c r="I37">
        <v>4350</v>
      </c>
      <c r="L37">
        <v>4101</v>
      </c>
      <c r="M37">
        <v>3548</v>
      </c>
      <c r="N37">
        <v>3477</v>
      </c>
      <c r="O37">
        <v>3757</v>
      </c>
      <c r="P37">
        <v>3946</v>
      </c>
    </row>
    <row r="38" spans="1:17" x14ac:dyDescent="0.15">
      <c r="A38" s="1" t="s">
        <v>493</v>
      </c>
      <c r="B38">
        <v>382</v>
      </c>
      <c r="E38">
        <v>402</v>
      </c>
      <c r="F38">
        <v>413</v>
      </c>
      <c r="G38">
        <v>393</v>
      </c>
      <c r="H38">
        <v>349</v>
      </c>
      <c r="I38">
        <v>379</v>
      </c>
      <c r="L38">
        <v>385</v>
      </c>
      <c r="M38">
        <v>332</v>
      </c>
      <c r="N38">
        <v>310</v>
      </c>
      <c r="O38">
        <v>330</v>
      </c>
      <c r="P38">
        <v>347</v>
      </c>
    </row>
    <row r="39" spans="1:17" x14ac:dyDescent="0.15">
      <c r="A39" s="1" t="s">
        <v>494</v>
      </c>
      <c r="B39">
        <f>B37/B38</f>
        <v>11.112565445026178</v>
      </c>
      <c r="E39">
        <f>E37/E38</f>
        <v>11.437810945273633</v>
      </c>
      <c r="F39">
        <f>F37/F38</f>
        <v>11.317191283292978</v>
      </c>
      <c r="G39">
        <f>G37/G38</f>
        <v>11.119592875318066</v>
      </c>
      <c r="H39">
        <f>H37/H38</f>
        <v>11.022922636103152</v>
      </c>
      <c r="I39">
        <f>I37/I38</f>
        <v>11.477572559366754</v>
      </c>
      <c r="L39">
        <f>L37/L38</f>
        <v>10.651948051948052</v>
      </c>
      <c r="M39">
        <f>M37/M38</f>
        <v>10.686746987951807</v>
      </c>
      <c r="N39">
        <f>N37/N38</f>
        <v>11.216129032258065</v>
      </c>
      <c r="O39">
        <f>O37/O38</f>
        <v>11.384848484848485</v>
      </c>
      <c r="P39">
        <f>P37/P38</f>
        <v>11.371757925072046</v>
      </c>
    </row>
    <row r="40" spans="1:17" s="34" customFormat="1" x14ac:dyDescent="0.15">
      <c r="A40" s="35" t="s">
        <v>529</v>
      </c>
      <c r="B40" s="34">
        <v>4129</v>
      </c>
      <c r="E40" s="34">
        <v>4154</v>
      </c>
      <c r="F40" s="34">
        <v>4175</v>
      </c>
      <c r="G40" s="34">
        <v>4148</v>
      </c>
      <c r="H40" s="34">
        <v>4164</v>
      </c>
      <c r="I40" s="34">
        <v>4147</v>
      </c>
      <c r="L40" s="34">
        <v>4061</v>
      </c>
      <c r="M40" s="34">
        <v>4065</v>
      </c>
      <c r="N40" s="34">
        <v>4060</v>
      </c>
      <c r="O40" s="34">
        <v>4076</v>
      </c>
      <c r="P40" s="34">
        <v>4040</v>
      </c>
    </row>
    <row r="41" spans="1:17" x14ac:dyDescent="0.15">
      <c r="A41" s="1" t="s">
        <v>528</v>
      </c>
      <c r="B41" t="s">
        <v>511</v>
      </c>
      <c r="C41" t="s">
        <v>512</v>
      </c>
      <c r="D41" t="s">
        <v>513</v>
      </c>
      <c r="E41" t="s">
        <v>514</v>
      </c>
      <c r="F41" t="s">
        <v>515</v>
      </c>
      <c r="G41" t="s">
        <v>516</v>
      </c>
      <c r="H41" t="s">
        <v>517</v>
      </c>
      <c r="I41" t="s">
        <v>518</v>
      </c>
      <c r="J41" t="s">
        <v>519</v>
      </c>
      <c r="K41" t="s">
        <v>520</v>
      </c>
      <c r="L41" t="s">
        <v>521</v>
      </c>
      <c r="M41" t="s">
        <v>522</v>
      </c>
      <c r="N41" t="s">
        <v>523</v>
      </c>
      <c r="O41" t="s">
        <v>524</v>
      </c>
      <c r="P41" t="s">
        <v>525</v>
      </c>
      <c r="Q41" t="s">
        <v>526</v>
      </c>
    </row>
    <row r="42" spans="1:17" x14ac:dyDescent="0.15">
      <c r="A42" s="1" t="s">
        <v>492</v>
      </c>
      <c r="D42">
        <v>3537</v>
      </c>
      <c r="E42">
        <v>4141</v>
      </c>
      <c r="F42">
        <v>4211</v>
      </c>
      <c r="G42">
        <v>3563</v>
      </c>
      <c r="H42">
        <v>4681</v>
      </c>
      <c r="K42">
        <v>4175</v>
      </c>
      <c r="L42">
        <v>3871</v>
      </c>
      <c r="M42">
        <v>3522</v>
      </c>
      <c r="N42">
        <v>3157</v>
      </c>
      <c r="O42">
        <v>3393</v>
      </c>
    </row>
    <row r="43" spans="1:17" x14ac:dyDescent="0.15">
      <c r="A43" s="1" t="s">
        <v>493</v>
      </c>
      <c r="D43">
        <v>314</v>
      </c>
      <c r="E43">
        <v>360</v>
      </c>
      <c r="F43">
        <v>367</v>
      </c>
      <c r="G43">
        <v>325</v>
      </c>
      <c r="H43">
        <v>408</v>
      </c>
      <c r="K43">
        <v>403</v>
      </c>
      <c r="L43">
        <v>377</v>
      </c>
      <c r="M43">
        <v>331</v>
      </c>
      <c r="N43">
        <v>299</v>
      </c>
      <c r="O43">
        <v>304</v>
      </c>
    </row>
    <row r="44" spans="1:17" x14ac:dyDescent="0.15">
      <c r="A44" s="1" t="s">
        <v>494</v>
      </c>
      <c r="D44">
        <f>D42/D43</f>
        <v>11.264331210191083</v>
      </c>
      <c r="E44">
        <f>E42/E43</f>
        <v>11.502777777777778</v>
      </c>
      <c r="F44">
        <f>F42/F43</f>
        <v>11.474114441416894</v>
      </c>
      <c r="G44">
        <f>G42/G43</f>
        <v>10.963076923076922</v>
      </c>
      <c r="H44">
        <f>H42/H43</f>
        <v>11.473039215686274</v>
      </c>
      <c r="K44">
        <f>K42/K43</f>
        <v>10.359801488833748</v>
      </c>
      <c r="L44">
        <f>L42/L43</f>
        <v>10.26790450928382</v>
      </c>
      <c r="M44">
        <f>M42/M43</f>
        <v>10.640483383685801</v>
      </c>
      <c r="N44">
        <f>N42/N43</f>
        <v>10.558528428093645</v>
      </c>
      <c r="O44">
        <f>O42/O43</f>
        <v>11.161184210526315</v>
      </c>
    </row>
    <row r="45" spans="1:17" s="34" customFormat="1" x14ac:dyDescent="0.15">
      <c r="A45" s="35" t="s">
        <v>529</v>
      </c>
      <c r="B45" s="34">
        <v>4129</v>
      </c>
      <c r="E45" s="34">
        <v>4154</v>
      </c>
      <c r="F45" s="34">
        <v>4175</v>
      </c>
      <c r="G45" s="34">
        <v>4148</v>
      </c>
      <c r="H45" s="34">
        <v>4164</v>
      </c>
      <c r="I45" s="34">
        <v>4147</v>
      </c>
      <c r="L45" s="34">
        <v>4061</v>
      </c>
      <c r="M45" s="34">
        <v>4065</v>
      </c>
      <c r="N45" s="34">
        <v>4060</v>
      </c>
      <c r="O45" s="34">
        <v>4076</v>
      </c>
      <c r="P45" s="34">
        <v>4040</v>
      </c>
    </row>
    <row r="46" spans="1:17" x14ac:dyDescent="0.15">
      <c r="A46" s="1"/>
    </row>
    <row r="47" spans="1:17" x14ac:dyDescent="0.15">
      <c r="A47" s="1" t="s">
        <v>527</v>
      </c>
      <c r="B47" t="s">
        <v>495</v>
      </c>
      <c r="C47" t="s">
        <v>496</v>
      </c>
      <c r="D47" t="s">
        <v>497</v>
      </c>
      <c r="E47" t="s">
        <v>498</v>
      </c>
      <c r="F47" t="s">
        <v>499</v>
      </c>
      <c r="G47" t="s">
        <v>500</v>
      </c>
      <c r="H47" t="s">
        <v>501</v>
      </c>
      <c r="I47" t="s">
        <v>502</v>
      </c>
      <c r="J47" t="s">
        <v>503</v>
      </c>
      <c r="K47" t="s">
        <v>504</v>
      </c>
      <c r="L47" t="s">
        <v>505</v>
      </c>
      <c r="M47" t="s">
        <v>506</v>
      </c>
      <c r="N47" t="s">
        <v>507</v>
      </c>
      <c r="O47" t="s">
        <v>508</v>
      </c>
      <c r="P47" t="s">
        <v>509</v>
      </c>
    </row>
    <row r="48" spans="1:17" x14ac:dyDescent="0.15">
      <c r="A48" s="1" t="s">
        <v>492</v>
      </c>
      <c r="C48">
        <v>3391</v>
      </c>
      <c r="D48">
        <v>3431</v>
      </c>
      <c r="E48">
        <v>3521</v>
      </c>
      <c r="F48">
        <v>4206</v>
      </c>
      <c r="G48">
        <v>4073</v>
      </c>
      <c r="J48">
        <v>4576</v>
      </c>
      <c r="K48">
        <v>4539</v>
      </c>
      <c r="L48">
        <v>4594</v>
      </c>
      <c r="M48">
        <v>4440</v>
      </c>
      <c r="N48">
        <v>5615</v>
      </c>
    </row>
    <row r="49" spans="1:17" x14ac:dyDescent="0.15">
      <c r="A49" s="1" t="s">
        <v>493</v>
      </c>
      <c r="C49">
        <v>330</v>
      </c>
      <c r="D49">
        <v>314</v>
      </c>
      <c r="E49">
        <v>325</v>
      </c>
      <c r="F49">
        <v>370</v>
      </c>
      <c r="G49">
        <v>361</v>
      </c>
      <c r="J49">
        <v>415</v>
      </c>
      <c r="K49">
        <v>412</v>
      </c>
      <c r="L49">
        <v>429</v>
      </c>
      <c r="M49">
        <v>404</v>
      </c>
      <c r="N49">
        <v>503</v>
      </c>
    </row>
    <row r="50" spans="1:17" x14ac:dyDescent="0.15">
      <c r="A50" s="1" t="s">
        <v>494</v>
      </c>
      <c r="C50">
        <f>C48/C49</f>
        <v>10.275757575757575</v>
      </c>
      <c r="D50">
        <f>D48/D49</f>
        <v>10.926751592356688</v>
      </c>
      <c r="E50">
        <f>E48/E49</f>
        <v>10.833846153846153</v>
      </c>
      <c r="F50">
        <f>F48/F49</f>
        <v>11.367567567567567</v>
      </c>
      <c r="G50">
        <f>G48/G49</f>
        <v>11.282548476454293</v>
      </c>
      <c r="J50">
        <f>J48/J49</f>
        <v>11.026506024096385</v>
      </c>
      <c r="K50">
        <f>K48/K49</f>
        <v>11.016990291262136</v>
      </c>
      <c r="L50">
        <f>L48/L49</f>
        <v>10.708624708624709</v>
      </c>
      <c r="M50">
        <f>M48/M49</f>
        <v>10.990099009900991</v>
      </c>
      <c r="N50">
        <f>N48/N49</f>
        <v>11.163021868787276</v>
      </c>
    </row>
    <row r="51" spans="1:17" s="34" customFormat="1" x14ac:dyDescent="0.15">
      <c r="A51" s="35" t="s">
        <v>529</v>
      </c>
      <c r="C51" s="34">
        <v>4021</v>
      </c>
      <c r="D51" s="34">
        <v>4039</v>
      </c>
      <c r="E51" s="34">
        <v>4040</v>
      </c>
      <c r="F51" s="34">
        <v>4077</v>
      </c>
      <c r="G51" s="34">
        <v>4103</v>
      </c>
      <c r="J51" s="34">
        <v>4106</v>
      </c>
      <c r="K51" s="34">
        <v>4119</v>
      </c>
      <c r="L51" s="34">
        <v>4114</v>
      </c>
      <c r="M51" s="34">
        <v>4105</v>
      </c>
      <c r="N51" s="34">
        <v>4172</v>
      </c>
    </row>
    <row r="52" spans="1:17" x14ac:dyDescent="0.15">
      <c r="A52" s="1" t="s">
        <v>527</v>
      </c>
      <c r="B52" t="s">
        <v>511</v>
      </c>
      <c r="C52" t="s">
        <v>512</v>
      </c>
      <c r="D52" t="s">
        <v>513</v>
      </c>
      <c r="E52" t="s">
        <v>514</v>
      </c>
      <c r="F52" t="s">
        <v>515</v>
      </c>
      <c r="G52" t="s">
        <v>516</v>
      </c>
      <c r="H52" t="s">
        <v>517</v>
      </c>
      <c r="I52" t="s">
        <v>518</v>
      </c>
      <c r="J52" t="s">
        <v>519</v>
      </c>
      <c r="K52" t="s">
        <v>520</v>
      </c>
      <c r="L52" t="s">
        <v>521</v>
      </c>
      <c r="M52" t="s">
        <v>522</v>
      </c>
      <c r="N52" t="s">
        <v>523</v>
      </c>
      <c r="O52" t="s">
        <v>524</v>
      </c>
      <c r="P52" t="s">
        <v>525</v>
      </c>
      <c r="Q52" t="s">
        <v>526</v>
      </c>
    </row>
    <row r="53" spans="1:17" x14ac:dyDescent="0.15">
      <c r="A53" s="1" t="s">
        <v>492</v>
      </c>
      <c r="B53">
        <v>6190</v>
      </c>
      <c r="C53">
        <v>7463</v>
      </c>
      <c r="D53">
        <v>6637</v>
      </c>
      <c r="E53">
        <v>5742</v>
      </c>
      <c r="F53">
        <v>5678</v>
      </c>
      <c r="I53">
        <v>5329</v>
      </c>
      <c r="J53">
        <v>4386</v>
      </c>
      <c r="K53">
        <v>4982</v>
      </c>
      <c r="L53">
        <v>4992</v>
      </c>
      <c r="M53">
        <v>6272</v>
      </c>
      <c r="P53">
        <v>6086</v>
      </c>
      <c r="Q53">
        <v>5309</v>
      </c>
    </row>
    <row r="54" spans="1:17" x14ac:dyDescent="0.15">
      <c r="A54" s="1" t="s">
        <v>493</v>
      </c>
      <c r="B54">
        <v>562</v>
      </c>
      <c r="C54">
        <v>712</v>
      </c>
      <c r="D54">
        <v>621</v>
      </c>
      <c r="E54">
        <v>554</v>
      </c>
      <c r="F54">
        <v>558</v>
      </c>
      <c r="I54">
        <v>513</v>
      </c>
      <c r="J54">
        <v>425</v>
      </c>
      <c r="K54">
        <v>465</v>
      </c>
      <c r="L54">
        <v>474</v>
      </c>
      <c r="M54">
        <v>597</v>
      </c>
      <c r="P54">
        <v>570</v>
      </c>
      <c r="Q54">
        <v>500</v>
      </c>
    </row>
    <row r="55" spans="1:17" x14ac:dyDescent="0.15">
      <c r="A55" s="1" t="s">
        <v>494</v>
      </c>
      <c r="B55">
        <f>B53/B54</f>
        <v>11.01423487544484</v>
      </c>
      <c r="C55">
        <f>C53/C54</f>
        <v>10.481741573033707</v>
      </c>
      <c r="D55">
        <f>D53/D54</f>
        <v>10.687600644122384</v>
      </c>
      <c r="E55">
        <f>E53/E54</f>
        <v>10.364620938628159</v>
      </c>
      <c r="F55">
        <f>F53/F54</f>
        <v>10.175627240143369</v>
      </c>
      <c r="I55">
        <f>I53/I54</f>
        <v>10.387914230019494</v>
      </c>
      <c r="J55">
        <f>J53/J54</f>
        <v>10.32</v>
      </c>
      <c r="K55">
        <f>K53/K54</f>
        <v>10.713978494623657</v>
      </c>
      <c r="L55">
        <f>L53/L54</f>
        <v>10.531645569620252</v>
      </c>
      <c r="M55">
        <f>M53/M54</f>
        <v>10.505862646566165</v>
      </c>
      <c r="P55">
        <f>P53/P54</f>
        <v>10.677192982456141</v>
      </c>
      <c r="Q55">
        <f>Q53/Q54</f>
        <v>10.618</v>
      </c>
    </row>
    <row r="56" spans="1:17" s="34" customFormat="1" x14ac:dyDescent="0.15">
      <c r="A56" s="35" t="s">
        <v>529</v>
      </c>
      <c r="B56" s="34">
        <v>4216</v>
      </c>
      <c r="C56" s="34">
        <v>4272</v>
      </c>
      <c r="D56" s="34">
        <v>4269</v>
      </c>
      <c r="E56" s="34">
        <v>4273</v>
      </c>
      <c r="F56" s="34">
        <v>4247</v>
      </c>
      <c r="I56" s="34">
        <v>4178</v>
      </c>
      <c r="J56" s="34">
        <v>4224</v>
      </c>
      <c r="K56" s="34">
        <v>4232</v>
      </c>
      <c r="L56" s="34">
        <v>4267</v>
      </c>
      <c r="M56" s="34">
        <v>4249</v>
      </c>
      <c r="P56" s="34">
        <v>4297</v>
      </c>
      <c r="Q56" s="34">
        <v>4316</v>
      </c>
    </row>
    <row r="57" spans="1:17" x14ac:dyDescent="0.15">
      <c r="A57" s="1"/>
    </row>
    <row r="58" spans="1:17" x14ac:dyDescent="0.15">
      <c r="A58" s="1" t="s">
        <v>510</v>
      </c>
      <c r="B58" t="s">
        <v>495</v>
      </c>
      <c r="C58" t="s">
        <v>496</v>
      </c>
      <c r="D58" t="s">
        <v>497</v>
      </c>
      <c r="E58" t="s">
        <v>498</v>
      </c>
      <c r="F58" t="s">
        <v>499</v>
      </c>
      <c r="G58" t="s">
        <v>500</v>
      </c>
      <c r="H58" t="s">
        <v>501</v>
      </c>
      <c r="I58" t="s">
        <v>502</v>
      </c>
      <c r="J58" t="s">
        <v>503</v>
      </c>
      <c r="K58" t="s">
        <v>504</v>
      </c>
      <c r="L58" t="s">
        <v>505</v>
      </c>
      <c r="M58" t="s">
        <v>506</v>
      </c>
      <c r="N58" t="s">
        <v>507</v>
      </c>
      <c r="O58" t="s">
        <v>508</v>
      </c>
      <c r="P58" t="s">
        <v>509</v>
      </c>
    </row>
    <row r="59" spans="1:17" x14ac:dyDescent="0.15">
      <c r="A59" s="1" t="s">
        <v>492</v>
      </c>
      <c r="C59">
        <v>7498</v>
      </c>
      <c r="D59">
        <v>6939</v>
      </c>
      <c r="G59">
        <v>8007</v>
      </c>
      <c r="H59">
        <v>7292</v>
      </c>
      <c r="I59">
        <v>7764</v>
      </c>
      <c r="J59">
        <v>7047</v>
      </c>
      <c r="K59">
        <v>6391</v>
      </c>
      <c r="N59">
        <v>6672</v>
      </c>
      <c r="O59">
        <v>7006</v>
      </c>
      <c r="P59">
        <v>6100</v>
      </c>
    </row>
    <row r="60" spans="1:17" x14ac:dyDescent="0.15">
      <c r="A60" s="1" t="s">
        <v>493</v>
      </c>
      <c r="C60">
        <v>684</v>
      </c>
      <c r="D60">
        <v>635</v>
      </c>
      <c r="G60">
        <v>751</v>
      </c>
      <c r="H60">
        <v>690</v>
      </c>
      <c r="I60">
        <v>759</v>
      </c>
      <c r="J60">
        <v>639</v>
      </c>
      <c r="K60">
        <v>565</v>
      </c>
      <c r="N60">
        <v>555</v>
      </c>
      <c r="O60">
        <v>606</v>
      </c>
      <c r="P60">
        <v>533</v>
      </c>
    </row>
    <row r="61" spans="1:17" x14ac:dyDescent="0.15">
      <c r="A61" s="1" t="s">
        <v>494</v>
      </c>
      <c r="C61">
        <f>C59/C60</f>
        <v>10.961988304093568</v>
      </c>
      <c r="D61">
        <f>D59/D60</f>
        <v>10.92755905511811</v>
      </c>
      <c r="G61">
        <f>G59/G60</f>
        <v>10.661784287616511</v>
      </c>
      <c r="H61">
        <f>H59/H60</f>
        <v>10.568115942028985</v>
      </c>
      <c r="I61">
        <f>I59/I60</f>
        <v>10.229249011857707</v>
      </c>
      <c r="J61">
        <f>J59/J60</f>
        <v>11.028169014084508</v>
      </c>
      <c r="K61">
        <f>K59/K60</f>
        <v>11.311504424778761</v>
      </c>
      <c r="N61">
        <f>N59/N60</f>
        <v>12.021621621621621</v>
      </c>
      <c r="O61">
        <f>O59/O60</f>
        <v>11.561056105610561</v>
      </c>
      <c r="P61">
        <f>P59/P60</f>
        <v>11.444652908067543</v>
      </c>
    </row>
    <row r="62" spans="1:17" s="34" customFormat="1" x14ac:dyDescent="0.15">
      <c r="A62" s="35" t="s">
        <v>529</v>
      </c>
      <c r="C62" s="34">
        <v>4384</v>
      </c>
      <c r="D62" s="34">
        <v>4389</v>
      </c>
      <c r="G62" s="34">
        <v>4397</v>
      </c>
      <c r="H62" s="34">
        <v>4443</v>
      </c>
      <c r="I62" s="34">
        <v>4388</v>
      </c>
      <c r="J62" s="34">
        <v>4449</v>
      </c>
      <c r="K62" s="34">
        <v>4443</v>
      </c>
      <c r="N62" s="34">
        <v>4492</v>
      </c>
      <c r="O62" s="34">
        <v>4480</v>
      </c>
      <c r="P62" s="34">
        <v>4462</v>
      </c>
    </row>
    <row r="63" spans="1:17" x14ac:dyDescent="0.15">
      <c r="A63" s="1" t="s">
        <v>510</v>
      </c>
      <c r="B63" t="s">
        <v>511</v>
      </c>
      <c r="C63" t="s">
        <v>512</v>
      </c>
      <c r="D63" t="s">
        <v>513</v>
      </c>
      <c r="E63" t="s">
        <v>514</v>
      </c>
      <c r="F63" s="4" t="s">
        <v>515</v>
      </c>
      <c r="G63" s="34" t="s">
        <v>516</v>
      </c>
      <c r="H63" t="s">
        <v>517</v>
      </c>
      <c r="I63" t="s">
        <v>518</v>
      </c>
      <c r="J63" t="s">
        <v>519</v>
      </c>
      <c r="K63" t="s">
        <v>520</v>
      </c>
      <c r="L63" t="s">
        <v>521</v>
      </c>
      <c r="M63" t="s">
        <v>522</v>
      </c>
      <c r="N63" t="s">
        <v>523</v>
      </c>
      <c r="O63" t="s">
        <v>524</v>
      </c>
      <c r="P63" t="s">
        <v>525</v>
      </c>
      <c r="Q63" t="s">
        <v>526</v>
      </c>
    </row>
    <row r="64" spans="1:17" x14ac:dyDescent="0.15">
      <c r="A64" s="1" t="s">
        <v>492</v>
      </c>
      <c r="B64">
        <v>6022</v>
      </c>
      <c r="C64">
        <v>6003</v>
      </c>
      <c r="F64" s="4">
        <v>6704</v>
      </c>
      <c r="G64" s="34">
        <v>6796</v>
      </c>
      <c r="H64">
        <v>7003</v>
      </c>
      <c r="I64">
        <v>8000</v>
      </c>
    </row>
    <row r="65" spans="1:9" x14ac:dyDescent="0.15">
      <c r="A65" s="1" t="s">
        <v>493</v>
      </c>
      <c r="B65">
        <v>506</v>
      </c>
      <c r="C65">
        <v>486</v>
      </c>
      <c r="F65" s="4">
        <v>533</v>
      </c>
      <c r="G65" s="34">
        <v>563</v>
      </c>
      <c r="H65">
        <v>569</v>
      </c>
      <c r="I65">
        <v>668</v>
      </c>
    </row>
    <row r="66" spans="1:9" x14ac:dyDescent="0.15">
      <c r="A66" s="1" t="s">
        <v>494</v>
      </c>
      <c r="B66">
        <f>B64/B65</f>
        <v>11.901185770750988</v>
      </c>
      <c r="C66">
        <f>C64/C65</f>
        <v>12.351851851851851</v>
      </c>
      <c r="F66" s="4">
        <f>F64/F65</f>
        <v>12.577861163227016</v>
      </c>
      <c r="G66" s="34">
        <f>G64/G65</f>
        <v>12.071047957371226</v>
      </c>
      <c r="H66">
        <f>H64/H65</f>
        <v>12.30755711775044</v>
      </c>
      <c r="I66">
        <f>I64/I65</f>
        <v>11.976047904191617</v>
      </c>
    </row>
    <row r="67" spans="1:9" s="34" customFormat="1" x14ac:dyDescent="0.15">
      <c r="A67" s="35" t="s">
        <v>529</v>
      </c>
      <c r="B67" s="34">
        <v>4449</v>
      </c>
      <c r="C67" s="34">
        <v>4447</v>
      </c>
      <c r="F67" s="4">
        <v>4492</v>
      </c>
      <c r="G67" s="34">
        <v>4429</v>
      </c>
      <c r="H67" s="34">
        <v>4451</v>
      </c>
      <c r="I67" s="34">
        <v>4305</v>
      </c>
    </row>
  </sheetData>
  <mergeCells count="1">
    <mergeCell ref="B1:P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A5" sqref="A5"/>
    </sheetView>
  </sheetViews>
  <sheetFormatPr baseColWidth="10" defaultRowHeight="15" x14ac:dyDescent="0.15"/>
  <cols>
    <col min="2" max="13" width="10.83203125" style="37"/>
  </cols>
  <sheetData>
    <row r="1" spans="1:13" s="34" customFormat="1" x14ac:dyDescent="0.15">
      <c r="A1" s="34" t="s">
        <v>445</v>
      </c>
      <c r="B1" s="36" t="s">
        <v>31</v>
      </c>
      <c r="C1" s="36" t="s">
        <v>434</v>
      </c>
      <c r="D1" s="36" t="s">
        <v>435</v>
      </c>
      <c r="E1" s="36" t="s">
        <v>436</v>
      </c>
      <c r="F1" s="36" t="s">
        <v>437</v>
      </c>
      <c r="G1" s="36" t="s">
        <v>438</v>
      </c>
      <c r="H1" s="36" t="s">
        <v>439</v>
      </c>
      <c r="I1" s="36" t="s">
        <v>440</v>
      </c>
      <c r="J1" s="36" t="s">
        <v>441</v>
      </c>
      <c r="K1" s="36" t="s">
        <v>442</v>
      </c>
      <c r="L1" s="36" t="s">
        <v>443</v>
      </c>
      <c r="M1" s="36" t="s">
        <v>444</v>
      </c>
    </row>
    <row r="2" spans="1:13" x14ac:dyDescent="0.15">
      <c r="A2" s="34" t="s">
        <v>431</v>
      </c>
      <c r="B2" s="37">
        <v>0.38469999999999999</v>
      </c>
      <c r="C2" s="37">
        <v>-0.16619999999999999</v>
      </c>
      <c r="D2" s="37">
        <v>0.14330000000000001</v>
      </c>
      <c r="E2" s="37">
        <v>0.1135</v>
      </c>
      <c r="F2" s="37">
        <v>0.12540000000000001</v>
      </c>
      <c r="G2" s="37">
        <v>0.14269999999999999</v>
      </c>
      <c r="H2" s="37">
        <v>0.19120000000000001</v>
      </c>
      <c r="I2" s="37">
        <v>0.2306</v>
      </c>
      <c r="J2" s="37">
        <v>0.2233</v>
      </c>
      <c r="K2" s="37">
        <v>0.2445</v>
      </c>
      <c r="L2" s="37">
        <v>0.24970000000000001</v>
      </c>
      <c r="M2" s="37">
        <v>0.2792</v>
      </c>
    </row>
    <row r="3" spans="1:13" x14ac:dyDescent="0.15">
      <c r="A3" s="34" t="s">
        <v>432</v>
      </c>
      <c r="B3" s="37">
        <v>0.27410000000000001</v>
      </c>
      <c r="C3" s="37">
        <v>-0.16850000000000001</v>
      </c>
      <c r="D3" s="37">
        <v>7.3400000000000007E-2</v>
      </c>
      <c r="E3" s="37">
        <v>6.5600000000000006E-2</v>
      </c>
      <c r="F3" s="37">
        <v>0.1019</v>
      </c>
      <c r="G3" s="37">
        <v>0.15790000000000001</v>
      </c>
      <c r="H3" s="37">
        <v>0.22589999999999999</v>
      </c>
      <c r="I3" s="37">
        <v>0.32779999999999998</v>
      </c>
      <c r="J3" s="37">
        <v>0.37990000000000002</v>
      </c>
      <c r="K3" s="37">
        <v>0.48470000000000002</v>
      </c>
      <c r="L3" s="37">
        <v>0.47920000000000001</v>
      </c>
      <c r="M3" s="37">
        <v>0.57840000000000003</v>
      </c>
    </row>
    <row r="4" spans="1:13" x14ac:dyDescent="0.15">
      <c r="A4" s="34" t="s">
        <v>433</v>
      </c>
      <c r="B4" s="37">
        <v>8.6599999999999996E-2</v>
      </c>
      <c r="C4" s="37">
        <v>2.7000000000000001E-3</v>
      </c>
      <c r="D4" s="37">
        <v>6.4799999999999996E-2</v>
      </c>
      <c r="E4" s="37">
        <v>4.4900000000000002E-2</v>
      </c>
      <c r="F4" s="37">
        <v>2.1399999999999999E-2</v>
      </c>
      <c r="G4" s="37">
        <v>-1.2800000000000001E-2</v>
      </c>
      <c r="H4" s="37">
        <v>-2.8400000000000002E-2</v>
      </c>
      <c r="I4" s="37">
        <v>-7.3200000000000001E-2</v>
      </c>
      <c r="J4" s="37">
        <v>-0.1132</v>
      </c>
      <c r="K4" s="37">
        <v>-0.1618</v>
      </c>
      <c r="L4" s="37">
        <v>-0.15529999999999999</v>
      </c>
      <c r="M4" s="37">
        <v>-0.18940000000000001</v>
      </c>
    </row>
    <row r="5" spans="1:13" x14ac:dyDescent="0.15">
      <c r="A5" s="34"/>
      <c r="B5" s="38"/>
    </row>
    <row r="7" spans="1:13" s="34" customFormat="1" x14ac:dyDescent="0.15">
      <c r="A7" s="34" t="s">
        <v>446</v>
      </c>
      <c r="B7" s="36" t="s">
        <v>31</v>
      </c>
      <c r="C7" s="36" t="s">
        <v>434</v>
      </c>
      <c r="D7" s="36" t="s">
        <v>435</v>
      </c>
      <c r="E7" s="36" t="s">
        <v>436</v>
      </c>
      <c r="F7" s="36" t="s">
        <v>437</v>
      </c>
      <c r="G7" s="36" t="s">
        <v>438</v>
      </c>
      <c r="H7" s="36" t="s">
        <v>439</v>
      </c>
      <c r="I7" s="36" t="s">
        <v>440</v>
      </c>
      <c r="J7" s="36" t="s">
        <v>441</v>
      </c>
      <c r="K7" s="36" t="s">
        <v>442</v>
      </c>
      <c r="L7" s="36" t="s">
        <v>443</v>
      </c>
      <c r="M7" s="36" t="s">
        <v>444</v>
      </c>
    </row>
    <row r="8" spans="1:13" x14ac:dyDescent="0.15">
      <c r="A8" s="34" t="s">
        <v>431</v>
      </c>
      <c r="B8" s="37">
        <v>1.4092</v>
      </c>
      <c r="C8" s="37">
        <v>2.0272999999999999</v>
      </c>
      <c r="D8" s="37">
        <v>1.5319</v>
      </c>
      <c r="E8" s="37">
        <v>1.7887999999999999</v>
      </c>
      <c r="F8" s="37">
        <v>1.8680000000000001</v>
      </c>
      <c r="G8" s="37">
        <v>2.0192000000000001</v>
      </c>
      <c r="H8" s="37">
        <v>2.1888999999999998</v>
      </c>
      <c r="I8" s="37">
        <v>1.9372</v>
      </c>
      <c r="J8" s="37">
        <v>1.5858000000000001</v>
      </c>
      <c r="K8" s="37">
        <v>1.4996</v>
      </c>
      <c r="L8" s="37">
        <v>1.3342000000000001</v>
      </c>
      <c r="M8" s="37">
        <v>1.6521999999999999</v>
      </c>
    </row>
    <row r="9" spans="1:13" x14ac:dyDescent="0.15">
      <c r="A9" s="34" t="s">
        <v>432</v>
      </c>
      <c r="B9" s="37">
        <v>0.35599999999999998</v>
      </c>
      <c r="C9" s="37">
        <v>0.75</v>
      </c>
      <c r="D9" s="37">
        <v>0.35060000000000002</v>
      </c>
      <c r="E9" s="37">
        <v>0.43480000000000002</v>
      </c>
      <c r="F9" s="37">
        <v>0.43</v>
      </c>
      <c r="G9" s="37">
        <v>0.54779999999999995</v>
      </c>
      <c r="H9" s="37">
        <v>0.56130000000000002</v>
      </c>
      <c r="I9" s="37">
        <v>0.45119999999999999</v>
      </c>
      <c r="J9" s="37">
        <v>0.40570000000000001</v>
      </c>
      <c r="K9" s="37">
        <v>0.30270000000000002</v>
      </c>
      <c r="L9" s="37">
        <v>0.38200000000000001</v>
      </c>
      <c r="M9" s="37">
        <v>0.48609999999999998</v>
      </c>
    </row>
    <row r="10" spans="1:13" x14ac:dyDescent="0.15">
      <c r="A10" s="34" t="s">
        <v>433</v>
      </c>
      <c r="B10" s="37">
        <v>0.77110000000000001</v>
      </c>
      <c r="C10" s="37">
        <v>0.72819999999999996</v>
      </c>
      <c r="D10" s="37">
        <v>0.875</v>
      </c>
      <c r="E10" s="37">
        <v>0.93979999999999997</v>
      </c>
      <c r="F10" s="37">
        <v>1.0126999999999999</v>
      </c>
      <c r="G10" s="37">
        <v>0.95089999999999997</v>
      </c>
      <c r="H10" s="37">
        <v>1.0455000000000001</v>
      </c>
      <c r="I10" s="37">
        <v>1.0253000000000001</v>
      </c>
      <c r="J10" s="37">
        <v>0.84119999999999995</v>
      </c>
      <c r="K10" s="37">
        <v>0.91720000000000002</v>
      </c>
      <c r="L10" s="37">
        <v>0.69069999999999998</v>
      </c>
      <c r="M10" s="37">
        <v>0.78820000000000001</v>
      </c>
    </row>
    <row r="11" spans="1:13" x14ac:dyDescent="0.15">
      <c r="A11" s="34"/>
      <c r="B11" s="38"/>
    </row>
    <row r="13" spans="1:13" s="34" customFormat="1" x14ac:dyDescent="0.15">
      <c r="A13" s="34" t="s">
        <v>448</v>
      </c>
      <c r="B13" s="36" t="s">
        <v>31</v>
      </c>
      <c r="C13" s="36" t="s">
        <v>434</v>
      </c>
      <c r="D13" s="36" t="s">
        <v>435</v>
      </c>
      <c r="E13" s="36" t="s">
        <v>436</v>
      </c>
      <c r="F13" s="36" t="s">
        <v>437</v>
      </c>
      <c r="G13" s="36" t="s">
        <v>438</v>
      </c>
      <c r="H13" s="36" t="s">
        <v>439</v>
      </c>
      <c r="I13" s="36" t="s">
        <v>440</v>
      </c>
      <c r="J13" s="36" t="s">
        <v>441</v>
      </c>
      <c r="K13" s="36" t="s">
        <v>442</v>
      </c>
      <c r="L13" s="36" t="s">
        <v>443</v>
      </c>
      <c r="M13" s="36" t="s">
        <v>444</v>
      </c>
    </row>
    <row r="14" spans="1:13" x14ac:dyDescent="0.15">
      <c r="A14" s="34" t="s">
        <v>431</v>
      </c>
      <c r="B14" s="37">
        <v>0.23880000000000001</v>
      </c>
      <c r="C14" s="37">
        <v>0.39739999999999998</v>
      </c>
      <c r="D14" s="37">
        <v>0.19489999999999999</v>
      </c>
      <c r="E14" s="37">
        <v>0.16889999999999999</v>
      </c>
      <c r="F14" s="37">
        <v>0.1293</v>
      </c>
      <c r="G14" s="37">
        <v>0.21110000000000001</v>
      </c>
      <c r="H14" s="37">
        <v>0.24629999999999999</v>
      </c>
      <c r="I14" s="37">
        <v>0.23649999999999999</v>
      </c>
      <c r="J14" s="37">
        <v>0.16700000000000001</v>
      </c>
      <c r="K14" s="37">
        <v>0.16039999999999999</v>
      </c>
      <c r="L14" s="37">
        <v>0.13639999999999999</v>
      </c>
      <c r="M14" s="37">
        <v>4.7199999999999999E-2</v>
      </c>
    </row>
    <row r="15" spans="1:13" x14ac:dyDescent="0.15">
      <c r="A15" s="34" t="s">
        <v>432</v>
      </c>
      <c r="B15" s="37">
        <v>0.36130000000000001</v>
      </c>
      <c r="C15" s="37">
        <v>0.62770000000000004</v>
      </c>
      <c r="D15" s="37">
        <v>0.34770000000000001</v>
      </c>
      <c r="E15" s="37">
        <v>0.32279999999999998</v>
      </c>
      <c r="F15" s="37">
        <v>0.28199999999999997</v>
      </c>
      <c r="G15" s="37">
        <v>0.35909999999999997</v>
      </c>
      <c r="H15" s="37">
        <v>0.41570000000000001</v>
      </c>
      <c r="I15" s="37">
        <v>0.4884</v>
      </c>
      <c r="J15" s="37">
        <v>0.4219</v>
      </c>
      <c r="K15" s="37">
        <v>0.36940000000000001</v>
      </c>
      <c r="L15" s="37">
        <v>0.32050000000000001</v>
      </c>
      <c r="M15" s="37">
        <v>0.32150000000000001</v>
      </c>
    </row>
    <row r="16" spans="1:13" x14ac:dyDescent="0.15">
      <c r="A16" s="34" t="s">
        <v>433</v>
      </c>
      <c r="B16" s="37">
        <v>-8.9899999999999994E-2</v>
      </c>
      <c r="C16" s="37">
        <v>-0.14149999999999999</v>
      </c>
      <c r="D16" s="37">
        <v>-0.1134</v>
      </c>
      <c r="E16" s="37">
        <v>-0.1163</v>
      </c>
      <c r="F16" s="37">
        <v>-0.1192</v>
      </c>
      <c r="G16" s="37">
        <v>-0.1089</v>
      </c>
      <c r="H16" s="37">
        <v>-0.1196</v>
      </c>
      <c r="I16" s="37">
        <v>-0.16930000000000001</v>
      </c>
      <c r="J16" s="37">
        <v>-0.17929999999999999</v>
      </c>
      <c r="K16" s="37">
        <v>-0.15260000000000001</v>
      </c>
      <c r="L16" s="37">
        <v>-0.13950000000000001</v>
      </c>
      <c r="M16" s="37">
        <v>-0.20760000000000001</v>
      </c>
    </row>
    <row r="17" spans="1:13" x14ac:dyDescent="0.15">
      <c r="A17" s="34"/>
      <c r="B17" s="38"/>
    </row>
    <row r="19" spans="1:13" s="34" customFormat="1" x14ac:dyDescent="0.15">
      <c r="A19" s="34" t="s">
        <v>449</v>
      </c>
      <c r="B19" s="36" t="s">
        <v>31</v>
      </c>
      <c r="C19" s="36" t="s">
        <v>434</v>
      </c>
      <c r="D19" s="36" t="s">
        <v>435</v>
      </c>
      <c r="E19" s="36" t="s">
        <v>436</v>
      </c>
      <c r="F19" s="36" t="s">
        <v>437</v>
      </c>
      <c r="G19" s="36" t="s">
        <v>438</v>
      </c>
      <c r="H19" s="36" t="s">
        <v>439</v>
      </c>
      <c r="I19" s="36" t="s">
        <v>440</v>
      </c>
      <c r="J19" s="36" t="s">
        <v>441</v>
      </c>
      <c r="K19" s="36" t="s">
        <v>442</v>
      </c>
      <c r="L19" s="36" t="s">
        <v>443</v>
      </c>
      <c r="M19" s="36" t="s">
        <v>444</v>
      </c>
    </row>
    <row r="20" spans="1:13" x14ac:dyDescent="0.15">
      <c r="A20" s="34" t="s">
        <v>431</v>
      </c>
      <c r="B20" s="37">
        <v>0.39710000000000001</v>
      </c>
      <c r="C20" s="37">
        <v>0.77659999999999996</v>
      </c>
      <c r="D20" s="37">
        <v>0.3649</v>
      </c>
      <c r="E20" s="37">
        <v>0.50180000000000002</v>
      </c>
      <c r="F20" s="37">
        <v>0.44240000000000002</v>
      </c>
      <c r="G20" s="37">
        <v>0.41830000000000001</v>
      </c>
      <c r="H20" s="37">
        <v>0.33179999999999998</v>
      </c>
      <c r="I20" s="37">
        <v>0.34889999999999999</v>
      </c>
      <c r="J20" s="37">
        <v>0.30330000000000001</v>
      </c>
      <c r="K20" s="37">
        <v>0.19439999999999999</v>
      </c>
      <c r="L20" s="37">
        <v>0.38059999999999999</v>
      </c>
      <c r="M20" s="37">
        <v>0.26329999999999998</v>
      </c>
    </row>
    <row r="21" spans="1:13" x14ac:dyDescent="0.15">
      <c r="A21" s="34" t="s">
        <v>432</v>
      </c>
      <c r="B21" s="37">
        <v>0.42959999999999998</v>
      </c>
      <c r="C21" s="37">
        <v>0.81340000000000001</v>
      </c>
      <c r="D21" s="37">
        <v>0.34460000000000002</v>
      </c>
      <c r="E21" s="37">
        <v>0.43709999999999999</v>
      </c>
      <c r="F21" s="37">
        <v>0.4753</v>
      </c>
      <c r="G21" s="37">
        <v>0.54420000000000002</v>
      </c>
      <c r="H21" s="37">
        <v>0.52229999999999999</v>
      </c>
      <c r="I21" s="37">
        <v>0.55569999999999997</v>
      </c>
      <c r="J21" s="37">
        <v>0.50639999999999996</v>
      </c>
      <c r="K21" s="37">
        <v>0.37380000000000002</v>
      </c>
      <c r="L21" s="37">
        <v>0.39090000000000003</v>
      </c>
      <c r="M21" s="37">
        <v>0.26090000000000002</v>
      </c>
    </row>
    <row r="22" spans="1:13" x14ac:dyDescent="0.15">
      <c r="A22" s="34" t="s">
        <v>433</v>
      </c>
      <c r="B22" s="37">
        <v>-2.3099999999999999E-2</v>
      </c>
      <c r="C22" s="37">
        <v>-2.1999999999999999E-2</v>
      </c>
      <c r="D22" s="37">
        <v>1.44E-2</v>
      </c>
      <c r="E22" s="37">
        <v>4.7600000000000003E-2</v>
      </c>
      <c r="F22" s="37">
        <v>-2.2599999999999999E-2</v>
      </c>
      <c r="G22" s="37">
        <v>-8.3599999999999994E-2</v>
      </c>
      <c r="H22" s="37">
        <v>-0.125</v>
      </c>
      <c r="I22" s="37">
        <v>-0.1348</v>
      </c>
      <c r="J22" s="37">
        <v>-0.13500000000000001</v>
      </c>
      <c r="K22" s="37">
        <v>-0.1323</v>
      </c>
      <c r="L22" s="37">
        <v>-9.1000000000000004E-3</v>
      </c>
      <c r="M22" s="37">
        <v>0</v>
      </c>
    </row>
    <row r="23" spans="1:13" x14ac:dyDescent="0.15">
      <c r="A23" s="34"/>
      <c r="B23" s="38"/>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opLeftCell="A4" workbookViewId="0">
      <selection activeCell="R46" sqref="R46"/>
    </sheetView>
  </sheetViews>
  <sheetFormatPr baseColWidth="10" defaultRowHeight="15" x14ac:dyDescent="0.15"/>
  <cols>
    <col min="10" max="10" width="11.5" bestFit="1" customWidth="1"/>
  </cols>
  <sheetData>
    <row r="1" spans="1:13" s="34" customFormat="1" x14ac:dyDescent="0.15">
      <c r="A1" s="34" t="s">
        <v>455</v>
      </c>
      <c r="B1" s="36" t="s">
        <v>31</v>
      </c>
      <c r="C1" s="36" t="s">
        <v>434</v>
      </c>
      <c r="D1" s="36" t="s">
        <v>435</v>
      </c>
      <c r="E1" s="36" t="s">
        <v>436</v>
      </c>
      <c r="F1" s="36" t="s">
        <v>437</v>
      </c>
      <c r="G1" s="36" t="s">
        <v>438</v>
      </c>
      <c r="H1" s="36" t="s">
        <v>439</v>
      </c>
      <c r="I1" s="36" t="s">
        <v>440</v>
      </c>
      <c r="J1" s="36" t="s">
        <v>441</v>
      </c>
      <c r="K1" s="36" t="s">
        <v>442</v>
      </c>
      <c r="L1" s="36" t="s">
        <v>443</v>
      </c>
      <c r="M1" s="36" t="s">
        <v>444</v>
      </c>
    </row>
    <row r="2" spans="1:13" x14ac:dyDescent="0.15">
      <c r="A2" s="34" t="s">
        <v>456</v>
      </c>
      <c r="B2" s="37">
        <v>-2.1899999999999999E-2</v>
      </c>
      <c r="C2" s="37">
        <v>-0.13500000000000001</v>
      </c>
      <c r="D2" s="37">
        <v>-0.10349999999999999</v>
      </c>
      <c r="E2" s="37">
        <v>-6.1199999999999997E-2</v>
      </c>
      <c r="F2" s="37">
        <v>-0.15989999999999999</v>
      </c>
      <c r="G2" s="37">
        <v>-0.18770000000000001</v>
      </c>
      <c r="H2" s="37">
        <v>-0.1479</v>
      </c>
      <c r="I2" s="37">
        <v>-3.9699999999999999E-2</v>
      </c>
      <c r="J2" s="37">
        <v>-8.5300000000000001E-2</v>
      </c>
      <c r="K2" s="37">
        <v>-6.0100000000000001E-2</v>
      </c>
      <c r="L2" s="37">
        <v>-6.9599999999999995E-2</v>
      </c>
      <c r="M2" s="37">
        <v>5.0099999999999999E-2</v>
      </c>
    </row>
    <row r="3" spans="1:13" x14ac:dyDescent="0.15">
      <c r="A3" s="34" t="s">
        <v>457</v>
      </c>
      <c r="B3" s="37">
        <v>-1.4E-3</v>
      </c>
      <c r="C3" s="37">
        <v>-0.11</v>
      </c>
      <c r="D3" s="37">
        <v>-2.7000000000000001E-3</v>
      </c>
      <c r="E3" s="37">
        <v>-4.58E-2</v>
      </c>
      <c r="F3" s="37">
        <v>-3.4099999999999998E-2</v>
      </c>
      <c r="G3" s="37">
        <v>5.7799999999999997E-2</v>
      </c>
      <c r="H3" s="37">
        <v>-6.3100000000000003E-2</v>
      </c>
      <c r="I3" s="37">
        <v>-6.4000000000000001E-2</v>
      </c>
      <c r="J3" s="37">
        <v>-3.8199999999999998E-2</v>
      </c>
      <c r="K3" s="37">
        <v>-0.12820000000000001</v>
      </c>
      <c r="L3" s="37">
        <v>-4.2200000000000001E-2</v>
      </c>
      <c r="M3" s="37">
        <v>-4.0000000000000001E-3</v>
      </c>
    </row>
    <row r="4" spans="1:13" x14ac:dyDescent="0.15">
      <c r="A4" s="34" t="s">
        <v>458</v>
      </c>
      <c r="B4" s="37">
        <v>-0.14929999999999999</v>
      </c>
      <c r="C4" s="37">
        <v>7.6100000000000001E-2</v>
      </c>
      <c r="D4" s="37">
        <v>-0.39629999999999999</v>
      </c>
      <c r="E4" s="37">
        <v>-0.3735</v>
      </c>
      <c r="F4" s="37">
        <v>-0.68799999999999994</v>
      </c>
      <c r="G4" s="37">
        <v>-0.79320000000000002</v>
      </c>
      <c r="H4" s="37">
        <v>-0.64659999999999995</v>
      </c>
      <c r="I4" s="37">
        <v>-0.74419999999999997</v>
      </c>
      <c r="J4" s="37">
        <v>-0.87429999999999997</v>
      </c>
      <c r="K4" s="37">
        <v>-0.71930000000000005</v>
      </c>
      <c r="L4" s="37">
        <v>-0.2414</v>
      </c>
      <c r="M4" s="37">
        <v>0.53649999999999998</v>
      </c>
    </row>
    <row r="5" spans="1:13" x14ac:dyDescent="0.15">
      <c r="A5" s="34" t="s">
        <v>459</v>
      </c>
      <c r="B5" s="37">
        <v>-0.443</v>
      </c>
      <c r="C5" s="37">
        <v>-0.1089</v>
      </c>
      <c r="D5" s="37">
        <v>-0.23380000000000001</v>
      </c>
      <c r="E5" s="37">
        <v>-0.2283</v>
      </c>
      <c r="F5" s="37">
        <v>-0.63560000000000005</v>
      </c>
      <c r="G5" s="37">
        <v>-0.59799999999999998</v>
      </c>
      <c r="H5" s="37">
        <v>-0.87839999999999996</v>
      </c>
      <c r="I5" s="37">
        <v>-0.78859999999999997</v>
      </c>
      <c r="J5" s="37">
        <v>-0.88280000000000003</v>
      </c>
      <c r="K5" s="37">
        <v>-0.75260000000000005</v>
      </c>
      <c r="L5" s="37">
        <v>0.28160000000000002</v>
      </c>
      <c r="M5" s="37">
        <v>0.13830000000000001</v>
      </c>
    </row>
    <row r="6" spans="1:13" x14ac:dyDescent="0.15">
      <c r="A6" s="34" t="s">
        <v>460</v>
      </c>
      <c r="B6" s="37">
        <v>-2.1999999999999999E-2</v>
      </c>
      <c r="C6" s="37">
        <v>-0.1346</v>
      </c>
      <c r="D6" s="37">
        <v>-1.34E-2</v>
      </c>
      <c r="E6" s="37">
        <v>-6.2399999999999997E-2</v>
      </c>
      <c r="F6" s="37">
        <v>-0.1618</v>
      </c>
      <c r="G6" s="37">
        <v>-0.19120000000000001</v>
      </c>
      <c r="H6" s="37">
        <v>-0.14979999999999999</v>
      </c>
      <c r="I6" s="37">
        <v>-4.36E-2</v>
      </c>
      <c r="J6" s="37">
        <v>-9.4500000000000001E-2</v>
      </c>
      <c r="K6" s="37">
        <v>-6.4500000000000002E-2</v>
      </c>
      <c r="L6" s="37">
        <v>-6.9000000000000006E-2</v>
      </c>
      <c r="M6" s="37">
        <v>5.0999999999999997E-2</v>
      </c>
    </row>
    <row r="7" spans="1:13" x14ac:dyDescent="0.15">
      <c r="A7" s="34" t="s">
        <v>461</v>
      </c>
      <c r="B7" s="37">
        <v>-2.0999999999999999E-3</v>
      </c>
      <c r="C7" s="37">
        <v>-0.11</v>
      </c>
      <c r="D7" s="37">
        <v>-3.3999999999999998E-3</v>
      </c>
      <c r="E7" s="37">
        <v>-4.6199999999999998E-2</v>
      </c>
      <c r="F7" s="37">
        <v>3.5900000000000001E-2</v>
      </c>
      <c r="G7" s="37">
        <v>5.5899999999999998E-2</v>
      </c>
      <c r="H7" s="37">
        <v>-6.8900000000000003E-2</v>
      </c>
      <c r="I7" s="37">
        <v>-6.7799999999999999E-2</v>
      </c>
      <c r="J7" s="37">
        <v>-4.7500000000000001E-2</v>
      </c>
      <c r="K7" s="37">
        <v>-0.13200000000000001</v>
      </c>
      <c r="L7" s="37">
        <v>-4.2700000000000002E-2</v>
      </c>
      <c r="M7" s="37">
        <v>-3.5000000000000001E-3</v>
      </c>
    </row>
    <row r="9" spans="1:13" s="34" customFormat="1" x14ac:dyDescent="0.15">
      <c r="A9" s="34" t="s">
        <v>462</v>
      </c>
      <c r="B9" s="36" t="s">
        <v>31</v>
      </c>
      <c r="C9" s="36" t="s">
        <v>434</v>
      </c>
      <c r="D9" s="36" t="s">
        <v>435</v>
      </c>
      <c r="E9" s="36" t="s">
        <v>436</v>
      </c>
      <c r="F9" s="36" t="s">
        <v>437</v>
      </c>
      <c r="G9" s="36" t="s">
        <v>438</v>
      </c>
      <c r="H9" s="36" t="s">
        <v>439</v>
      </c>
      <c r="I9" s="36" t="s">
        <v>440</v>
      </c>
      <c r="J9" s="36" t="s">
        <v>441</v>
      </c>
      <c r="K9" s="36" t="s">
        <v>442</v>
      </c>
      <c r="L9" s="36" t="s">
        <v>443</v>
      </c>
      <c r="M9" s="36" t="s">
        <v>444</v>
      </c>
    </row>
    <row r="10" spans="1:13" x14ac:dyDescent="0.15">
      <c r="A10" s="34" t="s">
        <v>463</v>
      </c>
      <c r="B10" s="37">
        <f>28668/7330-1</f>
        <v>2.9110504774897681</v>
      </c>
      <c r="C10" s="37">
        <f>14429/8357-1</f>
        <v>0.72657652267560136</v>
      </c>
      <c r="D10" s="37">
        <f>30075/13950-1</f>
        <v>1.1559139784946235</v>
      </c>
      <c r="E10" s="37">
        <f>24001/13918-1</f>
        <v>0.72445753700244286</v>
      </c>
      <c r="F10" s="37">
        <f>21899/14241-1</f>
        <v>0.53774313601572921</v>
      </c>
      <c r="G10" s="37">
        <f>26571/17088-1</f>
        <v>0.5549508426966292</v>
      </c>
      <c r="H10" s="37">
        <f>16567/18793-1</f>
        <v>-0.11844835843133084</v>
      </c>
      <c r="I10" s="37">
        <f>16719/21838-1</f>
        <v>-0.2344079128125286</v>
      </c>
      <c r="J10" s="37">
        <f>13681/27903-1</f>
        <v>-0.50969429810414657</v>
      </c>
      <c r="K10" s="37">
        <f>12567/27667-1</f>
        <v>-0.54577655690895288</v>
      </c>
      <c r="L10" s="37">
        <f>11220/30076-1</f>
        <v>-0.62694507248304299</v>
      </c>
      <c r="M10" s="37">
        <f>13099/46650-1</f>
        <v>-0.71920685959271169</v>
      </c>
    </row>
    <row r="11" spans="1:13" x14ac:dyDescent="0.15">
      <c r="A11" s="34" t="s">
        <v>464</v>
      </c>
      <c r="B11" s="37">
        <f>15252/35008-1</f>
        <v>-0.5643281535648994</v>
      </c>
      <c r="C11" s="37">
        <f>12404/17916-1</f>
        <v>-0.30765795936592988</v>
      </c>
      <c r="D11" s="37">
        <f>16750/29216-1</f>
        <v>-0.42668400876232204</v>
      </c>
      <c r="E11" s="37">
        <f>13828/23445-1</f>
        <v>-0.41019407123053953</v>
      </c>
      <c r="F11" s="37">
        <f>12021/23539-1</f>
        <v>-0.48931560389141426</v>
      </c>
      <c r="G11" s="37">
        <f>12164/20489-1</f>
        <v>-0.40631558397188738</v>
      </c>
      <c r="H11" s="37">
        <f>14418/18522-1</f>
        <v>-0.22157434402332365</v>
      </c>
      <c r="I11" s="37">
        <f>19290/20008-1</f>
        <v>-3.5885645741703276E-2</v>
      </c>
      <c r="J11" s="37">
        <f>27048/20010-1</f>
        <v>0.35172413793103452</v>
      </c>
      <c r="K11" s="37">
        <f>28563/20830-1</f>
        <v>0.37124339894383107</v>
      </c>
      <c r="L11" s="37">
        <f>30075/20906-1</f>
        <v>0.43858222519850765</v>
      </c>
      <c r="M11" s="37">
        <f>30080/22987-1</f>
        <v>0.30856571105407404</v>
      </c>
    </row>
    <row r="12" spans="1:13" x14ac:dyDescent="0.15">
      <c r="A12" s="34" t="s">
        <v>465</v>
      </c>
      <c r="B12" s="37">
        <f>43920/42338-1</f>
        <v>3.73659596579905E-2</v>
      </c>
      <c r="C12" s="37">
        <f>26833/26273-1</f>
        <v>2.1314657633311862E-2</v>
      </c>
      <c r="D12" s="37">
        <f>46825/43166-1</f>
        <v>8.4765787888616106E-2</v>
      </c>
      <c r="E12" s="37">
        <f>37839/37363-1</f>
        <v>1.2739876348258905E-2</v>
      </c>
      <c r="F12" s="37">
        <f>33920/37780-1</f>
        <v>-0.10217046056114343</v>
      </c>
      <c r="G12" s="37">
        <f>38735/37577-1</f>
        <v>3.0816722995449242E-2</v>
      </c>
      <c r="H12" s="37">
        <f>30985/37315-1</f>
        <v>-0.16963687525123949</v>
      </c>
      <c r="I12" s="37">
        <f>36009/41846-1</f>
        <v>-0.1394876451751661</v>
      </c>
      <c r="J12" s="37">
        <f>40729/47913-1</f>
        <v>-0.14993843007117069</v>
      </c>
      <c r="K12" s="37">
        <f>41130/48497-1</f>
        <v>-0.15190630348268963</v>
      </c>
      <c r="L12" s="37">
        <f>41295/50982-1</f>
        <v>-0.1900082382017183</v>
      </c>
      <c r="M12" s="37">
        <f>43179/69637-1</f>
        <v>-0.37994169766072639</v>
      </c>
    </row>
    <row r="14" spans="1:13" s="34" customFormat="1" x14ac:dyDescent="0.15">
      <c r="A14" s="34" t="s">
        <v>468</v>
      </c>
      <c r="B14" s="36" t="s">
        <v>31</v>
      </c>
      <c r="C14" s="36" t="s">
        <v>434</v>
      </c>
      <c r="D14" s="36" t="s">
        <v>435</v>
      </c>
      <c r="E14" s="36" t="s">
        <v>436</v>
      </c>
      <c r="F14" s="36" t="s">
        <v>437</v>
      </c>
      <c r="G14" s="36" t="s">
        <v>438</v>
      </c>
      <c r="H14" s="36" t="s">
        <v>439</v>
      </c>
      <c r="I14" s="36" t="s">
        <v>440</v>
      </c>
      <c r="J14" s="36" t="s">
        <v>441</v>
      </c>
      <c r="K14" s="36" t="s">
        <v>442</v>
      </c>
      <c r="L14" s="36" t="s">
        <v>443</v>
      </c>
      <c r="M14" s="36" t="s">
        <v>444</v>
      </c>
    </row>
    <row r="15" spans="1:13" x14ac:dyDescent="0.15">
      <c r="A15" s="34" t="s">
        <v>461</v>
      </c>
      <c r="B15" s="37">
        <v>1.52E-2</v>
      </c>
      <c r="C15" s="37">
        <v>0.18340000000000001</v>
      </c>
      <c r="D15" s="37">
        <v>0.16819999999999999</v>
      </c>
      <c r="E15" s="37">
        <v>2.5000000000000001E-2</v>
      </c>
      <c r="F15" s="37">
        <v>-0.1178</v>
      </c>
      <c r="G15" s="37">
        <v>1.7899999999999999E-2</v>
      </c>
      <c r="H15" s="37">
        <v>0.1109</v>
      </c>
      <c r="I15" s="37">
        <v>9.5200000000000007E-2</v>
      </c>
      <c r="J15" s="37">
        <v>0.15329999999999999</v>
      </c>
      <c r="K15" s="37">
        <v>4.48E-2</v>
      </c>
      <c r="L15" s="37">
        <v>-0.1308</v>
      </c>
      <c r="M15" s="37">
        <v>-0.2077</v>
      </c>
    </row>
    <row r="16" spans="1:13" x14ac:dyDescent="0.15">
      <c r="A16" s="34" t="s">
        <v>460</v>
      </c>
      <c r="B16" s="37">
        <v>6.4100000000000004E-2</v>
      </c>
      <c r="C16" s="37">
        <v>0.16520000000000001</v>
      </c>
      <c r="D16" s="37">
        <v>0.1623</v>
      </c>
      <c r="E16" s="37">
        <v>2.3400000000000001E-2</v>
      </c>
      <c r="F16" s="37">
        <v>-0.1086</v>
      </c>
      <c r="G16" s="37">
        <v>1.15E-2</v>
      </c>
      <c r="H16" s="37">
        <v>0.1101</v>
      </c>
      <c r="I16" s="37">
        <v>6.54E-2</v>
      </c>
      <c r="J16" s="37">
        <v>0.1918</v>
      </c>
      <c r="K16" s="37">
        <v>8.2299999999999998E-2</v>
      </c>
      <c r="L16" s="37">
        <v>-0.11840000000000001</v>
      </c>
      <c r="M16" s="37">
        <v>-0.1026</v>
      </c>
    </row>
    <row r="18" spans="1:13" s="34" customFormat="1" x14ac:dyDescent="0.15">
      <c r="A18" s="34" t="s">
        <v>466</v>
      </c>
      <c r="B18" s="36" t="s">
        <v>31</v>
      </c>
      <c r="C18" s="36" t="s">
        <v>434</v>
      </c>
      <c r="D18" s="36" t="s">
        <v>435</v>
      </c>
      <c r="E18" s="36" t="s">
        <v>436</v>
      </c>
      <c r="F18" s="36" t="s">
        <v>437</v>
      </c>
      <c r="G18" s="36" t="s">
        <v>438</v>
      </c>
      <c r="H18" s="36" t="s">
        <v>439</v>
      </c>
      <c r="I18" s="36" t="s">
        <v>440</v>
      </c>
      <c r="J18" s="36" t="s">
        <v>441</v>
      </c>
      <c r="K18" s="36" t="s">
        <v>442</v>
      </c>
      <c r="L18" s="36" t="s">
        <v>443</v>
      </c>
      <c r="M18" s="36" t="s">
        <v>444</v>
      </c>
    </row>
    <row r="19" spans="1:13" x14ac:dyDescent="0.15">
      <c r="A19" s="34" t="s">
        <v>467</v>
      </c>
      <c r="B19" s="37">
        <f>144175/233934-1</f>
        <v>-0.38369369138303966</v>
      </c>
      <c r="C19" s="37">
        <f>96921/150646-1</f>
        <v>-0.35663077678796651</v>
      </c>
      <c r="D19" s="37">
        <f>197486/233908-1</f>
        <v>-0.15571079227730555</v>
      </c>
      <c r="E19" s="37">
        <f>147209/199487-1</f>
        <v>-0.26206218951610882</v>
      </c>
      <c r="F19" s="37">
        <f>116995/173099-1</f>
        <v>-0.32411510176257519</v>
      </c>
      <c r="G19" s="37">
        <f>125199/176003-1</f>
        <v>-0.2886541706675454</v>
      </c>
      <c r="H19" s="37">
        <f>128270/127051-1</f>
        <v>9.5945722583843374E-3</v>
      </c>
      <c r="I19" s="37">
        <f>116705/113156-1</f>
        <v>3.1363780974937194E-2</v>
      </c>
      <c r="J19" s="37">
        <f>163053/192569-1</f>
        <v>-0.15327493002508197</v>
      </c>
      <c r="K19" s="37">
        <f>167142/177755-1</f>
        <v>-5.9705774802396583E-2</v>
      </c>
      <c r="L19" s="37">
        <f>200455/152006-1</f>
        <v>0.31873083957212223</v>
      </c>
      <c r="M19" s="37">
        <f>197039/107366-1</f>
        <v>0.83520853901607595</v>
      </c>
    </row>
    <row r="20" spans="1:13" x14ac:dyDescent="0.15">
      <c r="A20" s="34" t="s">
        <v>461</v>
      </c>
      <c r="B20" s="37">
        <f>141735/236782-1</f>
        <v>-0.40141142485492987</v>
      </c>
      <c r="C20" s="37">
        <f>110470/152526-1</f>
        <v>-0.2757300394686808</v>
      </c>
      <c r="D20" s="37">
        <f>196606/269040-1</f>
        <v>-0.26923134106452573</v>
      </c>
      <c r="E20" s="37">
        <f>121245/186670-1</f>
        <v>-0.35048481277120047</v>
      </c>
      <c r="F20" s="37">
        <f>113479/173905-1</f>
        <v>-0.34746557028262559</v>
      </c>
      <c r="G20" s="37">
        <f>141655/188458-1</f>
        <v>-0.24834711182332403</v>
      </c>
      <c r="H20" s="37">
        <f>119592/128729-1</f>
        <v>-7.097856737798014E-2</v>
      </c>
      <c r="I20" s="37">
        <f>125023/131860-1</f>
        <v>-5.185044744425904E-2</v>
      </c>
      <c r="J20" s="37">
        <f>159848/173734-1</f>
        <v>-7.9926784624771208E-2</v>
      </c>
      <c r="K20" s="37">
        <f>164018/165573-1</f>
        <v>-9.391627862030627E-3</v>
      </c>
      <c r="L20" s="37">
        <f>176358/156665-1</f>
        <v>0.12570133724826871</v>
      </c>
      <c r="M20" s="37">
        <f>193716/147891-1</f>
        <v>0.30985658356492274</v>
      </c>
    </row>
    <row r="22" spans="1:13" s="34" customFormat="1" x14ac:dyDescent="0.15">
      <c r="A22" s="34" t="s">
        <v>469</v>
      </c>
      <c r="B22" s="36" t="s">
        <v>31</v>
      </c>
      <c r="C22" s="36" t="s">
        <v>434</v>
      </c>
      <c r="D22" s="36" t="s">
        <v>435</v>
      </c>
      <c r="E22" s="36" t="s">
        <v>436</v>
      </c>
      <c r="F22" s="36" t="s">
        <v>437</v>
      </c>
      <c r="G22" s="36" t="s">
        <v>438</v>
      </c>
      <c r="H22" s="36" t="s">
        <v>439</v>
      </c>
      <c r="I22" s="36" t="s">
        <v>440</v>
      </c>
      <c r="J22" s="36" t="s">
        <v>441</v>
      </c>
      <c r="K22" s="36" t="s">
        <v>442</v>
      </c>
      <c r="L22" s="36" t="s">
        <v>443</v>
      </c>
      <c r="M22" s="36" t="s">
        <v>444</v>
      </c>
    </row>
    <row r="23" spans="1:13" x14ac:dyDescent="0.15">
      <c r="A23" s="34" t="s">
        <v>467</v>
      </c>
      <c r="B23" s="37">
        <v>-0.1447</v>
      </c>
      <c r="C23" s="37">
        <f>328265/494657-1</f>
        <v>-0.33637854109008869</v>
      </c>
      <c r="D23" s="37">
        <f>573389/635355-1</f>
        <v>-9.7529727475191064E-2</v>
      </c>
      <c r="E23" s="37">
        <f>456055/605533-1</f>
        <v>-0.24685359840008725</v>
      </c>
      <c r="F23" s="37">
        <f>412275/587041-1</f>
        <v>-0.29770663377856066</v>
      </c>
      <c r="G23" s="37">
        <f>464635/553989-1</f>
        <v>-0.16129201121321901</v>
      </c>
      <c r="H23" s="37">
        <f>385230/498546-1</f>
        <v>-0.22729296795080089</v>
      </c>
      <c r="I23" s="37">
        <f>535744/487099-1</f>
        <v>9.9866762198238979E-2</v>
      </c>
      <c r="J23" s="37">
        <f>567988/578587-1</f>
        <v>-1.8318766235674189E-2</v>
      </c>
      <c r="K23" s="37">
        <f>585075/573107-1</f>
        <v>2.0882662399865914E-2</v>
      </c>
      <c r="L23" s="37">
        <f>608924/602980-1</f>
        <v>9.8577067232743509E-3</v>
      </c>
      <c r="M23" s="37">
        <f>611589/629697-1</f>
        <v>-2.8756687740294162E-2</v>
      </c>
    </row>
    <row r="24" spans="1:13" x14ac:dyDescent="0.15">
      <c r="A24" s="34" t="s">
        <v>461</v>
      </c>
      <c r="B24" s="37">
        <v>-0.14130000000000001</v>
      </c>
      <c r="C24" s="37">
        <f>362945/460757-1</f>
        <v>-0.21228543462172034</v>
      </c>
      <c r="D24" s="37">
        <f>558558/649511-1</f>
        <v>-0.14003304024104291</v>
      </c>
      <c r="E24" s="37">
        <f>456826/569110-1</f>
        <v>-0.19729753474723688</v>
      </c>
      <c r="F24" s="37">
        <f>480926/574430-1</f>
        <v>-0.16277701373535503</v>
      </c>
      <c r="G24" s="37">
        <f>466539/555197-1</f>
        <v>-0.15968746228816078</v>
      </c>
      <c r="H24" s="37">
        <f>439794/484854-1</f>
        <v>-9.2935192862181215E-2</v>
      </c>
      <c r="I24" s="37">
        <f>486858/528438-1</f>
        <v>-7.8684727442008384E-2</v>
      </c>
      <c r="J24" s="37">
        <f>549999/610734-1</f>
        <v>-9.9445912623171484E-2</v>
      </c>
      <c r="K24" s="37">
        <f>544391/601877-1</f>
        <v>-9.5511209100862748E-2</v>
      </c>
      <c r="L24" s="37">
        <f>581932/643605-1</f>
        <v>-9.5824302172916598E-2</v>
      </c>
      <c r="M24" s="37">
        <f>697677/659696-1</f>
        <v>5.7573488394654593E-2</v>
      </c>
    </row>
    <row r="26" spans="1:13" s="34" customFormat="1" x14ac:dyDescent="0.15">
      <c r="A26" s="34" t="s">
        <v>470</v>
      </c>
      <c r="B26" s="36" t="s">
        <v>31</v>
      </c>
      <c r="C26" s="36" t="s">
        <v>434</v>
      </c>
      <c r="D26" s="36" t="s">
        <v>435</v>
      </c>
      <c r="E26" s="36" t="s">
        <v>436</v>
      </c>
      <c r="F26" s="36" t="s">
        <v>437</v>
      </c>
      <c r="G26" s="36" t="s">
        <v>438</v>
      </c>
      <c r="H26" s="36" t="s">
        <v>439</v>
      </c>
      <c r="I26" s="36" t="s">
        <v>440</v>
      </c>
      <c r="J26" s="36" t="s">
        <v>441</v>
      </c>
      <c r="K26" s="36" t="s">
        <v>442</v>
      </c>
      <c r="L26" s="36" t="s">
        <v>443</v>
      </c>
      <c r="M26" s="36" t="s">
        <v>444</v>
      </c>
    </row>
    <row r="27" spans="1:13" x14ac:dyDescent="0.15">
      <c r="A27" s="34" t="s">
        <v>467</v>
      </c>
      <c r="B27" s="37">
        <v>9.7600000000000006E-2</v>
      </c>
      <c r="C27" s="37">
        <f>9027/8431-1</f>
        <v>7.0691495670738957E-2</v>
      </c>
      <c r="D27" s="37">
        <f>14469/12719-1</f>
        <v>0.13758943313153549</v>
      </c>
      <c r="E27" s="37">
        <f>14355/9871-1</f>
        <v>0.45425995339884517</v>
      </c>
      <c r="F27" s="37">
        <f>11547/12516-1</f>
        <v>-7.742090124640455E-2</v>
      </c>
      <c r="G27" s="37">
        <f>12261/11565-1</f>
        <v>6.0181582360570696E-2</v>
      </c>
      <c r="H27" s="37">
        <f>12277/9432-1</f>
        <v>0.30163273960983883</v>
      </c>
      <c r="I27" s="37">
        <f>10533/12376-1</f>
        <v>-0.14891725921137688</v>
      </c>
      <c r="J27" s="37">
        <f>14438/11520-1</f>
        <v>0.25329861111111107</v>
      </c>
      <c r="K27" s="37">
        <f>13580/14855-1</f>
        <v>-8.5829686974082775E-2</v>
      </c>
      <c r="L27" s="37">
        <f>19284/19757-1</f>
        <v>-2.3940881712810613E-2</v>
      </c>
      <c r="M27" s="37">
        <f>18178/20257-1</f>
        <v>-0.10263118921854175</v>
      </c>
    </row>
    <row r="28" spans="1:13" x14ac:dyDescent="0.15">
      <c r="A28" s="34" t="s">
        <v>461</v>
      </c>
      <c r="B28" s="37">
        <v>5.6899999999999999E-2</v>
      </c>
      <c r="C28" s="37">
        <f>6109/5009-1</f>
        <v>0.21960471151926542</v>
      </c>
      <c r="D28" s="37">
        <f>19563/14892-1</f>
        <v>0.31365834004834814</v>
      </c>
      <c r="E28" s="37">
        <f>16094/13202-1</f>
        <v>0.21905771852749578</v>
      </c>
      <c r="F28" s="37">
        <f>13549/13123-1</f>
        <v>3.2462089461251287E-2</v>
      </c>
      <c r="G28" s="37">
        <f>12108/11657-1</f>
        <v>3.8689199622544468E-2</v>
      </c>
      <c r="H28" s="37">
        <f>10958/10716-1</f>
        <v>2.2583053378126161E-2</v>
      </c>
      <c r="I28" s="37">
        <f>13033/12811-1</f>
        <v>1.7328858012645387E-2</v>
      </c>
      <c r="J28" s="37">
        <f>13991/13891-1</f>
        <v>7.1989057663235378E-3</v>
      </c>
      <c r="K28" s="37">
        <f>12926/13583-1</f>
        <v>-4.8369285135831608E-2</v>
      </c>
      <c r="L28" s="37">
        <f>15108/16123-1</f>
        <v>-6.2953544625690028E-2</v>
      </c>
      <c r="M28" s="37">
        <f>14082/17092-1</f>
        <v>-0.17610578048209691</v>
      </c>
    </row>
    <row r="30" spans="1:13" s="34" customFormat="1" x14ac:dyDescent="0.15">
      <c r="A30" s="34" t="s">
        <v>471</v>
      </c>
      <c r="B30" s="36" t="s">
        <v>31</v>
      </c>
      <c r="C30" s="36" t="s">
        <v>434</v>
      </c>
      <c r="D30" s="36" t="s">
        <v>435</v>
      </c>
      <c r="E30" s="36" t="s">
        <v>436</v>
      </c>
      <c r="F30" s="36" t="s">
        <v>437</v>
      </c>
      <c r="G30" s="36" t="s">
        <v>438</v>
      </c>
      <c r="H30" s="36" t="s">
        <v>439</v>
      </c>
      <c r="I30" s="36" t="s">
        <v>440</v>
      </c>
      <c r="J30" s="36" t="s">
        <v>441</v>
      </c>
      <c r="K30" s="36" t="s">
        <v>442</v>
      </c>
      <c r="L30" s="36" t="s">
        <v>443</v>
      </c>
      <c r="M30" s="36" t="s">
        <v>444</v>
      </c>
    </row>
    <row r="31" spans="1:13" x14ac:dyDescent="0.15">
      <c r="A31" s="34" t="s">
        <v>467</v>
      </c>
      <c r="B31" s="37">
        <v>-0.21560000000000001</v>
      </c>
      <c r="C31" s="37">
        <v>-0.22570000000000001</v>
      </c>
      <c r="D31" s="37">
        <v>0.1452</v>
      </c>
      <c r="E31" s="37">
        <v>5.2900000000000003E-2</v>
      </c>
      <c r="F31" s="37">
        <v>-8.2900000000000001E-2</v>
      </c>
      <c r="G31" s="37">
        <v>-0.2462</v>
      </c>
      <c r="H31" s="37">
        <v>-9.7600000000000006E-2</v>
      </c>
      <c r="I31" s="37">
        <v>0.25</v>
      </c>
      <c r="J31" s="37">
        <v>0.14030000000000001</v>
      </c>
      <c r="K31" s="37">
        <v>7.8700000000000006E-2</v>
      </c>
      <c r="L31" s="37">
        <v>3.3099999999999997E-2</v>
      </c>
      <c r="M31" s="37">
        <v>0.14430000000000001</v>
      </c>
    </row>
    <row r="32" spans="1:13" x14ac:dyDescent="0.15">
      <c r="A32" s="34" t="s">
        <v>461</v>
      </c>
      <c r="B32" s="37">
        <v>-0.1925</v>
      </c>
      <c r="C32" s="37">
        <v>1.6400000000000001E-2</v>
      </c>
      <c r="D32" s="37">
        <v>4.3999999999999997E-2</v>
      </c>
      <c r="E32" s="37">
        <v>7.6499999999999999E-2</v>
      </c>
      <c r="F32" s="37">
        <v>-8.7499999999999994E-2</v>
      </c>
      <c r="G32" s="37">
        <v>-0.27929999999999999</v>
      </c>
      <c r="H32" s="37">
        <v>0.13189999999999999</v>
      </c>
      <c r="I32" s="37">
        <v>0.16350000000000001</v>
      </c>
      <c r="J32" s="37">
        <v>0.16789999999999999</v>
      </c>
      <c r="K32" s="37">
        <v>0.2235</v>
      </c>
      <c r="L32" s="37">
        <v>5.2499999999999998E-2</v>
      </c>
      <c r="M32" s="37">
        <v>1.67E-2</v>
      </c>
    </row>
    <row r="34" spans="1:17" s="34" customFormat="1" x14ac:dyDescent="0.15">
      <c r="A34" s="34" t="s">
        <v>472</v>
      </c>
      <c r="B34" s="36" t="s">
        <v>31</v>
      </c>
      <c r="C34" s="36" t="s">
        <v>434</v>
      </c>
      <c r="D34" s="36" t="s">
        <v>435</v>
      </c>
      <c r="E34" s="36" t="s">
        <v>436</v>
      </c>
      <c r="F34" s="36" t="s">
        <v>437</v>
      </c>
      <c r="G34" s="36" t="s">
        <v>438</v>
      </c>
      <c r="H34" s="36" t="s">
        <v>439</v>
      </c>
      <c r="I34" s="36" t="s">
        <v>440</v>
      </c>
      <c r="J34" s="36" t="s">
        <v>441</v>
      </c>
      <c r="K34" s="36" t="s">
        <v>442</v>
      </c>
      <c r="L34" s="36" t="s">
        <v>443</v>
      </c>
      <c r="M34" s="36" t="s">
        <v>444</v>
      </c>
    </row>
    <row r="35" spans="1:17" x14ac:dyDescent="0.15">
      <c r="A35" s="34" t="s">
        <v>467</v>
      </c>
      <c r="B35" s="37">
        <v>-1.9300000000000001E-2</v>
      </c>
      <c r="C35" s="37">
        <v>-0.16039999999999999</v>
      </c>
      <c r="D35" s="37">
        <v>-0.18559999999999999</v>
      </c>
      <c r="E35" s="37">
        <v>-0.19650000000000001</v>
      </c>
      <c r="F35" s="37">
        <v>0.19489999999999999</v>
      </c>
      <c r="G35" s="37">
        <v>9.6799999999999997E-2</v>
      </c>
      <c r="H35" s="37">
        <v>-0.30520000000000003</v>
      </c>
      <c r="I35" s="37">
        <f>4159/3958-1</f>
        <v>5.0783223850429549E-2</v>
      </c>
      <c r="J35" s="37">
        <f>3420/13711-1</f>
        <v>-0.75056523958865151</v>
      </c>
      <c r="K35" s="37">
        <f>1798/19369-1</f>
        <v>-0.90717125303319734</v>
      </c>
      <c r="L35" s="37">
        <f>2943/17566-1</f>
        <v>-0.83246043493111688</v>
      </c>
      <c r="M35" s="37">
        <f>16843/11217-1</f>
        <v>0.50156013194258708</v>
      </c>
    </row>
    <row r="36" spans="1:17" x14ac:dyDescent="0.15">
      <c r="A36" s="34" t="s">
        <v>461</v>
      </c>
      <c r="B36" s="37">
        <v>1.9400000000000001E-2</v>
      </c>
      <c r="C36" s="37">
        <v>-0.12570000000000001</v>
      </c>
      <c r="D36" s="37">
        <v>-0.17510000000000001</v>
      </c>
      <c r="E36" s="37">
        <v>-0.2472</v>
      </c>
      <c r="F36" s="37">
        <v>0.11459999999999999</v>
      </c>
      <c r="G36" s="37">
        <v>0.1147</v>
      </c>
      <c r="H36" s="37">
        <v>-0.27289999999999998</v>
      </c>
      <c r="I36" s="37">
        <f>10705/9487-1</f>
        <v>0.12838621271213246</v>
      </c>
      <c r="J36" s="37">
        <f>10009/11560-1</f>
        <v>-0.13416955017301035</v>
      </c>
      <c r="K36" s="37">
        <f>8601/27958-1</f>
        <v>-0.69235996852421489</v>
      </c>
      <c r="L36" s="37">
        <f>7005/18732-1</f>
        <v>-0.62604099935938495</v>
      </c>
      <c r="M36" s="37">
        <f>36613/29644-1</f>
        <v>0.23508973148023204</v>
      </c>
    </row>
    <row r="38" spans="1:17" s="34" customFormat="1" x14ac:dyDescent="0.15">
      <c r="A38" s="34" t="s">
        <v>479</v>
      </c>
      <c r="B38" s="36" t="s">
        <v>31</v>
      </c>
      <c r="C38" s="36" t="s">
        <v>434</v>
      </c>
      <c r="D38" s="36" t="s">
        <v>435</v>
      </c>
      <c r="E38" s="36" t="s">
        <v>436</v>
      </c>
      <c r="F38" s="36" t="s">
        <v>437</v>
      </c>
      <c r="G38" s="36" t="s">
        <v>438</v>
      </c>
      <c r="H38" s="36" t="s">
        <v>439</v>
      </c>
      <c r="I38" s="36" t="s">
        <v>440</v>
      </c>
      <c r="J38" s="36" t="s">
        <v>441</v>
      </c>
      <c r="K38" s="36" t="s">
        <v>442</v>
      </c>
      <c r="L38" s="36" t="s">
        <v>443</v>
      </c>
      <c r="M38" s="36" t="s">
        <v>444</v>
      </c>
    </row>
    <row r="39" spans="1:17" x14ac:dyDescent="0.15">
      <c r="A39" s="34" t="s">
        <v>467</v>
      </c>
      <c r="B39" s="37">
        <v>-0.98170000000000002</v>
      </c>
      <c r="C39" s="37">
        <f>500/6078-1</f>
        <v>-0.91773609740046069</v>
      </c>
      <c r="D39" s="37">
        <f>2210/10533-1</f>
        <v>-0.79018323364663434</v>
      </c>
      <c r="E39" s="37">
        <f>578/9943-1</f>
        <v>-0.9418686513124811</v>
      </c>
      <c r="F39" s="37">
        <f>1086/4749-1</f>
        <v>-0.77132027795325331</v>
      </c>
      <c r="G39" s="37">
        <f>5986/655-1</f>
        <v>8.1389312977099237</v>
      </c>
      <c r="H39" s="37">
        <f>3951/4594-1</f>
        <v>-0.13996517196343061</v>
      </c>
      <c r="I39" s="37">
        <v>-0.2477</v>
      </c>
      <c r="J39" s="37">
        <v>-0.1013</v>
      </c>
      <c r="K39" s="37">
        <v>-8.9200000000000002E-2</v>
      </c>
      <c r="L39" s="37">
        <v>-4.7100000000000003E-2</v>
      </c>
      <c r="M39" s="37">
        <v>6.8400000000000002E-2</v>
      </c>
    </row>
    <row r="40" spans="1:17" x14ac:dyDescent="0.15">
      <c r="A40" s="34" t="s">
        <v>461</v>
      </c>
      <c r="B40" s="37">
        <v>-0.43659999999999999</v>
      </c>
      <c r="C40" s="37">
        <f>2867/4366-1</f>
        <v>-0.34333486028401283</v>
      </c>
      <c r="D40" s="37">
        <f>17690/8436-1</f>
        <v>1.0969653864390705</v>
      </c>
      <c r="E40" s="37">
        <f>5009/10039-1</f>
        <v>-0.50104592090845701</v>
      </c>
      <c r="F40" s="37">
        <f>9009/17903-1</f>
        <v>-0.49678824777970176</v>
      </c>
      <c r="G40" s="37">
        <f>26072/4845-1</f>
        <v>4.3812177502579983</v>
      </c>
      <c r="H40" s="37">
        <f>12509/7033-1</f>
        <v>0.77861510024171765</v>
      </c>
      <c r="I40" s="37">
        <v>-0.28160000000000002</v>
      </c>
      <c r="J40" s="37">
        <v>-8.6999999999999994E-2</v>
      </c>
      <c r="K40" s="37">
        <v>-2.4400000000000002E-2</v>
      </c>
      <c r="L40" s="37">
        <v>-7.7600000000000002E-2</v>
      </c>
      <c r="M40" s="37">
        <v>0.1012</v>
      </c>
    </row>
    <row r="41" spans="1:17" x14ac:dyDescent="0.15">
      <c r="A41" s="37"/>
      <c r="B41" s="37"/>
      <c r="C41" s="37"/>
      <c r="D41" s="37"/>
      <c r="E41" s="37"/>
      <c r="F41" s="37"/>
      <c r="G41" s="37"/>
      <c r="H41" s="37"/>
      <c r="I41" s="37"/>
      <c r="J41" s="37"/>
      <c r="K41" s="37"/>
      <c r="L41" s="37"/>
      <c r="M41" s="37"/>
    </row>
    <row r="42" spans="1:17" s="34" customFormat="1" x14ac:dyDescent="0.15">
      <c r="A42" s="34" t="s">
        <v>473</v>
      </c>
      <c r="B42" s="36" t="s">
        <v>31</v>
      </c>
      <c r="C42" s="36" t="s">
        <v>434</v>
      </c>
      <c r="D42" s="36" t="s">
        <v>435</v>
      </c>
      <c r="E42" s="36" t="s">
        <v>436</v>
      </c>
      <c r="F42" s="36" t="s">
        <v>437</v>
      </c>
      <c r="G42" s="36" t="s">
        <v>438</v>
      </c>
      <c r="H42" s="36" t="s">
        <v>439</v>
      </c>
      <c r="I42" s="36" t="s">
        <v>440</v>
      </c>
      <c r="J42" s="36" t="s">
        <v>441</v>
      </c>
      <c r="K42" s="36" t="s">
        <v>442</v>
      </c>
      <c r="L42" s="36" t="s">
        <v>443</v>
      </c>
      <c r="M42" s="36" t="s">
        <v>444</v>
      </c>
    </row>
    <row r="43" spans="1:17" x14ac:dyDescent="0.15">
      <c r="A43" s="34" t="s">
        <v>461</v>
      </c>
      <c r="B43" s="37">
        <v>0.02</v>
      </c>
      <c r="C43" s="37">
        <v>-0.24</v>
      </c>
      <c r="D43" s="37">
        <v>0.03</v>
      </c>
      <c r="E43" s="37">
        <v>-0.19</v>
      </c>
      <c r="F43" s="37">
        <v>-0.27</v>
      </c>
      <c r="G43" s="37">
        <v>-0.28999999999999998</v>
      </c>
      <c r="H43" s="37">
        <v>-0.24</v>
      </c>
      <c r="I43" s="37">
        <v>-0.19</v>
      </c>
      <c r="J43" s="37">
        <v>-0.09</v>
      </c>
      <c r="K43" s="37">
        <v>0.01</v>
      </c>
      <c r="L43" s="37">
        <v>0.01</v>
      </c>
      <c r="M43" s="37">
        <v>0.39</v>
      </c>
    </row>
    <row r="45" spans="1:17" x14ac:dyDescent="0.15">
      <c r="A45" s="34" t="s">
        <v>474</v>
      </c>
    </row>
    <row r="46" spans="1:17" x14ac:dyDescent="0.15">
      <c r="B46" t="s">
        <v>475</v>
      </c>
      <c r="C46" t="s">
        <v>476</v>
      </c>
      <c r="D46" t="s">
        <v>477</v>
      </c>
      <c r="E46" t="s">
        <v>478</v>
      </c>
      <c r="F46" t="s">
        <v>480</v>
      </c>
      <c r="G46" t="s">
        <v>481</v>
      </c>
      <c r="H46" t="s">
        <v>482</v>
      </c>
      <c r="I46" t="s">
        <v>483</v>
      </c>
      <c r="J46" t="s">
        <v>484</v>
      </c>
      <c r="K46" t="s">
        <v>485</v>
      </c>
      <c r="L46" t="s">
        <v>486</v>
      </c>
      <c r="M46" t="s">
        <v>487</v>
      </c>
      <c r="N46" t="s">
        <v>488</v>
      </c>
      <c r="O46" t="s">
        <v>489</v>
      </c>
      <c r="P46" t="s">
        <v>490</v>
      </c>
      <c r="Q46" t="s">
        <v>491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M4" sqref="M4"/>
    </sheetView>
  </sheetViews>
  <sheetFormatPr baseColWidth="10" defaultRowHeight="15" x14ac:dyDescent="0.15"/>
  <sheetData>
    <row r="1" spans="1:13" s="34" customFormat="1" x14ac:dyDescent="0.15">
      <c r="A1" s="34" t="s">
        <v>450</v>
      </c>
      <c r="B1" s="36" t="s">
        <v>31</v>
      </c>
      <c r="C1" s="36" t="s">
        <v>434</v>
      </c>
      <c r="D1" s="36" t="s">
        <v>435</v>
      </c>
      <c r="E1" s="36" t="s">
        <v>436</v>
      </c>
      <c r="F1" s="36" t="s">
        <v>437</v>
      </c>
      <c r="G1" s="36" t="s">
        <v>438</v>
      </c>
      <c r="H1" s="36" t="s">
        <v>439</v>
      </c>
      <c r="I1" s="36" t="s">
        <v>440</v>
      </c>
      <c r="J1" s="36" t="s">
        <v>441</v>
      </c>
      <c r="K1" s="36" t="s">
        <v>442</v>
      </c>
      <c r="L1" s="36" t="s">
        <v>443</v>
      </c>
      <c r="M1" s="36" t="s">
        <v>444</v>
      </c>
    </row>
    <row r="2" spans="1:13" x14ac:dyDescent="0.15">
      <c r="A2" s="34" t="s">
        <v>451</v>
      </c>
      <c r="B2" s="37">
        <v>0.16</v>
      </c>
      <c r="C2" s="37">
        <v>0.14069999999999999</v>
      </c>
      <c r="D2" s="37">
        <v>8.4199999999999997E-2</v>
      </c>
      <c r="E2" s="37">
        <v>0.10150000000000001</v>
      </c>
      <c r="F2" s="37">
        <v>0.14560000000000001</v>
      </c>
      <c r="G2" s="37">
        <v>0.1043</v>
      </c>
      <c r="H2" s="37">
        <v>0.16739999999999999</v>
      </c>
      <c r="I2" s="37">
        <v>0.15010000000000001</v>
      </c>
      <c r="J2" s="37">
        <v>0.1366</v>
      </c>
      <c r="K2" s="37">
        <v>0.16320000000000001</v>
      </c>
      <c r="L2" s="37">
        <v>0.21049999999999999</v>
      </c>
      <c r="M2" s="37">
        <v>0.13400000000000001</v>
      </c>
    </row>
    <row r="3" spans="1:13" x14ac:dyDescent="0.15">
      <c r="A3" s="34" t="s">
        <v>452</v>
      </c>
      <c r="B3" s="37">
        <v>3.5700000000000003E-2</v>
      </c>
      <c r="C3" s="37">
        <v>2.7E-2</v>
      </c>
      <c r="D3" s="37">
        <v>2.7699999999999999E-2</v>
      </c>
      <c r="E3" s="37">
        <v>1.8800000000000001E-2</v>
      </c>
      <c r="F3" s="37">
        <v>2.81E-2</v>
      </c>
      <c r="G3" s="37">
        <v>7.1000000000000004E-3</v>
      </c>
      <c r="H3" s="37">
        <v>1.8499999999999999E-2</v>
      </c>
      <c r="I3" s="37">
        <v>2.06E-2</v>
      </c>
      <c r="J3" s="37">
        <v>3.4200000000000001E-2</v>
      </c>
      <c r="K3" s="37">
        <v>2.1700000000000001E-2</v>
      </c>
      <c r="L3" s="37">
        <v>-4.7999999999999996E-3</v>
      </c>
      <c r="M3" s="37">
        <v>-1.1299999999999999E-2</v>
      </c>
    </row>
    <row r="4" spans="1:13" x14ac:dyDescent="0.15">
      <c r="A4" s="34" t="s">
        <v>447</v>
      </c>
      <c r="B4" s="38">
        <f>(1+B2)*(1+B3)</f>
        <v>1.2014119999999999</v>
      </c>
      <c r="C4" s="37">
        <f>(1+C2)*(1+C3)</f>
        <v>1.1714989</v>
      </c>
      <c r="D4" s="37">
        <f>(1+D2)*(1+D3)</f>
        <v>1.11423234</v>
      </c>
      <c r="E4" s="37">
        <f>(1+E2)*(1+E3)</f>
        <v>1.1222081999999998</v>
      </c>
      <c r="F4" s="37">
        <f>(1+F2)*(1+F3)</f>
        <v>1.1777913600000001</v>
      </c>
      <c r="G4" s="37">
        <f>(1+H2)*(1+G3)</f>
        <v>1.1756885400000001</v>
      </c>
      <c r="H4" s="37">
        <f>(1+I2)*(1+H3)</f>
        <v>1.1713768500000001</v>
      </c>
      <c r="I4" s="37">
        <f>(1+I2)*(1+I3)</f>
        <v>1.17379206</v>
      </c>
      <c r="J4" s="37">
        <f>(1+J2)*(1+J3)</f>
        <v>1.17547172</v>
      </c>
      <c r="K4" s="37">
        <f>(1+K2)*(1+K3)</f>
        <v>1.1884414400000001</v>
      </c>
      <c r="L4" s="37">
        <f>(1+L2)*(1+L3)</f>
        <v>1.2046895999999998</v>
      </c>
      <c r="M4" s="37">
        <f>(1+M2)*(1+M3)</f>
        <v>1.1211857999999999</v>
      </c>
    </row>
    <row r="6" spans="1:13" s="34" customFormat="1" x14ac:dyDescent="0.15">
      <c r="A6" s="34" t="s">
        <v>453</v>
      </c>
      <c r="B6" s="36" t="s">
        <v>31</v>
      </c>
      <c r="C6" s="36" t="s">
        <v>434</v>
      </c>
      <c r="D6" s="36" t="s">
        <v>435</v>
      </c>
      <c r="E6" s="36" t="s">
        <v>436</v>
      </c>
      <c r="F6" s="36" t="s">
        <v>437</v>
      </c>
      <c r="G6" s="36" t="s">
        <v>438</v>
      </c>
      <c r="H6" s="36" t="s">
        <v>439</v>
      </c>
      <c r="I6" s="36" t="s">
        <v>440</v>
      </c>
      <c r="J6" s="36" t="s">
        <v>441</v>
      </c>
      <c r="K6" s="36" t="s">
        <v>442</v>
      </c>
      <c r="L6" s="36" t="s">
        <v>443</v>
      </c>
      <c r="M6" s="36" t="s">
        <v>444</v>
      </c>
    </row>
    <row r="7" spans="1:13" x14ac:dyDescent="0.15">
      <c r="A7" s="34" t="s">
        <v>451</v>
      </c>
      <c r="B7" s="37">
        <v>0.109</v>
      </c>
      <c r="C7" s="37">
        <v>7.8E-2</v>
      </c>
      <c r="D7" s="37">
        <v>2.5999999999999999E-2</v>
      </c>
      <c r="E7" s="37">
        <v>4.2000000000000003E-2</v>
      </c>
      <c r="F7" s="37">
        <v>8.3000000000000004E-2</v>
      </c>
      <c r="G7" s="37">
        <v>4.8000000000000001E-2</v>
      </c>
      <c r="H7" s="37">
        <v>6.4000000000000001E-2</v>
      </c>
      <c r="I7" s="37">
        <v>6.0999999999999999E-2</v>
      </c>
      <c r="J7" s="37">
        <v>0.05</v>
      </c>
      <c r="K7" s="37">
        <v>2.8000000000000001E-2</v>
      </c>
      <c r="L7" s="37">
        <v>3.9E-2</v>
      </c>
      <c r="M7" s="37">
        <v>0.05</v>
      </c>
    </row>
    <row r="8" spans="1:13" x14ac:dyDescent="0.15">
      <c r="A8" s="34" t="s">
        <v>452</v>
      </c>
      <c r="B8" s="37">
        <v>1.0999999999999999E-2</v>
      </c>
      <c r="C8" s="37">
        <v>1.2999999999999999E-2</v>
      </c>
      <c r="D8" s="37">
        <v>-1.0999999999999999E-2</v>
      </c>
      <c r="E8" s="37">
        <v>-5.0000000000000001E-3</v>
      </c>
      <c r="F8" s="37">
        <v>2.1000000000000001E-2</v>
      </c>
      <c r="G8" s="37">
        <v>4.0000000000000001E-3</v>
      </c>
      <c r="H8" s="37">
        <v>6.0000000000000001E-3</v>
      </c>
      <c r="I8" s="37">
        <v>4.0000000000000001E-3</v>
      </c>
      <c r="J8" s="37">
        <v>1E-3</v>
      </c>
      <c r="K8" s="37">
        <v>6.0000000000000001E-3</v>
      </c>
      <c r="L8" s="37">
        <v>-1E-3</v>
      </c>
      <c r="M8" s="37">
        <v>3.0000000000000001E-3</v>
      </c>
    </row>
    <row r="9" spans="1:13" x14ac:dyDescent="0.15">
      <c r="A9" s="34" t="s">
        <v>447</v>
      </c>
      <c r="B9" s="38" t="e">
        <f>(1+B7)*(1+B8)+C11</f>
        <v>#VALUE!</v>
      </c>
      <c r="C9" s="37">
        <f>(1+C7)*(1+C8)</f>
        <v>1.092014</v>
      </c>
      <c r="D9" s="37">
        <f>(1+D7)*(1+D8)</f>
        <v>1.0147140000000001</v>
      </c>
      <c r="E9" s="37">
        <f>(1+E7)*(1+E8)</f>
        <v>1.0367900000000001</v>
      </c>
      <c r="F9" s="37">
        <f>(1+F7)*(1+F8)</f>
        <v>1.1057429999999999</v>
      </c>
      <c r="G9" s="37">
        <f>(1+H7)*(1+G8)</f>
        <v>1.0682560000000001</v>
      </c>
      <c r="H9" s="37">
        <f>(1+I7)*(1+H8)</f>
        <v>1.067366</v>
      </c>
      <c r="I9" s="37">
        <f>(1+I7)*(1+I8)</f>
        <v>1.0652439999999999</v>
      </c>
      <c r="J9" s="37">
        <f>(1+J7)*(1+J8)</f>
        <v>1.05105</v>
      </c>
      <c r="K9" s="37">
        <f>(1+K7)*(1+K8)</f>
        <v>1.034168</v>
      </c>
      <c r="L9" s="37">
        <f>(1+L7)*(1+L8)</f>
        <v>1.0379609999999999</v>
      </c>
      <c r="M9" s="37">
        <f>(1+M7)*(1+M8)</f>
        <v>1.05315</v>
      </c>
    </row>
    <row r="11" spans="1:13" s="34" customFormat="1" x14ac:dyDescent="0.15">
      <c r="A11" s="34" t="s">
        <v>454</v>
      </c>
      <c r="B11" s="36" t="s">
        <v>31</v>
      </c>
      <c r="C11" s="36" t="s">
        <v>434</v>
      </c>
      <c r="D11" s="36" t="s">
        <v>435</v>
      </c>
      <c r="E11" s="36" t="s">
        <v>436</v>
      </c>
      <c r="F11" s="36" t="s">
        <v>437</v>
      </c>
      <c r="G11" s="36" t="s">
        <v>438</v>
      </c>
      <c r="H11" s="36" t="s">
        <v>439</v>
      </c>
      <c r="I11" s="36" t="s">
        <v>440</v>
      </c>
      <c r="J11" s="36" t="s">
        <v>441</v>
      </c>
      <c r="K11" s="36" t="s">
        <v>442</v>
      </c>
      <c r="L11" s="36" t="s">
        <v>443</v>
      </c>
      <c r="M11" s="36" t="s">
        <v>444</v>
      </c>
    </row>
    <row r="12" spans="1:13" x14ac:dyDescent="0.15">
      <c r="A12" s="34" t="s">
        <v>451</v>
      </c>
      <c r="B12" s="37">
        <v>0.20480000000000001</v>
      </c>
      <c r="C12" s="37">
        <v>0.12670000000000001</v>
      </c>
      <c r="D12" s="37">
        <v>9.7500000000000003E-2</v>
      </c>
      <c r="E12" s="37">
        <v>0.1323</v>
      </c>
      <c r="F12" s="37">
        <v>0.20810000000000001</v>
      </c>
      <c r="G12" s="37">
        <v>0.1706</v>
      </c>
      <c r="H12" s="37">
        <v>0.19189999999999999</v>
      </c>
      <c r="I12" s="37">
        <v>0.159</v>
      </c>
      <c r="J12" s="37">
        <v>0.2273</v>
      </c>
      <c r="K12" s="37">
        <v>0.19209999999999999</v>
      </c>
      <c r="L12" s="37">
        <v>0.1144</v>
      </c>
      <c r="M12" s="37">
        <v>8.4199999999999997E-2</v>
      </c>
    </row>
    <row r="13" spans="1:13" x14ac:dyDescent="0.15">
      <c r="A13" s="34" t="s">
        <v>452</v>
      </c>
      <c r="B13" s="37">
        <v>-1.0999999999999999E-2</v>
      </c>
      <c r="C13" s="37">
        <v>8.3999999999999995E-3</v>
      </c>
      <c r="D13" s="37">
        <v>-4.7000000000000002E-3</v>
      </c>
      <c r="E13" s="37">
        <v>-1.0500000000000001E-2</v>
      </c>
      <c r="F13" s="37">
        <v>8.6999999999999994E-3</v>
      </c>
      <c r="G13" s="37">
        <v>-1.37E-2</v>
      </c>
      <c r="H13" s="37">
        <v>-1.41E-2</v>
      </c>
      <c r="I13" s="37">
        <v>-2.1100000000000001E-2</v>
      </c>
      <c r="J13" s="37">
        <v>-3.5999999999999999E-3</v>
      </c>
      <c r="K13" s="37">
        <v>-1.1999999999999999E-3</v>
      </c>
      <c r="L13" s="37">
        <v>-2.3699999999999999E-2</v>
      </c>
      <c r="M13" s="37">
        <v>-3.39E-2</v>
      </c>
    </row>
    <row r="14" spans="1:13" x14ac:dyDescent="0.15">
      <c r="A14" s="34" t="s">
        <v>447</v>
      </c>
      <c r="B14" s="38">
        <f>(1+B12)*(1+B13)+C16</f>
        <v>1.1915472</v>
      </c>
      <c r="C14" s="37">
        <f>(1+C12)*(1+C13)</f>
        <v>1.13616428</v>
      </c>
      <c r="D14" s="37">
        <f>(1+D12)*(1+D13)</f>
        <v>1.0923417499999999</v>
      </c>
      <c r="E14" s="37">
        <f>(1+E12)*(1+E13)</f>
        <v>1.1204108500000001</v>
      </c>
      <c r="F14" s="37">
        <f>(1+F12)*(1+F13)</f>
        <v>1.2186104699999998</v>
      </c>
      <c r="G14" s="37">
        <f>(1+H12)*(1+G13)</f>
        <v>1.1755709699999999</v>
      </c>
      <c r="H14" s="37">
        <f>(1+I12)*(1+H13)</f>
        <v>1.1426581</v>
      </c>
      <c r="I14" s="37">
        <f>(1+I12)*(1+I13)</f>
        <v>1.1345451</v>
      </c>
      <c r="J14" s="37">
        <f>(1+J12)*(1+J13)</f>
        <v>1.2228817199999999</v>
      </c>
      <c r="K14" s="37">
        <f>(1+K12)*(1+K13)</f>
        <v>1.1906694799999999</v>
      </c>
      <c r="L14" s="37">
        <f>(1+L12)*(1+L13)</f>
        <v>1.08798872</v>
      </c>
      <c r="M14" s="37">
        <f>(1+M12)*(1+M13)</f>
        <v>1.04744562</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2019宏观经济数据  </vt:lpstr>
      <vt:lpstr>2020宏观经济数据</vt:lpstr>
      <vt:lpstr>万得A</vt:lpstr>
      <vt:lpstr>快递</vt:lpstr>
      <vt:lpstr>汽车</vt:lpstr>
      <vt:lpstr>航空</vt:lpstr>
      <vt:lpstr>银行</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2019-12-28T07:49:49Z</dcterms:created>
  <dcterms:modified xsi:type="dcterms:W3CDTF">2020-03-10T04:50:38Z</dcterms:modified>
</cp:coreProperties>
</file>