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水泥 " sheetId="14" r:id="rId3"/>
    <sheet name="生长素 " sheetId="13" r:id="rId4"/>
    <sheet name="中药" sheetId="10" r:id="rId5"/>
    <sheet name="快递" sheetId="2" r:id="rId6"/>
    <sheet name="航空" sheetId="3" r:id="rId7"/>
    <sheet name="被动元件原料" sheetId="12" r:id="rId8"/>
    <sheet name="被动元件" sheetId="11" r:id="rId9"/>
    <sheet name="PCB " sheetId="8" r:id="rId10"/>
    <sheet name="半导体封测" sheetId="9" r:id="rId11"/>
    <sheet name="汽车" sheetId="5" r:id="rId1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7" i="7" l="1"/>
  <c r="J37" i="7"/>
  <c r="AA34" i="3"/>
  <c r="E56" i="3"/>
  <c r="D56" i="3"/>
  <c r="B132" i="1"/>
  <c r="B131" i="1"/>
  <c r="B130" i="1"/>
  <c r="B129" i="1"/>
  <c r="B128" i="1"/>
  <c r="B127" i="1"/>
  <c r="B126" i="1"/>
  <c r="B125" i="1"/>
  <c r="B124" i="1"/>
  <c r="V29" i="14"/>
  <c r="U29" i="14"/>
  <c r="T29" i="14"/>
  <c r="T21" i="14"/>
  <c r="M21" i="14"/>
  <c r="S29" i="14"/>
  <c r="S21" i="14"/>
  <c r="R29" i="14"/>
  <c r="R21" i="14"/>
  <c r="N21" i="14"/>
  <c r="S10" i="14"/>
  <c r="O21" i="14"/>
  <c r="M23" i="14"/>
  <c r="N23" i="14"/>
  <c r="M24" i="14"/>
  <c r="N24" i="14"/>
  <c r="M25" i="14"/>
  <c r="N25" i="14"/>
  <c r="M26" i="14"/>
  <c r="N26" i="14"/>
  <c r="N16" i="14"/>
  <c r="N27" i="14"/>
  <c r="M28" i="14"/>
  <c r="M27" i="14"/>
  <c r="B10" i="14"/>
  <c r="T10" i="14"/>
  <c r="U21" i="14"/>
  <c r="T14" i="14"/>
  <c r="T25" i="14"/>
  <c r="T13" i="14"/>
  <c r="T24" i="14"/>
  <c r="T15" i="14"/>
  <c r="T26" i="14"/>
  <c r="T12" i="14"/>
  <c r="T23" i="14"/>
  <c r="T27" i="14"/>
  <c r="B15" i="14"/>
  <c r="B17" i="14"/>
  <c r="B19" i="14"/>
  <c r="B21" i="14"/>
  <c r="B23" i="14"/>
  <c r="E24" i="14"/>
  <c r="D18" i="14"/>
  <c r="C19" i="14"/>
  <c r="D20" i="14"/>
  <c r="C21" i="14"/>
  <c r="D16" i="14"/>
  <c r="C17" i="14"/>
  <c r="T16" i="14"/>
  <c r="M16" i="14"/>
  <c r="M17" i="14"/>
  <c r="C10" i="14"/>
  <c r="B11" i="14"/>
  <c r="D10" i="14"/>
  <c r="R10" i="14"/>
  <c r="B123" i="1"/>
  <c r="B73" i="14"/>
  <c r="C73" i="14"/>
  <c r="B74" i="14"/>
  <c r="D73" i="14"/>
  <c r="C74" i="14"/>
  <c r="C71" i="14"/>
  <c r="D71" i="14"/>
  <c r="C72" i="14"/>
  <c r="B71" i="14"/>
  <c r="B72" i="14"/>
  <c r="C69" i="14"/>
  <c r="D69" i="14"/>
  <c r="C70" i="14"/>
  <c r="B69" i="14"/>
  <c r="B70" i="14"/>
  <c r="C68" i="14"/>
  <c r="B68" i="14"/>
  <c r="C65" i="14"/>
  <c r="D65" i="14"/>
  <c r="C66" i="14"/>
  <c r="B65" i="14"/>
  <c r="B66" i="14"/>
  <c r="C64" i="14"/>
  <c r="B64" i="14"/>
  <c r="C62" i="14"/>
  <c r="B62" i="14"/>
  <c r="D46" i="14"/>
  <c r="C46" i="14"/>
  <c r="B46" i="14"/>
  <c r="C45" i="14"/>
  <c r="B45" i="14"/>
  <c r="C43" i="14"/>
  <c r="B43" i="14"/>
  <c r="C41" i="14"/>
  <c r="B41" i="14"/>
  <c r="H33" i="14"/>
  <c r="C39" i="14"/>
  <c r="B39" i="14"/>
  <c r="C37" i="14"/>
  <c r="B37" i="14"/>
  <c r="C35" i="14"/>
  <c r="B35" i="14"/>
  <c r="C33" i="14"/>
  <c r="B33" i="14"/>
  <c r="H26" i="14"/>
  <c r="C31" i="14"/>
  <c r="B31" i="14"/>
  <c r="H24" i="14"/>
  <c r="C29" i="14"/>
  <c r="B29" i="14"/>
  <c r="C27" i="14"/>
  <c r="B27" i="14"/>
  <c r="H20" i="14"/>
  <c r="C25" i="14"/>
  <c r="B25" i="14"/>
  <c r="H18" i="14"/>
  <c r="C23" i="14"/>
  <c r="H16" i="14"/>
  <c r="D14" i="14"/>
  <c r="C15" i="14"/>
  <c r="H14" i="14"/>
  <c r="C13" i="14"/>
  <c r="B13" i="14"/>
  <c r="H12" i="14"/>
  <c r="C11" i="14"/>
  <c r="H10" i="14"/>
  <c r="C40" i="13"/>
  <c r="D40" i="13"/>
  <c r="B40" i="13"/>
  <c r="C31" i="13"/>
  <c r="C29" i="13"/>
  <c r="C27" i="13"/>
  <c r="C25" i="13"/>
  <c r="C23" i="13"/>
  <c r="B23" i="13"/>
  <c r="B25" i="13"/>
  <c r="B31" i="13"/>
  <c r="B29" i="13"/>
  <c r="B27" i="13"/>
  <c r="C14" i="13"/>
  <c r="B14" i="13"/>
  <c r="B15" i="13"/>
  <c r="B17" i="13"/>
  <c r="E18" i="13"/>
  <c r="C21" i="13"/>
  <c r="B21" i="13"/>
  <c r="D14" i="13"/>
  <c r="C15" i="13"/>
  <c r="C17" i="13"/>
  <c r="C13" i="13"/>
  <c r="B13" i="13"/>
  <c r="C67" i="13"/>
  <c r="D67" i="13"/>
  <c r="C68" i="13"/>
  <c r="B67" i="13"/>
  <c r="B68" i="13"/>
  <c r="C65" i="13"/>
  <c r="D65" i="13"/>
  <c r="C66" i="13"/>
  <c r="B65" i="13"/>
  <c r="B66" i="13"/>
  <c r="C63" i="13"/>
  <c r="D63" i="13"/>
  <c r="C64" i="13"/>
  <c r="B63" i="13"/>
  <c r="B64" i="13"/>
  <c r="C62" i="13"/>
  <c r="B62" i="13"/>
  <c r="C59" i="13"/>
  <c r="D59" i="13"/>
  <c r="C60" i="13"/>
  <c r="B59" i="13"/>
  <c r="B60" i="13"/>
  <c r="C58" i="13"/>
  <c r="B58" i="13"/>
  <c r="C56" i="13"/>
  <c r="B56" i="13"/>
  <c r="H33" i="13"/>
  <c r="H26" i="13"/>
  <c r="H24" i="13"/>
  <c r="C33" i="13"/>
  <c r="B33" i="13"/>
  <c r="H20" i="13"/>
  <c r="C39" i="13"/>
  <c r="B39" i="13"/>
  <c r="H18" i="13"/>
  <c r="C37" i="13"/>
  <c r="B37" i="13"/>
  <c r="H16" i="13"/>
  <c r="C35" i="13"/>
  <c r="B35" i="13"/>
  <c r="H14" i="13"/>
  <c r="C19" i="13"/>
  <c r="B19" i="13"/>
  <c r="H12" i="13"/>
  <c r="C11" i="13"/>
  <c r="B11" i="13"/>
  <c r="H10" i="13"/>
  <c r="H37" i="7"/>
  <c r="F37" i="7"/>
  <c r="D37" i="7"/>
  <c r="B37" i="7"/>
  <c r="W36" i="3"/>
  <c r="V36" i="3"/>
  <c r="W34" i="3"/>
  <c r="D47" i="12"/>
  <c r="C47" i="12"/>
  <c r="B47" i="12"/>
  <c r="B55" i="12"/>
  <c r="B53" i="12"/>
  <c r="B51" i="12"/>
  <c r="O13" i="12"/>
  <c r="O12" i="12"/>
  <c r="O11" i="12"/>
  <c r="O10" i="12"/>
  <c r="C55" i="12"/>
  <c r="D55" i="12"/>
  <c r="C56" i="12"/>
  <c r="B56" i="12"/>
  <c r="C53" i="12"/>
  <c r="D53" i="12"/>
  <c r="C54" i="12"/>
  <c r="B54" i="12"/>
  <c r="C51" i="12"/>
  <c r="D51" i="12"/>
  <c r="C52" i="12"/>
  <c r="B52" i="12"/>
  <c r="C50" i="12"/>
  <c r="B50" i="12"/>
  <c r="C48" i="12"/>
  <c r="B48" i="12"/>
  <c r="C46" i="12"/>
  <c r="B46" i="12"/>
  <c r="C44" i="12"/>
  <c r="B44" i="12"/>
  <c r="H33" i="12"/>
  <c r="C27" i="12"/>
  <c r="B27" i="12"/>
  <c r="H26" i="12"/>
  <c r="C25" i="12"/>
  <c r="B25" i="12"/>
  <c r="H24" i="12"/>
  <c r="C23" i="12"/>
  <c r="B23" i="12"/>
  <c r="C21" i="12"/>
  <c r="B21" i="12"/>
  <c r="H20" i="12"/>
  <c r="C19" i="12"/>
  <c r="B19" i="12"/>
  <c r="H18" i="12"/>
  <c r="C17" i="12"/>
  <c r="B17" i="12"/>
  <c r="H16" i="12"/>
  <c r="C15" i="12"/>
  <c r="B15" i="12"/>
  <c r="H14" i="12"/>
  <c r="C13" i="12"/>
  <c r="B13" i="12"/>
  <c r="H12" i="12"/>
  <c r="C11" i="12"/>
  <c r="B11" i="12"/>
  <c r="H10" i="12"/>
  <c r="C21" i="11"/>
  <c r="C54" i="11"/>
  <c r="D21" i="11"/>
  <c r="D54" i="11"/>
  <c r="C55" i="11"/>
  <c r="B21" i="11"/>
  <c r="B54" i="11"/>
  <c r="B55" i="11"/>
  <c r="C52" i="11"/>
  <c r="D52" i="11"/>
  <c r="C53" i="11"/>
  <c r="B52" i="11"/>
  <c r="B53" i="11"/>
  <c r="C50" i="11"/>
  <c r="D50" i="11"/>
  <c r="C51" i="11"/>
  <c r="B50" i="11"/>
  <c r="B51" i="11"/>
  <c r="C49" i="11"/>
  <c r="B49" i="11"/>
  <c r="C46" i="11"/>
  <c r="D46" i="11"/>
  <c r="C47" i="11"/>
  <c r="B46" i="11"/>
  <c r="B47" i="11"/>
  <c r="C45" i="11"/>
  <c r="B45" i="11"/>
  <c r="C43" i="11"/>
  <c r="B43" i="11"/>
  <c r="H32" i="11"/>
  <c r="C26" i="11"/>
  <c r="B26" i="11"/>
  <c r="H25" i="11"/>
  <c r="C24" i="11"/>
  <c r="B24" i="11"/>
  <c r="H23" i="11"/>
  <c r="C22" i="11"/>
  <c r="B22" i="11"/>
  <c r="C20" i="11"/>
  <c r="B20" i="11"/>
  <c r="H19" i="11"/>
  <c r="C18" i="11"/>
  <c r="B18" i="11"/>
  <c r="H17" i="11"/>
  <c r="C16" i="11"/>
  <c r="B16" i="11"/>
  <c r="H15" i="11"/>
  <c r="C14" i="11"/>
  <c r="B14" i="11"/>
  <c r="H13" i="11"/>
  <c r="C12" i="11"/>
  <c r="B12" i="11"/>
  <c r="H11" i="11"/>
  <c r="C10" i="11"/>
  <c r="B10" i="11"/>
  <c r="H9" i="11"/>
  <c r="Z34" i="3"/>
  <c r="Y34" i="3"/>
  <c r="X34" i="3"/>
  <c r="V34" i="3"/>
  <c r="U34" i="3"/>
  <c r="B21" i="10"/>
  <c r="B54" i="10"/>
  <c r="D21" i="10"/>
  <c r="D54" i="10"/>
  <c r="C21" i="10"/>
  <c r="C54" i="10"/>
  <c r="C22" i="10"/>
  <c r="B22" i="10"/>
  <c r="C55" i="10"/>
  <c r="B55" i="10"/>
  <c r="D52" i="10"/>
  <c r="C52" i="10"/>
  <c r="B52" i="10"/>
  <c r="C53" i="10"/>
  <c r="B53" i="10"/>
  <c r="C50" i="10"/>
  <c r="D50" i="10"/>
  <c r="C51" i="10"/>
  <c r="B50" i="10"/>
  <c r="B51" i="10"/>
  <c r="C49" i="10"/>
  <c r="B49" i="10"/>
  <c r="B46" i="10"/>
  <c r="C46" i="10"/>
  <c r="D46" i="10"/>
  <c r="C47" i="10"/>
  <c r="B47" i="10"/>
  <c r="C45" i="10"/>
  <c r="B45" i="10"/>
  <c r="C43" i="10"/>
  <c r="B43" i="10"/>
  <c r="C18" i="10"/>
  <c r="B18" i="10"/>
  <c r="C12" i="10"/>
  <c r="B12" i="10"/>
  <c r="H32" i="10"/>
  <c r="H25" i="10"/>
  <c r="H23" i="10"/>
  <c r="H19" i="10"/>
  <c r="H17" i="10"/>
  <c r="H15" i="10"/>
  <c r="H13" i="10"/>
  <c r="H11" i="10"/>
  <c r="H9" i="10"/>
  <c r="C26" i="10"/>
  <c r="B26" i="10"/>
  <c r="C24" i="10"/>
  <c r="B24" i="10"/>
  <c r="C20" i="10"/>
  <c r="B20" i="10"/>
  <c r="C16" i="10"/>
  <c r="B16" i="10"/>
  <c r="C14" i="10"/>
  <c r="B14" i="10"/>
  <c r="C10" i="10"/>
  <c r="B10" i="10"/>
  <c r="C14" i="9"/>
  <c r="B14" i="9"/>
  <c r="Z52" i="3"/>
  <c r="Z58" i="3"/>
  <c r="Z53" i="3"/>
  <c r="AA53" i="3"/>
  <c r="AB53" i="3"/>
  <c r="Z54" i="3"/>
  <c r="Z59" i="3"/>
  <c r="Z60" i="3"/>
  <c r="S90" i="3"/>
  <c r="S89" i="3"/>
  <c r="S99" i="3"/>
  <c r="S88" i="3"/>
  <c r="P98" i="3"/>
  <c r="P101" i="3"/>
  <c r="P102" i="3"/>
  <c r="P100" i="3"/>
  <c r="P99" i="3"/>
  <c r="P96" i="3"/>
  <c r="P67" i="3"/>
  <c r="P73" i="3"/>
  <c r="P55" i="3"/>
  <c r="P72" i="3"/>
  <c r="P74" i="3"/>
  <c r="Z69" i="3"/>
  <c r="Z70" i="3"/>
  <c r="Z64" i="3"/>
  <c r="Z71" i="3"/>
  <c r="Z72" i="3"/>
  <c r="Z73" i="3"/>
  <c r="Z74" i="3"/>
  <c r="R60" i="3"/>
  <c r="V60" i="3"/>
  <c r="W60" i="3"/>
  <c r="R61" i="3"/>
  <c r="V61" i="3"/>
  <c r="W61" i="3"/>
  <c r="R62" i="3"/>
  <c r="V62" i="3"/>
  <c r="W62" i="3"/>
  <c r="R54" i="3"/>
  <c r="V54" i="3"/>
  <c r="W54" i="3"/>
  <c r="R53" i="3"/>
  <c r="V53" i="3"/>
  <c r="W53" i="3"/>
  <c r="R52" i="3"/>
  <c r="V52" i="3"/>
  <c r="W52" i="3"/>
  <c r="W55" i="3"/>
  <c r="W72" i="3"/>
  <c r="R66" i="3"/>
  <c r="V66" i="3"/>
  <c r="W66" i="3"/>
  <c r="R65" i="3"/>
  <c r="V65" i="3"/>
  <c r="W65" i="3"/>
  <c r="R64" i="3"/>
  <c r="V64" i="3"/>
  <c r="W64" i="3"/>
  <c r="R63" i="3"/>
  <c r="V63" i="3"/>
  <c r="W63" i="3"/>
  <c r="W67" i="3"/>
  <c r="W73" i="3"/>
  <c r="W74" i="3"/>
  <c r="X74" i="3"/>
  <c r="AC57" i="3"/>
  <c r="AF57" i="3"/>
  <c r="AI57" i="3"/>
  <c r="Z77" i="3"/>
  <c r="Z78" i="3"/>
  <c r="Z79" i="3"/>
  <c r="AI52" i="3"/>
  <c r="AI58" i="3"/>
  <c r="AI53" i="3"/>
  <c r="AJ53" i="3"/>
  <c r="AK53" i="3"/>
  <c r="AI54" i="3"/>
  <c r="AI59" i="3"/>
  <c r="AI60" i="3"/>
  <c r="AI64" i="3"/>
  <c r="AF52" i="3"/>
  <c r="AF58" i="3"/>
  <c r="AF53" i="3"/>
  <c r="AG53" i="3"/>
  <c r="AH53" i="3"/>
  <c r="AF54" i="3"/>
  <c r="AF59" i="3"/>
  <c r="AF60" i="3"/>
  <c r="AF64" i="3"/>
  <c r="AC52" i="3"/>
  <c r="AC58" i="3"/>
  <c r="AC53" i="3"/>
  <c r="AD53" i="3"/>
  <c r="AE53" i="3"/>
  <c r="AC54" i="3"/>
  <c r="AC59" i="3"/>
  <c r="AC60" i="3"/>
  <c r="AC64" i="3"/>
  <c r="T26" i="3"/>
  <c r="AB26" i="3"/>
  <c r="AA26" i="3"/>
  <c r="Z26" i="3"/>
  <c r="Y26" i="3"/>
  <c r="X26" i="3"/>
  <c r="W26" i="3"/>
  <c r="V26" i="3"/>
  <c r="AI26" i="3"/>
  <c r="AH26" i="3"/>
  <c r="AG26" i="3"/>
  <c r="AN26" i="3"/>
  <c r="AM26" i="3"/>
  <c r="AL26" i="3"/>
  <c r="AK26" i="3"/>
  <c r="AS26" i="3"/>
  <c r="AR26" i="3"/>
  <c r="AQ26" i="3"/>
  <c r="AP26" i="3"/>
  <c r="AX26" i="3"/>
  <c r="AW26" i="3"/>
  <c r="AV26" i="3"/>
  <c r="AU26" i="3"/>
  <c r="BC26" i="3"/>
  <c r="BB26" i="3"/>
  <c r="BA26" i="3"/>
  <c r="AZ26" i="3"/>
  <c r="BE26" i="3"/>
  <c r="BF26" i="3"/>
  <c r="BG26" i="3"/>
  <c r="BH26" i="3"/>
  <c r="U26" i="3"/>
  <c r="T34" i="3"/>
  <c r="S34" i="3"/>
  <c r="R34" i="3"/>
  <c r="Q34" i="3"/>
  <c r="P34" i="3"/>
  <c r="O34" i="3"/>
  <c r="N34" i="3"/>
  <c r="M34" i="3"/>
  <c r="L34" i="3"/>
  <c r="K34" i="3"/>
  <c r="J34" i="3"/>
  <c r="I34" i="3"/>
  <c r="H34" i="3"/>
  <c r="G34" i="3"/>
  <c r="F34" i="3"/>
  <c r="E34" i="3"/>
  <c r="D34" i="3"/>
  <c r="C34" i="3"/>
  <c r="B34" i="3"/>
  <c r="C56" i="3"/>
  <c r="B56" i="3"/>
  <c r="X280" i="1"/>
  <c r="X279" i="1"/>
  <c r="X274" i="1"/>
  <c r="X273" i="1"/>
  <c r="X269" i="1"/>
  <c r="X268" i="1"/>
  <c r="X264" i="1"/>
  <c r="X263" i="1"/>
  <c r="X251" i="1"/>
  <c r="X250" i="1"/>
  <c r="X245" i="1"/>
  <c r="X244" i="1"/>
  <c r="X239" i="1"/>
  <c r="X238" i="1"/>
  <c r="X234" i="1"/>
  <c r="X233" i="1"/>
  <c r="X228" i="1"/>
  <c r="X227" i="1"/>
  <c r="X223" i="1"/>
  <c r="X222" i="1"/>
  <c r="X217" i="1"/>
  <c r="X216" i="1"/>
  <c r="X203" i="1"/>
  <c r="X202" i="1"/>
  <c r="X197" i="1"/>
  <c r="X196" i="1"/>
  <c r="X191" i="1"/>
  <c r="X190" i="1"/>
  <c r="X185" i="1"/>
  <c r="X184" i="1"/>
  <c r="X179" i="1"/>
  <c r="X178" i="1"/>
  <c r="X172" i="1"/>
  <c r="X173" i="1"/>
  <c r="X139" i="1"/>
  <c r="X138" i="1"/>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B51" i="3"/>
  <c r="I51" i="3"/>
  <c r="M51" i="3"/>
  <c r="L51" i="3"/>
  <c r="K51" i="3"/>
  <c r="J51" i="3"/>
  <c r="H51" i="3"/>
  <c r="G51" i="3"/>
  <c r="F51" i="3"/>
  <c r="E51" i="3"/>
  <c r="D51" i="3"/>
  <c r="C51" i="3"/>
</calcChain>
</file>

<file path=xl/sharedStrings.xml><?xml version="1.0" encoding="utf-8"?>
<sst xmlns="http://schemas.openxmlformats.org/spreadsheetml/2006/main" count="2721" uniqueCount="1006">
  <si>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</si>
  <si>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</si>
  <si>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</si>
  <si>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</si>
  <si>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</si>
  <si>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</si>
  <si>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</si>
  <si>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</si>
  <si>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</si>
  <si>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</si>
  <si>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</si>
  <si>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</si>
  <si>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</si>
  <si>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</si>
  <si>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</si>
  <si>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</si>
  <si>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</si>
  <si>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</si>
  <si>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</si>
  <si>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</si>
  <si>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</si>
  <si>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</si>
  <si>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</si>
  <si>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</si>
  <si>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</si>
  <si>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</si>
  <si>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</si>
  <si>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</si>
  <si>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</si>
  <si>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</si>
  <si>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</si>
  <si>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</si>
  <si>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</si>
  <si>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</si>
  <si>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</si>
  <si>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</si>
  <si>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</si>
  <si>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</si>
  <si>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</si>
  <si>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</si>
  <si>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</si>
  <si>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</si>
  <si>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</si>
  <si>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</si>
  <si>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</si>
  <si>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</si>
  <si>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</si>
  <si>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</si>
  <si>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</si>
  <si>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</si>
  <si>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</si>
  <si>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</si>
  <si>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</si>
  <si>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</si>
  <si>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</si>
  <si>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</si>
  <si>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</si>
  <si>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</si>
  <si>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</si>
  <si>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</si>
  <si>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</si>
  <si>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</si>
  <si>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</si>
  <si>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</si>
  <si>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</si>
  <si>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</si>
  <si>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</si>
  <si>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</si>
  <si>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</si>
  <si>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</si>
  <si>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</si>
  <si>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</si>
  <si>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</si>
  <si>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</si>
  <si>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</si>
  <si>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</si>
  <si>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</si>
  <si>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</si>
  <si>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</si>
  <si>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</si>
  <si>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</si>
  <si>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</si>
  <si>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</si>
  <si>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</si>
  <si>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</si>
  <si>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</si>
  <si>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</si>
  <si>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</si>
  <si>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</si>
  <si>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</si>
  <si>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</si>
  <si>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</si>
  <si>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</si>
  <si>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</si>
  <si>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</si>
  <si>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</si>
  <si>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</si>
  <si>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</si>
  <si>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</si>
  <si>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</si>
  <si>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</si>
  <si>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</si>
  <si>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</si>
  <si>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</si>
  <si>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</si>
  <si>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</si>
  <si>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</si>
  <si>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</si>
  <si>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</si>
  <si>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</si>
  <si>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</si>
  <si>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</si>
  <si>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</si>
  <si>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</si>
  <si>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</si>
  <si>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</si>
  <si>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</si>
  <si>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</si>
  <si>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</si>
  <si>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</si>
  <si>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</si>
  <si>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</si>
  <si>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</si>
  <si>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</si>
  <si>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</si>
  <si>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</si>
  <si>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</si>
  <si>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</si>
  <si>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</si>
  <si>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</si>
  <si>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</si>
  <si>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</si>
  <si>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</si>
  <si>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</si>
  <si>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</si>
  <si>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</si>
  <si>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</si>
  <si>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</si>
  <si>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</si>
  <si>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</si>
  <si>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</si>
  <si>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</si>
  <si>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</si>
  <si>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</si>
  <si>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</si>
  <si>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</si>
  <si>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</si>
  <si>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</si>
  <si>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</si>
  <si>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</si>
  <si>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</si>
  <si>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</si>
  <si>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</si>
  <si>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</si>
  <si>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</si>
  <si>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</si>
  <si>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</si>
  <si>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</si>
  <si>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</si>
  <si>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</si>
  <si>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</si>
  <si>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</si>
  <si>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</si>
  <si>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</si>
  <si>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</si>
  <si>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</si>
  <si>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</si>
  <si>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</si>
  <si>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</si>
  <si>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</si>
  <si>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</si>
  <si>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</si>
  <si>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</si>
  <si>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</si>
  <si>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</si>
  <si>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</si>
  <si>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</si>
  <si>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</si>
  <si>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</si>
  <si>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</si>
  <si>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</si>
  <si>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</si>
  <si>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</si>
  <si>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</si>
  <si>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</si>
  <si>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</si>
  <si>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</si>
  <si>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</si>
  <si>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</si>
  <si>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</si>
  <si>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</si>
  <si>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</si>
  <si>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</si>
  <si>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</si>
  <si>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</si>
  <si>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</si>
  <si>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</si>
  <si>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</si>
  <si>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</si>
  <si>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</si>
  <si>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</si>
  <si>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</si>
  <si>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</si>
  <si>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</si>
  <si>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</si>
  <si>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</si>
  <si>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</si>
  <si>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</si>
  <si>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</si>
  <si>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</si>
  <si>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</si>
  <si>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</si>
  <si>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</si>
  <si>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</si>
  <si>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</si>
  <si>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</si>
  <si>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</si>
  <si>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</si>
  <si>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</si>
  <si>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</si>
  <si>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</si>
  <si>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</si>
  <si>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</si>
  <si>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</si>
  <si>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</si>
  <si>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</si>
  <si>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</si>
  <si>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</si>
  <si>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</si>
  <si>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</si>
  <si>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</si>
  <si>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</si>
  <si>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</si>
  <si>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</si>
  <si>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</si>
  <si>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</si>
  <si>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</si>
  <si>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</si>
  <si>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</si>
  <si>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</si>
  <si>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</si>
  <si>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</si>
  <si>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</si>
  <si>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</si>
  <si>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</si>
  <si>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</si>
  <si>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</si>
  <si>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</si>
  <si>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</si>
  <si>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</si>
  <si>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</si>
  <si>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</si>
  <si>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</si>
  <si>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</si>
  <si>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</si>
  <si>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</si>
  <si>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</si>
  <si>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</si>
  <si>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</si>
  <si>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</si>
  <si>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</si>
  <si>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</si>
  <si>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</si>
  <si>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</si>
  <si>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</si>
  <si>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</si>
  <si>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</si>
  <si>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</si>
  <si>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</si>
  <si>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</si>
  <si>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</si>
  <si>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</si>
  <si>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</si>
  <si>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</si>
  <si>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</si>
  <si>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</si>
  <si>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</si>
  <si>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</si>
  <si>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</si>
  <si>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</si>
  <si>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</si>
  <si>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</si>
  <si>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</si>
  <si>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</si>
  <si>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</si>
  <si>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</si>
  <si>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</si>
  <si>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</si>
  <si>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</si>
  <si>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</si>
  <si>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</si>
  <si>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</si>
  <si>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</si>
  <si>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</si>
  <si>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</si>
  <si>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</si>
  <si>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</si>
  <si>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</si>
  <si>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</si>
  <si>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</si>
  <si>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</si>
  <si>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</si>
  <si>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</si>
  <si>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</si>
  <si>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</si>
  <si>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</si>
  <si>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</si>
  <si>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</si>
  <si>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</si>
  <si>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</si>
  <si>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</si>
  <si>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</si>
  <si>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</si>
  <si>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</si>
  <si>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</si>
  <si>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</si>
  <si>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</si>
  <si>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</si>
  <si>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</si>
  <si>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</si>
  <si>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</si>
  <si>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</si>
  <si>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</si>
  <si>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</si>
  <si>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</si>
  <si>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</si>
  <si>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</si>
  <si>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</si>
  <si>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</si>
  <si>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</si>
  <si>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</si>
  <si>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</si>
  <si>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</si>
  <si>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</si>
  <si>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</si>
  <si>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</si>
  <si>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</si>
  <si>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</si>
  <si>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</si>
  <si>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</si>
  <si>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</si>
  <si>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</si>
  <si>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</si>
  <si>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</si>
  <si>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</si>
  <si>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</si>
  <si>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</si>
  <si>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</si>
  <si>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</si>
  <si>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</si>
  <si>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</si>
  <si>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</si>
  <si>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</si>
  <si>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</si>
  <si>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</si>
  <si>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</si>
  <si>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</si>
  <si>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</si>
  <si>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</si>
  <si>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</si>
  <si>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</si>
  <si>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</si>
  <si>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</si>
  <si>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</si>
  <si>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</si>
  <si>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</si>
  <si>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</si>
  <si>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</si>
  <si>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</si>
  <si>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</si>
  <si>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</si>
  <si>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</si>
  <si>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</si>
  <si>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</si>
  <si>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</si>
  <si>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</si>
  <si>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</si>
  <si>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</si>
  <si>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</si>
  <si>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</si>
  <si>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</si>
  <si>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</si>
  <si>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</si>
  <si>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</si>
  <si>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</si>
  <si>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</si>
  <si>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</si>
  <si>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</si>
  <si>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</si>
  <si>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</si>
  <si>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</si>
  <si>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</si>
  <si>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</si>
  <si>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</si>
  <si>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</si>
  <si>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</si>
  <si>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</si>
  <si>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</si>
  <si>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</si>
  <si>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</si>
  <si>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</si>
  <si>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</si>
  <si>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</si>
  <si>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</si>
  <si>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</si>
  <si>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</si>
  <si>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</si>
  <si>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</si>
  <si>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</si>
  <si>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</si>
  <si>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</si>
  <si>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</si>
  <si>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</si>
  <si>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</si>
  <si>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</si>
  <si>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</si>
  <si>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</si>
  <si>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</si>
  <si>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</si>
  <si>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</si>
  <si>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</si>
  <si>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</si>
  <si>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</si>
  <si>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</si>
  <si>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</si>
  <si>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</si>
  <si>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</si>
  <si>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</si>
  <si>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</si>
  <si>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</si>
  <si>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</si>
  <si>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</si>
  <si>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</si>
  <si>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</si>
  <si>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</si>
  <si>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</si>
  <si>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</si>
  <si>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</si>
  <si>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</si>
  <si>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</si>
  <si>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</si>
  <si>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</si>
  <si>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</si>
  <si>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</si>
  <si>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</si>
  <si>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</si>
  <si>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</si>
  <si>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</si>
  <si>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</si>
  <si>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</si>
  <si>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客座率</t>
    <rPh sb="0" eb="1">
      <t>ke zuo l</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</si>
  <si>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</si>
  <si>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</si>
  <si>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</si>
  <si>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</si>
  <si>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</si>
  <si>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</si>
  <si>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</si>
  <si>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</si>
  <si>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</si>
  <si>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</si>
  <si>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</si>
  <si>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</si>
  <si>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</si>
  <si>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</si>
  <si>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</si>
  <si>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</si>
  <si>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</si>
  <si>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</si>
  <si>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</si>
  <si>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</si>
  <si>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</si>
  <si>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</si>
  <si>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</si>
  <si>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</si>
  <si>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</si>
  <si>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</si>
  <si>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</si>
  <si>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</si>
  <si>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</si>
  <si>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</si>
  <si>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</si>
  <si>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</si>
  <si>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</si>
  <si>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</si>
  <si>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</si>
  <si>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</si>
  <si>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</si>
  <si>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</si>
  <si>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</si>
  <si>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</si>
  <si>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</si>
  <si>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</si>
  <si>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</si>
  <si>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</si>
  <si>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</si>
  <si>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</si>
  <si>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</si>
  <si>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</si>
  <si>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</si>
  <si>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</si>
  <si>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</si>
  <si>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</si>
  <si>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</si>
  <si>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</si>
  <si>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</si>
  <si>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</si>
  <si>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</si>
  <si>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</si>
  <si>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</si>
  <si>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</si>
  <si>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</si>
  <si>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</si>
  <si>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</si>
  <si>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</si>
  <si>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</si>
  <si>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</si>
  <si>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</si>
  <si>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</si>
  <si>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</si>
  <si>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</si>
  <si>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</si>
  <si>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</si>
  <si>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</si>
  <si>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</si>
  <si>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固定资产投资</t>
    <rPh sb="0" eb="1">
      <t>gu ding zi chan tou zi</t>
    </rPh>
    <phoneticPr fontId="2" type="noConversion"/>
  </si>
  <si>
    <t>电力、热力生产和供应业增加值（2020）</t>
    <rPh sb="11" eb="12">
      <t>zeng jia zhi</t>
    </rPh>
    <phoneticPr fontId="2" type="noConversion"/>
  </si>
  <si>
    <t>通信设备制造业增加值（2020）</t>
    <rPh sb="7" eb="8">
      <t>zeng jia zhi</t>
    </rPh>
    <phoneticPr fontId="2" type="noConversion"/>
  </si>
  <si>
    <t>通信设备制造业营业收入（2020）</t>
    <rPh sb="7" eb="8">
      <t>ying ye shou ru</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</si>
  <si>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</si>
  <si>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</si>
  <si>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</si>
  <si>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</si>
  <si>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</si>
  <si>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</si>
  <si>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</si>
  <si>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</si>
  <si>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</si>
  <si>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2019年</t>
    <rPh sb="4" eb="5">
      <t>nian</t>
    </rPh>
    <phoneticPr fontId="2" type="noConversion"/>
  </si>
  <si>
    <t>2020年</t>
    <rPh sb="4" eb="5">
      <t>nian</t>
    </rPh>
    <phoneticPr fontId="2" type="noConversion"/>
  </si>
  <si>
    <t>票价（旅客周转量）</t>
    <rPh sb="0" eb="1">
      <t>piao jia</t>
    </rPh>
    <phoneticPr fontId="2" type="noConversion"/>
  </si>
  <si>
    <t>国内航空运送旅客</t>
    <phoneticPr fontId="2" type="noConversion"/>
  </si>
  <si>
    <t>第一周</t>
    <rPh sb="0" eb="1">
      <t>di yi zhou</t>
    </rPh>
    <phoneticPr fontId="2" type="noConversion"/>
  </si>
  <si>
    <t>第二周</t>
    <rPh sb="0" eb="1">
      <t>di yi zhou</t>
    </rPh>
    <rPh sb="1" eb="2">
      <t>er</t>
    </rPh>
    <phoneticPr fontId="2" type="noConversion"/>
  </si>
  <si>
    <t>第三周</t>
    <rPh sb="0" eb="1">
      <t>di yi zhou</t>
    </rPh>
    <rPh sb="1" eb="2">
      <t>san</t>
    </rPh>
    <phoneticPr fontId="2" type="noConversion"/>
  </si>
  <si>
    <t>第四周</t>
    <rPh sb="0" eb="1">
      <t>di yi zhou</t>
    </rPh>
    <rPh sb="1" eb="2">
      <t>si</t>
    </rPh>
    <phoneticPr fontId="2" type="noConversion"/>
  </si>
  <si>
    <t>第五周</t>
    <rPh sb="0" eb="1">
      <t>di yi zhou</t>
    </rPh>
    <rPh sb="1" eb="2">
      <t>wu</t>
    </rPh>
    <phoneticPr fontId="2" type="noConversion"/>
  </si>
  <si>
    <t>国际航空运送旅客</t>
    <rPh sb="1" eb="2">
      <t>ji</t>
    </rPh>
    <phoneticPr fontId="2" type="noConversion"/>
  </si>
  <si>
    <t>国内航线平均票价</t>
    <phoneticPr fontId="2" type="noConversion"/>
  </si>
  <si>
    <t>国际航线平均票价</t>
    <phoneticPr fontId="2" type="noConversion"/>
  </si>
  <si>
    <t>总额</t>
    <rPh sb="0" eb="1">
      <t>zong e</t>
    </rPh>
    <phoneticPr fontId="2" type="noConversion"/>
  </si>
  <si>
    <t>总体航运数据</t>
    <rPh sb="0" eb="1">
      <t>zong ti</t>
    </rPh>
    <rPh sb="2" eb="3">
      <t>hang yun</t>
    </rPh>
    <rPh sb="4" eb="5">
      <t>shu ju</t>
    </rPh>
    <phoneticPr fontId="2" type="noConversion"/>
  </si>
  <si>
    <t>具体航运公司数据</t>
    <rPh sb="0" eb="1">
      <t>ju ti</t>
    </rPh>
    <rPh sb="2" eb="3">
      <t>hang yun</t>
    </rPh>
    <rPh sb="4" eb="5">
      <t>gong si</t>
    </rPh>
    <rPh sb="6" eb="7">
      <t>shu ju</t>
    </rPh>
    <phoneticPr fontId="2" type="noConversion"/>
  </si>
  <si>
    <t>项目</t>
    <rPh sb="0" eb="1">
      <t>xiang m</t>
    </rPh>
    <phoneticPr fontId="2" type="noConversion"/>
  </si>
  <si>
    <t>航油成本</t>
    <rPh sb="0" eb="1">
      <t>hang you cheng ben</t>
    </rPh>
    <phoneticPr fontId="2" type="noConversion"/>
  </si>
  <si>
    <t>起降费</t>
    <rPh sb="0" eb="1">
      <t>qi jiang fei</t>
    </rPh>
    <phoneticPr fontId="2" type="noConversion"/>
  </si>
  <si>
    <t>民航发展基金</t>
    <rPh sb="0" eb="1">
      <t>min hang fa zhan ji jin</t>
    </rPh>
    <phoneticPr fontId="2" type="noConversion"/>
  </si>
  <si>
    <t>可变成本合计</t>
    <rPh sb="0" eb="1">
      <t>ke bian cheng ben he ji</t>
    </rPh>
    <rPh sb="4" eb="5">
      <t>he ji</t>
    </rPh>
    <phoneticPr fontId="2" type="noConversion"/>
  </si>
  <si>
    <t>成本2019</t>
    <rPh sb="0" eb="1">
      <t>cheng ben</t>
    </rPh>
    <phoneticPr fontId="2" type="noConversion"/>
  </si>
  <si>
    <t>运力2019</t>
    <rPh sb="0" eb="1">
      <t>yun li</t>
    </rPh>
    <phoneticPr fontId="2" type="noConversion"/>
  </si>
  <si>
    <t>单位成本/运力</t>
    <rPh sb="0" eb="1">
      <t>dan wei cheng ben</t>
    </rPh>
    <rPh sb="5" eb="6">
      <t>yun li</t>
    </rPh>
    <phoneticPr fontId="2" type="noConversion"/>
  </si>
  <si>
    <t>2020年Q1</t>
    <rPh sb="4" eb="5">
      <t>nian</t>
    </rPh>
    <phoneticPr fontId="2" type="noConversion"/>
  </si>
  <si>
    <t>2020年Q1运力</t>
    <rPh sb="7" eb="8">
      <t>yun li</t>
    </rPh>
    <phoneticPr fontId="2" type="noConversion"/>
  </si>
  <si>
    <t>实际运力</t>
    <rPh sb="0" eb="1">
      <t>shi ji yun li</t>
    </rPh>
    <phoneticPr fontId="2" type="noConversion"/>
  </si>
  <si>
    <t>成本降幅</t>
    <rPh sb="0" eb="1">
      <t>cheng ben jiang fu</t>
    </rPh>
    <rPh sb="2" eb="3">
      <t>jiang fu</t>
    </rPh>
    <phoneticPr fontId="2" type="noConversion"/>
  </si>
  <si>
    <t>2020年Q1成本</t>
    <rPh sb="7" eb="8">
      <t>cheng ben</t>
    </rPh>
    <phoneticPr fontId="2" type="noConversion"/>
  </si>
  <si>
    <t>固定薪酬</t>
    <rPh sb="0" eb="1">
      <t>gu ding xin chou</t>
    </rPh>
    <phoneticPr fontId="2" type="noConversion"/>
  </si>
  <si>
    <t xml:space="preserve">折旧及摊销 </t>
  </si>
  <si>
    <t xml:space="preserve">其他 </t>
  </si>
  <si>
    <t xml:space="preserve">飞行员培训费 </t>
    <phoneticPr fontId="2" type="noConversion"/>
  </si>
  <si>
    <t>固定成本合计</t>
    <rPh sb="0" eb="1">
      <t>gu ding</t>
    </rPh>
    <rPh sb="4" eb="5">
      <t>he ji</t>
    </rPh>
    <phoneticPr fontId="2" type="noConversion"/>
  </si>
  <si>
    <t>完全成本合计</t>
    <rPh sb="0" eb="1">
      <t>wan quan cheng ben</t>
    </rPh>
    <rPh sb="4" eb="5">
      <t>he ji</t>
    </rPh>
    <phoneticPr fontId="2" type="noConversion"/>
  </si>
  <si>
    <t>成本</t>
    <rPh sb="0" eb="1">
      <t>cheng ben</t>
    </rPh>
    <phoneticPr fontId="2" type="noConversion"/>
  </si>
  <si>
    <t>可变成本</t>
    <rPh sb="0" eb="1">
      <t>ke bian cheng ben</t>
    </rPh>
    <phoneticPr fontId="2" type="noConversion"/>
  </si>
  <si>
    <t>固定成本</t>
    <rPh sb="0" eb="1">
      <t>gu ding</t>
    </rPh>
    <phoneticPr fontId="2" type="noConversion"/>
  </si>
  <si>
    <t>总成本</t>
    <rPh sb="0" eb="1">
      <t>zong</t>
    </rPh>
    <phoneticPr fontId="2" type="noConversion"/>
  </si>
  <si>
    <t>收入</t>
    <rPh sb="0" eb="1">
      <t>shou ru</t>
    </rPh>
    <phoneticPr fontId="2" type="noConversion"/>
  </si>
  <si>
    <t>客运周转量</t>
    <rPh sb="0" eb="1">
      <t>ke yun zhou zhuan liang</t>
    </rPh>
    <phoneticPr fontId="2" type="noConversion"/>
  </si>
  <si>
    <t>客单价同比</t>
    <rPh sb="0" eb="1">
      <t>ke dan jia tong bi</t>
    </rPh>
    <phoneticPr fontId="2" type="noConversion"/>
  </si>
  <si>
    <t>客运周转量季度合计</t>
    <rPh sb="0" eb="1">
      <t>ke yun zhou zhuan liang</t>
    </rPh>
    <rPh sb="5" eb="6">
      <t>ji du</t>
    </rPh>
    <rPh sb="7" eb="8">
      <t>he ji</t>
    </rPh>
    <phoneticPr fontId="2" type="noConversion"/>
  </si>
  <si>
    <t>客单价季度同比</t>
    <rPh sb="0" eb="1">
      <t>ke dan jia tong bi</t>
    </rPh>
    <rPh sb="3" eb="4">
      <t>ji du</t>
    </rPh>
    <phoneticPr fontId="2" type="noConversion"/>
  </si>
  <si>
    <t>去年季度客公里收益</t>
    <rPh sb="0" eb="1">
      <t>qu nian</t>
    </rPh>
    <rPh sb="2" eb="3">
      <t>ji du</t>
    </rPh>
    <rPh sb="7" eb="8">
      <t>shou yi</t>
    </rPh>
    <phoneticPr fontId="2" type="noConversion"/>
  </si>
  <si>
    <t>客单价同比加权</t>
    <rPh sb="0" eb="1">
      <t>ke dan jia tong bi</t>
    </rPh>
    <phoneticPr fontId="2" type="noConversion"/>
  </si>
  <si>
    <t>去年季度营业收入</t>
    <rPh sb="0" eb="1">
      <t>qu nian</t>
    </rPh>
    <rPh sb="2" eb="3">
      <t>ji du</t>
    </rPh>
    <rPh sb="4" eb="5">
      <t>ying ye shou ru</t>
    </rPh>
    <phoneticPr fontId="2" type="noConversion"/>
  </si>
  <si>
    <t>客运占收入比</t>
    <phoneticPr fontId="2" type="noConversion"/>
  </si>
  <si>
    <t>去年季度客运周转量</t>
    <rPh sb="0" eb="1">
      <t>qu nian ji du</t>
    </rPh>
    <rPh sb="4" eb="5">
      <t>ke yun zhou zhuan liang</t>
    </rPh>
    <phoneticPr fontId="2" type="noConversion"/>
  </si>
  <si>
    <t>客公里收益</t>
    <rPh sb="0" eb="1">
      <t>ke gong li shou yi</t>
    </rPh>
    <phoneticPr fontId="2" type="noConversion"/>
  </si>
  <si>
    <t>客运收入</t>
    <rPh sb="0" eb="1">
      <t>ke yun shou ru</t>
    </rPh>
    <phoneticPr fontId="2" type="noConversion"/>
  </si>
  <si>
    <t>货运周转量</t>
    <rPh sb="0" eb="1">
      <t>huo yun zhou zhuan liang</t>
    </rPh>
    <phoneticPr fontId="2" type="noConversion"/>
  </si>
  <si>
    <t>货运单价</t>
    <rPh sb="0" eb="1">
      <t>huo yun dan jia</t>
    </rPh>
    <phoneticPr fontId="2" type="noConversion"/>
  </si>
  <si>
    <t>货运收入</t>
    <rPh sb="0" eb="1">
      <t>huo yun shou ru</t>
    </rPh>
    <phoneticPr fontId="2" type="noConversion"/>
  </si>
  <si>
    <t>辅助收入</t>
    <rPh sb="0" eb="1">
      <t>fu zhu shou ru</t>
    </rPh>
    <phoneticPr fontId="2" type="noConversion"/>
  </si>
  <si>
    <t>测算航线辅助收入</t>
    <rPh sb="0" eb="1">
      <t>ce suan hang xian fu zhu shou ru</t>
    </rPh>
    <phoneticPr fontId="2" type="noConversion"/>
  </si>
  <si>
    <t>财政补贴收入</t>
    <rPh sb="0" eb="1">
      <t>cai zheng bu tie shou ru</t>
    </rPh>
    <phoneticPr fontId="2" type="noConversion"/>
  </si>
  <si>
    <t>总收入</t>
    <rPh sb="0" eb="1">
      <t>zong</t>
    </rPh>
    <rPh sb="1" eb="2">
      <t>shou ru</t>
    </rPh>
    <phoneticPr fontId="2" type="noConversion"/>
  </si>
  <si>
    <t>完全收入合计</t>
    <rPh sb="0" eb="1">
      <t>wan quan shou ru he ji</t>
    </rPh>
    <phoneticPr fontId="2" type="noConversion"/>
  </si>
  <si>
    <t>净利润</t>
    <rPh sb="0" eb="1">
      <t>jing li run</t>
    </rPh>
    <phoneticPr fontId="2" type="noConversion"/>
  </si>
  <si>
    <t>总收入</t>
    <rPh sb="0" eb="1">
      <t>zong shou ru</t>
    </rPh>
    <phoneticPr fontId="2" type="noConversion"/>
  </si>
  <si>
    <t>总成本</t>
    <rPh sb="0" eb="1">
      <t>zong cheng ben</t>
    </rPh>
    <phoneticPr fontId="2" type="noConversion"/>
  </si>
  <si>
    <t>纺织业</t>
    <rPh sb="0" eb="1">
      <t>fang zhi ye</t>
    </rPh>
    <phoneticPr fontId="2" type="noConversion"/>
  </si>
  <si>
    <t>医药制造业</t>
    <phoneticPr fontId="2" type="noConversion"/>
  </si>
  <si>
    <t>非金属矿物制品业</t>
    <phoneticPr fontId="2" type="noConversion"/>
  </si>
  <si>
    <t>黑色金属冶炼和压延加工业</t>
    <phoneticPr fontId="2" type="noConversion"/>
  </si>
  <si>
    <t>有色金属冶炼和压延加工业</t>
    <phoneticPr fontId="2" type="noConversion"/>
  </si>
  <si>
    <t>金属制品业制造业</t>
    <rPh sb="0" eb="1">
      <t>jin shu zhi pin ye</t>
    </rPh>
    <phoneticPr fontId="2" type="noConversion"/>
  </si>
  <si>
    <t>通用设备制造业</t>
    <rPh sb="0" eb="1">
      <t>tong</t>
    </rPh>
    <phoneticPr fontId="2" type="noConversion"/>
  </si>
  <si>
    <t>专用设备制造业</t>
    <phoneticPr fontId="2" type="noConversion"/>
  </si>
  <si>
    <t>汽车制造业</t>
    <rPh sb="0" eb="1">
      <t>qi che</t>
    </rPh>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</si>
  <si>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</si>
  <si>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</si>
  <si>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</si>
  <si>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食品制造业</t>
    <phoneticPr fontId="2" type="noConversion"/>
  </si>
  <si>
    <t>纺织业</t>
    <phoneticPr fontId="2" type="noConversion"/>
  </si>
  <si>
    <t>化学原料和化学制品</t>
    <phoneticPr fontId="2" type="noConversion"/>
  </si>
  <si>
    <t>医药制造业</t>
    <phoneticPr fontId="2" type="noConversion"/>
  </si>
  <si>
    <t>有色金属冶炼和压延加工业</t>
    <phoneticPr fontId="2" type="noConversion"/>
  </si>
  <si>
    <t>金属制品业</t>
    <phoneticPr fontId="2" type="noConversion"/>
  </si>
  <si>
    <t>通用设备制造业</t>
    <phoneticPr fontId="2" type="noConversion"/>
  </si>
  <si>
    <t>专用设备制造业</t>
    <phoneticPr fontId="2" type="noConversion"/>
  </si>
  <si>
    <t>汽车制造业</t>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</si>
  <si>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</si>
  <si>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</si>
  <si>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</si>
  <si>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电力、热力、燃气及水生产和供应业</t>
    <phoneticPr fontId="2" type="noConversion"/>
  </si>
  <si>
    <t>文化、体育和娱乐业</t>
    <phoneticPr fontId="2" type="noConversion"/>
  </si>
  <si>
    <t>社会消费品零售总额</t>
    <phoneticPr fontId="2" type="noConversion"/>
  </si>
  <si>
    <t>粮油、食品类</t>
  </si>
  <si>
    <t>饮料类</t>
  </si>
  <si>
    <t>烟酒类</t>
  </si>
  <si>
    <t>服装鞋帽、针纺织品类</t>
  </si>
  <si>
    <t>化妆品类</t>
  </si>
  <si>
    <t>金银珠宝类</t>
  </si>
  <si>
    <t>日用品类</t>
  </si>
  <si>
    <t>家用电器和音像器材类</t>
  </si>
  <si>
    <t>中西药品类</t>
  </si>
  <si>
    <t>文化办公用品类</t>
  </si>
  <si>
    <t>家具类</t>
  </si>
  <si>
    <t>通讯器材类</t>
  </si>
  <si>
    <t>石油及制品类</t>
  </si>
  <si>
    <t>汽车类</t>
  </si>
  <si>
    <t>建筑及装潢材料类</t>
  </si>
  <si>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</si>
  <si>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</si>
  <si>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</si>
  <si>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</si>
  <si>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</si>
  <si>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</si>
  <si>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</si>
  <si>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</si>
  <si>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</si>
  <si>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</si>
  <si>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</si>
  <si>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</si>
  <si>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</si>
  <si>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</si>
  <si>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7月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</si>
  <si>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</si>
  <si>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</si>
  <si>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</si>
  <si>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</si>
  <si>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</si>
  <si>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</si>
  <si>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</si>
  <si>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</si>
  <si>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</si>
  <si>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</si>
  <si>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</si>
  <si>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</si>
  <si>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</si>
  <si>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</si>
  <si>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</si>
  <si>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</si>
  <si>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</si>
  <si>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</si>
  <si>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</si>
  <si>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</si>
  <si>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</si>
  <si>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</si>
  <si>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</si>
  <si>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</si>
  <si>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</si>
  <si>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</si>
  <si>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</si>
  <si>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</si>
  <si>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</si>
  <si>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</si>
  <si>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</si>
  <si>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</si>
  <si>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</si>
  <si>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</si>
  <si>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</si>
  <si>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</si>
  <si>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</si>
  <si>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CBI（每月底）</t>
    <rPh sb="4" eb="5">
      <t>mei yue</t>
    </rPh>
    <rPh sb="6" eb="7">
      <t>di</t>
    </rPh>
    <phoneticPr fontId="2" type="noConversion"/>
  </si>
  <si>
    <t>中国企业经营情况指数（同比）</t>
    <rPh sb="0" eb="1">
      <t>zhong guo qi ye jing ying qing k</t>
    </rPh>
    <rPh sb="8" eb="9">
      <t>zhi shu</t>
    </rPh>
    <rPh sb="11" eb="12">
      <t>tong bi</t>
    </rPh>
    <phoneticPr fontId="2" type="noConversion"/>
  </si>
  <si>
    <t>纯苯（万华化学MDI、TDI原料）</t>
    <rPh sb="3" eb="4">
      <t>wan hua hua xue</t>
    </rPh>
    <rPh sb="14" eb="15">
      <t>yuan liao</t>
    </rPh>
    <phoneticPr fontId="2" type="noConversion"/>
  </si>
  <si>
    <t>流通领域重要生产资料市场价格变动情况（4、14、24）</t>
    <phoneticPr fontId="2" type="noConversion"/>
  </si>
  <si>
    <t>全国规模以上工业企业利润增速（27）</t>
    <phoneticPr fontId="2" type="noConversion"/>
  </si>
  <si>
    <t>全国规模以上工业企业利润增速（27）</t>
    <phoneticPr fontId="2" type="noConversion"/>
  </si>
  <si>
    <t>规模以上工业增加值（中旬）</t>
    <rPh sb="10" eb="11">
      <t>zhong xun</t>
    </rPh>
    <phoneticPr fontId="2" type="noConversion"/>
  </si>
  <si>
    <t>LPR（中旬）</t>
    <rPh sb="4" eb="5">
      <t>zhong</t>
    </rPh>
    <rPh sb="5" eb="6">
      <t>xun</t>
    </rPh>
    <phoneticPr fontId="2" type="noConversion"/>
  </si>
  <si>
    <t>社会消费品零售总额（中旬）</t>
    <phoneticPr fontId="2" type="noConversion"/>
  </si>
  <si>
    <t>行业固投增速（中旬）</t>
    <rPh sb="0" eb="1">
      <t>hang ye</t>
    </rPh>
    <rPh sb="2" eb="3">
      <t>gu tou</t>
    </rPh>
    <phoneticPr fontId="2" type="noConversion"/>
  </si>
  <si>
    <t>生产、投资，消费，进出口（中旬）</t>
    <rPh sb="0" eb="1">
      <t>sheng chan</t>
    </rPh>
    <rPh sb="3" eb="4">
      <t>tou zi</t>
    </rPh>
    <rPh sb="6" eb="7">
      <t>xiao fei</t>
    </rPh>
    <rPh sb="9" eb="10">
      <t>jin chu kou</t>
    </rPh>
    <rPh sb="13" eb="14">
      <t>zhong</t>
    </rPh>
    <rPh sb="14" eb="15">
      <t>xun</t>
    </rPh>
    <phoneticPr fontId="2" type="noConversion"/>
  </si>
  <si>
    <t>通胀环境（中旬）</t>
    <rPh sb="0" eb="1">
      <t>tong zhang huan jing</t>
    </rPh>
    <phoneticPr fontId="2" type="noConversion"/>
  </si>
  <si>
    <t>信贷环境（中旬）</t>
    <rPh sb="0" eb="1">
      <t>xin dai huan jing</t>
    </rPh>
    <phoneticPr fontId="2" type="noConversion"/>
  </si>
  <si>
    <t xml:space="preserve">飞机及发动机维修费 </t>
    <phoneticPr fontId="2" type="noConversion"/>
  </si>
  <si>
    <t>2019年</t>
    <phoneticPr fontId="2" type="noConversion"/>
  </si>
  <si>
    <t>2019年</t>
    <phoneticPr fontId="2" type="noConversion"/>
  </si>
  <si>
    <t xml:space="preserve">主营业务成本 </t>
    <phoneticPr fontId="2" type="noConversion"/>
  </si>
  <si>
    <t>客单价同比</t>
    <rPh sb="0" eb="1">
      <t>ke dan jia</t>
    </rPh>
    <rPh sb="3" eb="4">
      <t>tong bi</t>
    </rPh>
    <phoneticPr fontId="2" type="noConversion"/>
  </si>
  <si>
    <t>释义</t>
    <rPh sb="0" eb="1">
      <t>shi yi</t>
    </rPh>
    <phoneticPr fontId="2" type="noConversion"/>
  </si>
  <si>
    <t xml:space="preserve">辅助业务收入 </t>
    <phoneticPr fontId="2" type="noConversion"/>
  </si>
  <si>
    <t>除客运、货运收入以外，来自有偿机舱服务和其他与航空出行相关的产品销售与增值服务的收入，并包含逾重行李收入</t>
    <phoneticPr fontId="2" type="noConversion"/>
  </si>
  <si>
    <t xml:space="preserve">运输总周转量(RTK) </t>
    <phoneticPr fontId="2" type="noConversion"/>
  </si>
  <si>
    <t>每一航段的旅客、货物、邮件的重量与该航段距离乘积之和，基本单位为“吨公里”</t>
    <phoneticPr fontId="2" type="noConversion"/>
  </si>
  <si>
    <t xml:space="preserve">可用吨公里数(ATK) </t>
    <phoneticPr fontId="2" type="noConversion"/>
  </si>
  <si>
    <t>可提供业载(即飞机每次运输飞行时，按照有关参数计算出的飞机在该航段上所允许装载的最大商务载量)与航段距离的乘积之
和，反映运输中飞机的综合运载能力，基本单位为“吨公里”</t>
    <rPh sb="1" eb="2">
      <t>ti</t>
    </rPh>
    <phoneticPr fontId="2" type="noConversion"/>
  </si>
  <si>
    <t xml:space="preserve">收入吨公里收益 </t>
    <phoneticPr fontId="2" type="noConversion"/>
  </si>
  <si>
    <t>客运收入和货运收入之和与运输总周转量之比</t>
  </si>
  <si>
    <t xml:space="preserve">旅客周转量(RPK) </t>
    <phoneticPr fontId="2" type="noConversion"/>
  </si>
  <si>
    <t>每一航段旅客运输量(人)与该航段距离的乘积之和，反映旅客在空中实现位移的综合性生产指标，体现航空运输企业所完成的旅客运输工作量，基本单位为“人公里”</t>
    <phoneticPr fontId="2" type="noConversion"/>
  </si>
  <si>
    <t xml:space="preserve">可用座位公里(ASK) </t>
    <phoneticPr fontId="2" type="noConversion"/>
  </si>
  <si>
    <t>运输飞行所载运的旅客人数</t>
  </si>
  <si>
    <t>客运收入与旅客周转量之比</t>
  </si>
  <si>
    <t>客运收入与可用座位公里之比</t>
  </si>
  <si>
    <t xml:space="preserve">旅客运输量 </t>
    <phoneticPr fontId="2" type="noConversion"/>
  </si>
  <si>
    <t>每一航段货物、邮件的重量与该航段距离的乘积之和，反映航空 货物、邮件在空中实现位移的综合性生产指标，体现航空运输企 业所完成的货物、邮件运输工作量，基本单位为“吨公里”</t>
    <phoneticPr fontId="2" type="noConversion"/>
  </si>
  <si>
    <t>每一航段可 供货邮业载与该航段距离的乘积之和，反映运输飞 行的货邮运载能力，基本单位为“吨公里”</t>
    <phoneticPr fontId="2" type="noConversion"/>
  </si>
  <si>
    <t>运输飞行所载运的货邮重量</t>
    <phoneticPr fontId="2" type="noConversion"/>
  </si>
  <si>
    <t>实际完成的运输总周转量与可用吨公里数之比，反映飞机运载能 力的利用程度</t>
    <phoneticPr fontId="2" type="noConversion"/>
  </si>
  <si>
    <t>实际完成的旅客周转量与可用座位公里之比，反映运输飞行中的 座位利用程度</t>
    <phoneticPr fontId="2" type="noConversion"/>
  </si>
  <si>
    <t>实际完成的货邮周转量与可用货邮吨公里之比，反映运输飞行中 货邮运载能力的利用程度</t>
    <phoneticPr fontId="2" type="noConversion"/>
  </si>
  <si>
    <t>经济环境（GDP）</t>
    <rPh sb="0" eb="1">
      <t>jing ji</t>
    </rPh>
    <rPh sb="2" eb="3">
      <t>huan jing</t>
    </rPh>
    <phoneticPr fontId="2" type="noConversion"/>
  </si>
  <si>
    <t>国际原油价格</t>
    <rPh sb="0" eb="1">
      <t>guo ji yuan you jia ge</t>
    </rPh>
    <phoneticPr fontId="2" type="noConversion"/>
  </si>
  <si>
    <t>人民币汇率</t>
    <rPh sb="0" eb="1">
      <t>ren min bi</t>
    </rPh>
    <rPh sb="3" eb="4">
      <t>hui l</t>
    </rPh>
    <phoneticPr fontId="2" type="noConversion"/>
  </si>
  <si>
    <t>自然灾害</t>
    <rPh sb="0" eb="1">
      <t>zi ran zai hai</t>
    </rPh>
    <phoneticPr fontId="2" type="noConversion"/>
  </si>
  <si>
    <t xml:space="preserve">飞机及发动机租赁费 </t>
    <phoneticPr fontId="2" type="noConversion"/>
  </si>
  <si>
    <t>1、原油价格下降，成本下降，利润增加；2、原油价格上升，成本上升，利润减少；</t>
    <rPh sb="2" eb="3">
      <t>yuan you jia ge xia jiang</t>
    </rPh>
    <rPh sb="9" eb="10">
      <t>cheng ben</t>
    </rPh>
    <rPh sb="11" eb="12">
      <t>xia jiang</t>
    </rPh>
    <rPh sb="14" eb="15">
      <t>li run zeng jia</t>
    </rPh>
    <rPh sb="25" eb="26">
      <t>shang sheng</t>
    </rPh>
    <rPh sb="35" eb="36">
      <t>jian shao</t>
    </rPh>
    <phoneticPr fontId="2" type="noConversion"/>
  </si>
  <si>
    <t>1、人民币汇率上升，租赁费用下降，利润增加；2、人民币汇率下降，租赁费用上升，利润减少；</t>
    <rPh sb="2" eb="3">
      <t>ren min bi</t>
    </rPh>
    <rPh sb="5" eb="6">
      <t>hui l</t>
    </rPh>
    <rPh sb="7" eb="8">
      <t>shang s</t>
    </rPh>
    <rPh sb="10" eb="11">
      <t>zu lin</t>
    </rPh>
    <rPh sb="12" eb="13">
      <t>fei yong</t>
    </rPh>
    <rPh sb="14" eb="15">
      <t>xia jiang</t>
    </rPh>
    <rPh sb="17" eb="18">
      <t>li run zeng jia</t>
    </rPh>
    <rPh sb="29" eb="30">
      <t>xia jaing</t>
    </rPh>
    <rPh sb="36" eb="37">
      <t>shang s</t>
    </rPh>
    <rPh sb="41" eb="42">
      <t>jian shao</t>
    </rPh>
    <phoneticPr fontId="2" type="noConversion"/>
  </si>
  <si>
    <t>1、流行病疫情、地震、雪灾害、政治不稳定会降低出行，产能荒废，利润减少；</t>
    <rPh sb="2" eb="3">
      <t>liu xing bing</t>
    </rPh>
    <rPh sb="5" eb="6">
      <t>yi qing</t>
    </rPh>
    <rPh sb="8" eb="9">
      <t>di zhen</t>
    </rPh>
    <rPh sb="11" eb="12">
      <t>xue zai</t>
    </rPh>
    <rPh sb="12" eb="13">
      <t>zai hai</t>
    </rPh>
    <rPh sb="15" eb="16">
      <t>zheng zhi</t>
    </rPh>
    <rPh sb="17" eb="18">
      <t>bu wen ding</t>
    </rPh>
    <rPh sb="20" eb="21">
      <t>hui jiang di</t>
    </rPh>
    <rPh sb="23" eb="24">
      <t>chu xing</t>
    </rPh>
    <rPh sb="26" eb="27">
      <t>chan neng</t>
    </rPh>
    <rPh sb="28" eb="29">
      <t>huang fei</t>
    </rPh>
    <rPh sb="31" eb="32">
      <t>li run jian shao</t>
    </rPh>
    <phoneticPr fontId="2" type="noConversion"/>
  </si>
  <si>
    <t>1、经济向好，商务往来和外贸活动开始频繁，消费升级，利润增加；2、经济增速放缓，商务往来和外贸活动开始减少，个人减少开支，竞争加剧，利润减少；</t>
    <rPh sb="2" eb="3">
      <t>jing ji</t>
    </rPh>
    <rPh sb="4" eb="5">
      <t>xiang hao</t>
    </rPh>
    <rPh sb="7" eb="8">
      <t>shang wu wang lai</t>
    </rPh>
    <rPh sb="11" eb="12">
      <t>he</t>
    </rPh>
    <rPh sb="12" eb="13">
      <t>wai mao huo dong</t>
    </rPh>
    <rPh sb="16" eb="17">
      <t>kai shi pin fan</t>
    </rPh>
    <rPh sb="21" eb="22">
      <t>xiao fei sehng ji</t>
    </rPh>
    <rPh sb="26" eb="27">
      <t>li run</t>
    </rPh>
    <rPh sb="28" eb="29">
      <t>zeng jia</t>
    </rPh>
    <rPh sb="33" eb="34">
      <t>jing ji</t>
    </rPh>
    <rPh sb="35" eb="36">
      <t>zeng su fang huan</t>
    </rPh>
    <rPh sb="51" eb="52">
      <t>jian shao</t>
    </rPh>
    <rPh sb="54" eb="55">
      <t>ge ren</t>
    </rPh>
    <rPh sb="56" eb="57">
      <t>jian shao kai zhi</t>
    </rPh>
    <rPh sb="61" eb="62">
      <t>jing zheng jia ju</t>
    </rPh>
    <rPh sb="66" eb="67">
      <t>li run xia jaing</t>
    </rPh>
    <rPh sb="68" eb="69">
      <t>jian shao</t>
    </rPh>
    <phoneticPr fontId="2" type="noConversion"/>
  </si>
  <si>
    <t>每一航段可提供座位与该航段距离的乘积之和，反映运输飞行的旅客运载能力，基本单位为“人公里”</t>
    <rPh sb="5" eb="6">
      <t>ti</t>
    </rPh>
    <phoneticPr fontId="2" type="noConversion"/>
  </si>
  <si>
    <t>资产</t>
    <rPh sb="0" eb="1">
      <t>zi chan</t>
    </rPh>
    <phoneticPr fontId="2" type="noConversion"/>
  </si>
  <si>
    <t>飞机数量</t>
    <rPh sb="0" eb="1">
      <t>fei ji shu liang</t>
    </rPh>
    <phoneticPr fontId="2" type="noConversion"/>
  </si>
  <si>
    <t>单位客公里收益</t>
    <rPh sb="0" eb="1">
      <t>dan wei ke gong li</t>
    </rPh>
    <phoneticPr fontId="2" type="noConversion"/>
  </si>
  <si>
    <t>旅客周转量（万）</t>
    <rPh sb="0" eb="1">
      <t>lü ke zhou zhuan liang</t>
    </rPh>
    <rPh sb="6" eb="7">
      <t>wan</t>
    </rPh>
    <phoneticPr fontId="2" type="noConversion"/>
  </si>
  <si>
    <t>自购：43</t>
    <rPh sb="0" eb="1">
      <t>zi gou</t>
    </rPh>
    <phoneticPr fontId="2" type="noConversion"/>
  </si>
  <si>
    <t>租赁：50</t>
    <rPh sb="0" eb="1">
      <t>zu lin</t>
    </rPh>
    <phoneticPr fontId="2" type="noConversion"/>
  </si>
  <si>
    <t>美元：12.9</t>
    <rPh sb="0" eb="1">
      <t>mei yuan</t>
    </rPh>
    <phoneticPr fontId="2" type="noConversion"/>
  </si>
  <si>
    <t>日元：2</t>
    <rPh sb="0" eb="1">
      <t>ri yuan</t>
    </rPh>
    <phoneticPr fontId="2" type="noConversion"/>
  </si>
  <si>
    <t>外汇负债（亿）</t>
    <rPh sb="0" eb="1">
      <t>wai hui fu zhai</t>
    </rPh>
    <rPh sb="5" eb="6">
      <t>yi</t>
    </rPh>
    <phoneticPr fontId="2" type="noConversion"/>
  </si>
  <si>
    <t>单位成本（元）</t>
    <rPh sb="0" eb="1">
      <t>dan wei cheng ben</t>
    </rPh>
    <rPh sb="5" eb="6">
      <t>yuan</t>
    </rPh>
    <phoneticPr fontId="2" type="noConversion"/>
  </si>
  <si>
    <t>运力（百万）</t>
    <rPh sb="0" eb="1">
      <t>yun li</t>
    </rPh>
    <rPh sb="3" eb="4">
      <t>bai wan</t>
    </rPh>
    <phoneticPr fontId="2" type="noConversion"/>
  </si>
  <si>
    <t>2020年Q1成本（预测）</t>
    <rPh sb="7" eb="8">
      <t>cheng ben</t>
    </rPh>
    <rPh sb="10" eb="11">
      <t>yu ce</t>
    </rPh>
    <phoneticPr fontId="2" type="noConversion"/>
  </si>
  <si>
    <t>2020年Q1成本（实际）</t>
    <rPh sb="7" eb="8">
      <t>cheng ben</t>
    </rPh>
    <rPh sb="10" eb="11">
      <t>shi ji</t>
    </rPh>
    <phoneticPr fontId="2" type="noConversion"/>
  </si>
  <si>
    <t>2020年Q1收入（实际）</t>
    <rPh sb="7" eb="8">
      <t>shou ru</t>
    </rPh>
    <rPh sb="10" eb="11">
      <t>shi ji</t>
    </rPh>
    <phoneticPr fontId="2" type="noConversion"/>
  </si>
  <si>
    <t>2020年Q1利润（实际）</t>
    <rPh sb="7" eb="8">
      <t>li run</t>
    </rPh>
    <rPh sb="10" eb="11">
      <t>shi ji</t>
    </rPh>
    <phoneticPr fontId="2" type="noConversion"/>
  </si>
  <si>
    <t xml:space="preserve">PCB </t>
    <phoneticPr fontId="2" type="noConversion"/>
  </si>
  <si>
    <t>印刷电路板，重要的电子部件之一，是电子元器件的支撑体，是电子元器件电气连接的载体</t>
    <phoneticPr fontId="2" type="noConversion"/>
  </si>
  <si>
    <r>
      <t xml:space="preserve">PCB </t>
    </r>
    <r>
      <rPr>
        <sz val="9"/>
        <color theme="1"/>
        <rFont val="宋体"/>
        <family val="3"/>
        <charset val="134"/>
        <scheme val="minor"/>
      </rPr>
      <t xml:space="preserve">感光阻焊油墨 </t>
    </r>
    <phoneticPr fontId="2" type="noConversion"/>
  </si>
  <si>
    <t xml:space="preserve">用于涂覆在印制电路板表面形成有选择性的、永久性的聚合物保护层的油墨 </t>
    <phoneticPr fontId="2" type="noConversion"/>
  </si>
  <si>
    <r>
      <t xml:space="preserve">PCB </t>
    </r>
    <r>
      <rPr>
        <sz val="9"/>
        <color theme="1"/>
        <rFont val="宋体"/>
        <family val="3"/>
        <charset val="134"/>
        <scheme val="minor"/>
      </rPr>
      <t xml:space="preserve">感光线路油墨 </t>
    </r>
    <phoneticPr fontId="2" type="noConversion"/>
  </si>
  <si>
    <t xml:space="preserve">以光成像原理将电子线路图形转移至 PCB 板上的制作 PCB 电路图形 的油墨 </t>
    <phoneticPr fontId="2" type="noConversion"/>
  </si>
  <si>
    <t>集成电路</t>
    <phoneticPr fontId="2" type="noConversion"/>
  </si>
  <si>
    <t>电子工业使用的专用化工材料，即电子元器件、印制线路板、工业及 消费类整机生产用的各种化学品及材料，又称电子化工材料</t>
    <phoneticPr fontId="2" type="noConversion"/>
  </si>
  <si>
    <t>又称光刻材料，由树脂、感光剂和溶剂三种主要成份组成的对光敏感 的混合液体</t>
    <phoneticPr fontId="2" type="noConversion"/>
  </si>
  <si>
    <t>发光二极管</t>
    <phoneticPr fontId="2" type="noConversion"/>
  </si>
  <si>
    <t>能参与聚合反应形成高分子树脂的低分子化合物</t>
    <phoneticPr fontId="2" type="noConversion"/>
  </si>
  <si>
    <t>高分子化合物，是由低分子原料通过化学反应形成的大分子的产物</t>
    <phoneticPr fontId="2" type="noConversion"/>
  </si>
  <si>
    <t>又叫光引发剂，是一类吸收一定波长的紫外光或可见光能量后，可分 解为自由基或阳离子并可引发单体发生化学交联反应的化合物</t>
    <phoneticPr fontId="2" type="noConversion"/>
  </si>
  <si>
    <t>配制油墨的辅助材料，能改善油墨性能</t>
    <phoneticPr fontId="2" type="noConversion"/>
  </si>
  <si>
    <t>用来着色的粉末状物质，在水、油脂、树脂、有机溶剂等介质中不溶 解，但能均匀地在这些介质中分散并能使介质着色，同时具有一定的遮盖力</t>
    <phoneticPr fontId="2" type="noConversion"/>
  </si>
  <si>
    <t>激光直接成像技术</t>
    <phoneticPr fontId="2" type="noConversion"/>
  </si>
  <si>
    <t xml:space="preserve">IC </t>
    <phoneticPr fontId="2" type="noConversion"/>
  </si>
  <si>
    <t xml:space="preserve">电子化学品 </t>
    <phoneticPr fontId="2" type="noConversion"/>
  </si>
  <si>
    <t xml:space="preserve">光刻胶 </t>
    <phoneticPr fontId="2" type="noConversion"/>
  </si>
  <si>
    <t xml:space="preserve">LED </t>
    <phoneticPr fontId="2" type="noConversion"/>
  </si>
  <si>
    <t xml:space="preserve">单体 </t>
    <phoneticPr fontId="2" type="noConversion"/>
  </si>
  <si>
    <t xml:space="preserve">树脂 </t>
    <phoneticPr fontId="2" type="noConversion"/>
  </si>
  <si>
    <t xml:space="preserve">光敏剂 </t>
    <phoneticPr fontId="2" type="noConversion"/>
  </si>
  <si>
    <t>助剂</t>
    <phoneticPr fontId="2" type="noConversion"/>
  </si>
  <si>
    <t xml:space="preserve">颜填料 </t>
    <phoneticPr fontId="2" type="noConversion"/>
  </si>
  <si>
    <t xml:space="preserve">LDI </t>
    <phoneticPr fontId="2" type="noConversion"/>
  </si>
  <si>
    <t>PCB油墨-容大感光</t>
    <rPh sb="3" eb="4">
      <t>you mo</t>
    </rPh>
    <rPh sb="6" eb="7">
      <t>rong da gan guang</t>
    </rPh>
    <phoneticPr fontId="2" type="noConversion"/>
  </si>
  <si>
    <t>一季度数据</t>
    <rPh sb="0" eb="1">
      <t>yi ji du shu ju</t>
    </rPh>
    <phoneticPr fontId="2" type="noConversion"/>
  </si>
  <si>
    <t>ASK</t>
    <phoneticPr fontId="2" type="noConversion"/>
  </si>
  <si>
    <t>RPK</t>
    <phoneticPr fontId="2" type="noConversion"/>
  </si>
  <si>
    <t>营业收入（百万）</t>
    <rPh sb="0" eb="1">
      <t>ying ye shou ru</t>
    </rPh>
    <rPh sb="5" eb="6">
      <t>bai wan</t>
    </rPh>
    <phoneticPr fontId="2" type="noConversion"/>
  </si>
  <si>
    <t>同比(%)</t>
    <rPh sb="0" eb="1">
      <t>tong bi</t>
    </rPh>
    <phoneticPr fontId="2" type="noConversion"/>
  </si>
  <si>
    <t>营业成本（百万）</t>
    <rPh sb="0" eb="1">
      <t>ying ye cheng ben</t>
    </rPh>
    <rPh sb="5" eb="6">
      <t>bai wan</t>
    </rPh>
    <phoneticPr fontId="2" type="noConversion"/>
  </si>
  <si>
    <t>同比（%）</t>
    <rPh sb="0" eb="1">
      <t>tong bi</t>
    </rPh>
    <phoneticPr fontId="2" type="noConversion"/>
  </si>
  <si>
    <t>其他收益（百万）</t>
    <rPh sb="0" eb="1">
      <t>qi ta shou yi</t>
    </rPh>
    <rPh sb="5" eb="6">
      <t>bai wan</t>
    </rPh>
    <phoneticPr fontId="2" type="noConversion"/>
  </si>
  <si>
    <t>单客公里收入</t>
    <phoneticPr fontId="2" type="noConversion"/>
  </si>
  <si>
    <t>单客公里收入（含补贴）</t>
    <phoneticPr fontId="2" type="noConversion"/>
  </si>
  <si>
    <t>单客公里成本（含补贴）</t>
    <rPh sb="4" eb="5">
      <t>cheng ben</t>
    </rPh>
    <phoneticPr fontId="2" type="noConversion"/>
  </si>
  <si>
    <t>单座公里收入</t>
    <rPh sb="1" eb="2">
      <t>zuo</t>
    </rPh>
    <phoneticPr fontId="2" type="noConversion"/>
  </si>
  <si>
    <t>单座公里成本</t>
    <rPh sb="1" eb="2">
      <t>zuo</t>
    </rPh>
    <rPh sb="4" eb="5">
      <t>cheng ben</t>
    </rPh>
    <phoneticPr fontId="2" type="noConversion"/>
  </si>
  <si>
    <t>销售费用（百万）</t>
    <rPh sb="0" eb="1">
      <t>xiao shou fei yong</t>
    </rPh>
    <rPh sb="5" eb="6">
      <t>bai wan</t>
    </rPh>
    <phoneticPr fontId="2" type="noConversion"/>
  </si>
  <si>
    <t>管理费用（百万）</t>
    <rPh sb="0" eb="1">
      <t>guan li</t>
    </rPh>
    <rPh sb="5" eb="6">
      <t>bai wan</t>
    </rPh>
    <phoneticPr fontId="2" type="noConversion"/>
  </si>
  <si>
    <t>研发费用（百万）</t>
    <rPh sb="0" eb="1">
      <t>yan fa</t>
    </rPh>
    <rPh sb="5" eb="6">
      <t>bai wan</t>
    </rPh>
    <phoneticPr fontId="2" type="noConversion"/>
  </si>
  <si>
    <t>财务费用（百万）</t>
    <rPh sb="0" eb="1">
      <t>cai wu</t>
    </rPh>
    <rPh sb="5" eb="6">
      <t>bai wan</t>
    </rPh>
    <phoneticPr fontId="2" type="noConversion"/>
  </si>
  <si>
    <t>利润总额（百万）</t>
    <rPh sb="0" eb="1">
      <t>li run zong e</t>
    </rPh>
    <rPh sb="5" eb="6">
      <t>bai wan</t>
    </rPh>
    <phoneticPr fontId="2" type="noConversion"/>
  </si>
  <si>
    <t>净利润（百万）</t>
    <rPh sb="0" eb="1">
      <t>jing li run</t>
    </rPh>
    <rPh sb="4" eb="5">
      <t>bai wan</t>
    </rPh>
    <phoneticPr fontId="2" type="noConversion"/>
  </si>
  <si>
    <t>流动比率</t>
    <rPh sb="0" eb="1">
      <t>liu dong bi l</t>
    </rPh>
    <phoneticPr fontId="2" type="noConversion"/>
  </si>
  <si>
    <t>速动比率=（流动资产-存货-预付款）／流动负债</t>
    <rPh sb="0" eb="1">
      <t>su dong bi l</t>
    </rPh>
    <rPh sb="6" eb="7">
      <t>liu dong zi chan</t>
    </rPh>
    <rPh sb="11" eb="12">
      <t>cun huo</t>
    </rPh>
    <rPh sb="14" eb="15">
      <t>yu fy</t>
    </rPh>
    <rPh sb="16" eb="17">
      <t>kuan</t>
    </rPh>
    <rPh sb="19" eb="20">
      <t>liu dong fu zhai</t>
    </rPh>
    <phoneticPr fontId="2" type="noConversion"/>
  </si>
  <si>
    <t>流动资产合计</t>
    <rPh sb="0" eb="1">
      <t>liu dong zi chan he jin</t>
    </rPh>
    <rPh sb="4" eb="5">
      <t>he ji</t>
    </rPh>
    <phoneticPr fontId="2" type="noConversion"/>
  </si>
  <si>
    <t>固定资产</t>
    <rPh sb="0" eb="1">
      <t>gu ding zi chan</t>
    </rPh>
    <phoneticPr fontId="2" type="noConversion"/>
  </si>
  <si>
    <t>在建工程</t>
    <rPh sb="0" eb="1">
      <t>zai jian gong cheng</t>
    </rPh>
    <phoneticPr fontId="2" type="noConversion"/>
  </si>
  <si>
    <t>使用权资产</t>
    <rPh sb="0" eb="1">
      <t>shi yong quan</t>
    </rPh>
    <rPh sb="3" eb="4">
      <t>zi chan</t>
    </rPh>
    <phoneticPr fontId="2" type="noConversion"/>
  </si>
  <si>
    <t>非流动资产合计</t>
    <rPh sb="0" eb="1">
      <t>fei liu dong zi chan</t>
    </rPh>
    <rPh sb="5" eb="6">
      <t>he ji</t>
    </rPh>
    <phoneticPr fontId="2" type="noConversion"/>
  </si>
  <si>
    <t>资产合计</t>
    <rPh sb="0" eb="1">
      <t>zi chan he ji</t>
    </rPh>
    <phoneticPr fontId="2" type="noConversion"/>
  </si>
  <si>
    <t>短期借款</t>
    <rPh sb="0" eb="1">
      <t>duan qi jie kuan</t>
    </rPh>
    <phoneticPr fontId="2" type="noConversion"/>
  </si>
  <si>
    <t>一年内到期的非流动负债</t>
    <rPh sb="0" eb="1">
      <t>yi nian nei dao qi de</t>
    </rPh>
    <rPh sb="6" eb="7">
      <t>fei liu dong fu zhai</t>
    </rPh>
    <phoneticPr fontId="2" type="noConversion"/>
  </si>
  <si>
    <t>其他流动负债</t>
    <rPh sb="0" eb="1">
      <t>qi ta liu dong fu zhai</t>
    </rPh>
    <phoneticPr fontId="2" type="noConversion"/>
  </si>
  <si>
    <t>流动负债合计</t>
    <rPh sb="0" eb="1">
      <t>liu dong fu zhai he ji</t>
    </rPh>
    <phoneticPr fontId="2" type="noConversion"/>
  </si>
  <si>
    <t>长期借款</t>
    <rPh sb="0" eb="1">
      <t>chang qi jie kuan</t>
    </rPh>
    <phoneticPr fontId="2" type="noConversion"/>
  </si>
  <si>
    <t>应付债券</t>
    <rPh sb="0" eb="1">
      <t>ying fu zhai quan</t>
    </rPh>
    <phoneticPr fontId="2" type="noConversion"/>
  </si>
  <si>
    <t>租赁负债</t>
    <rPh sb="0" eb="1">
      <t>zu lin fu zhai</t>
    </rPh>
    <phoneticPr fontId="2" type="noConversion"/>
  </si>
  <si>
    <t>非流动负债合计</t>
    <rPh sb="0" eb="1">
      <t>fei liu dong fu zhai he ji</t>
    </rPh>
    <phoneticPr fontId="2" type="noConversion"/>
  </si>
  <si>
    <t>负债合计</t>
    <rPh sb="0" eb="1">
      <t>fu zhai he ji</t>
    </rPh>
    <phoneticPr fontId="2" type="noConversion"/>
  </si>
  <si>
    <t>货币资金（百万）</t>
    <rPh sb="0" eb="1">
      <t>huo bi zi jin</t>
    </rPh>
    <phoneticPr fontId="2" type="noConversion"/>
  </si>
  <si>
    <t>资产负债率（%）</t>
    <rPh sb="0" eb="1">
      <t>zi chan fu zhai l</t>
    </rPh>
    <phoneticPr fontId="2" type="noConversion"/>
  </si>
  <si>
    <t>存货（百万）</t>
    <rPh sb="0" eb="1">
      <t>cun huo</t>
    </rPh>
    <rPh sb="3" eb="4">
      <t>bai wan</t>
    </rPh>
    <phoneticPr fontId="2" type="noConversion"/>
  </si>
  <si>
    <t>预付款（百万）</t>
    <rPh sb="0" eb="1">
      <t>yu fu kuan</t>
    </rPh>
    <rPh sb="4" eb="5">
      <t>bai wan</t>
    </rPh>
    <phoneticPr fontId="2" type="noConversion"/>
  </si>
  <si>
    <t>春秋在飞航班</t>
    <rPh sb="0" eb="1">
      <t>chun qiu</t>
    </rPh>
    <rPh sb="2" eb="3">
      <t>zai fei</t>
    </rPh>
    <rPh sb="4" eb="5">
      <t>hang ban</t>
    </rPh>
    <phoneticPr fontId="2" type="noConversion"/>
  </si>
  <si>
    <t xml:space="preserve">座公里收益 </t>
    <phoneticPr fontId="2" type="noConversion"/>
  </si>
  <si>
    <t xml:space="preserve">客公里收益 </t>
    <phoneticPr fontId="2" type="noConversion"/>
  </si>
  <si>
    <t xml:space="preserve">货邮周转量(RFTK) </t>
    <phoneticPr fontId="2" type="noConversion"/>
  </si>
  <si>
    <t xml:space="preserve">可用货邮吨公里 (AFTK) </t>
    <phoneticPr fontId="2" type="noConversion"/>
  </si>
  <si>
    <t xml:space="preserve">货邮运输载运量 </t>
    <phoneticPr fontId="2" type="noConversion"/>
  </si>
  <si>
    <t xml:space="preserve">综合载运率 </t>
    <phoneticPr fontId="2" type="noConversion"/>
  </si>
  <si>
    <t xml:space="preserve">客座率 </t>
    <phoneticPr fontId="2" type="noConversion"/>
  </si>
  <si>
    <t xml:space="preserve">货邮载运率 </t>
    <phoneticPr fontId="2" type="noConversion"/>
  </si>
  <si>
    <t>封测</t>
    <rPh sb="0" eb="1">
      <t>fegn ce</t>
    </rPh>
    <phoneticPr fontId="2" type="noConversion"/>
  </si>
  <si>
    <t>将集成电路或分立器件芯片装入特制的管壳或用特等材料将其包容起来，保护芯片免受外界影响而能稳定可靠地工作;同时通过封装的不同形式，可以方便地装配(焊接)于各类整机</t>
    <phoneticPr fontId="2" type="noConversion"/>
  </si>
  <si>
    <t xml:space="preserve">IC、集成电路、芯片 </t>
    <phoneticPr fontId="2" type="noConversion"/>
  </si>
  <si>
    <t>集成电路(Integrated Circuit,简称 IC，俗称芯片) 是一种微型电子器件或部件。采用一定的工艺，把一个电路中所需的晶体管、二极管、电阻、电容和电感等元件及布线互连 一起，制作在一小块或几小块半导体晶片或介质基片上，然后封装在一个管壳内，成为具有所需电路功能的微型结构</t>
    <phoneticPr fontId="2" type="noConversion"/>
  </si>
  <si>
    <t>分立器件、TR</t>
    <phoneticPr fontId="2" type="noConversion"/>
  </si>
  <si>
    <t>只具备单一功能的电路，包括电容、电阻、晶体管和熔断丝等</t>
    <phoneticPr fontId="2" type="noConversion"/>
  </si>
  <si>
    <t xml:space="preserve">IDM </t>
    <phoneticPr fontId="2" type="noConversion"/>
  </si>
  <si>
    <t>从事集成电路设计、芯片制造、封装测试及产品销售的垂直整合型公司</t>
    <phoneticPr fontId="2" type="noConversion"/>
  </si>
  <si>
    <t>系统级封装</t>
    <phoneticPr fontId="2" type="noConversion"/>
  </si>
  <si>
    <t>SiP</t>
    <phoneticPr fontId="2" type="noConversion"/>
  </si>
  <si>
    <t>半导体封装-长电科技</t>
    <rPh sb="0" eb="1">
      <t>ban dao ti feng zhuang</t>
    </rPh>
    <rPh sb="6" eb="7">
      <t>chang dian ke ji</t>
    </rPh>
    <phoneticPr fontId="2" type="noConversion"/>
  </si>
  <si>
    <t>项目</t>
    <rPh sb="0" eb="1">
      <t>xiang mu</t>
    </rPh>
    <phoneticPr fontId="2" type="noConversion"/>
  </si>
  <si>
    <t>全球半导体营收（亿元）</t>
    <rPh sb="0" eb="1">
      <t>quan qiu ji cheng dian lu</t>
    </rPh>
    <rPh sb="2" eb="3">
      <t>ban dao ti</t>
    </rPh>
    <rPh sb="5" eb="6">
      <t>ying shou</t>
    </rPh>
    <rPh sb="8" eb="9">
      <t>yi yuan</t>
    </rPh>
    <phoneticPr fontId="2" type="noConversion"/>
  </si>
  <si>
    <t>2020年预测</t>
    <rPh sb="4" eb="5">
      <t>nian</t>
    </rPh>
    <rPh sb="5" eb="6">
      <t>yu ce</t>
    </rPh>
    <phoneticPr fontId="2" type="noConversion"/>
  </si>
  <si>
    <t>中国半导体营收（亿元）</t>
    <rPh sb="0" eb="1">
      <t>zhong guo</t>
    </rPh>
    <rPh sb="2" eb="3">
      <t>ban dao ti</t>
    </rPh>
    <rPh sb="5" eb="6">
      <t>ying shou</t>
    </rPh>
    <rPh sb="8" eb="9">
      <t>yi yuan</t>
    </rPh>
    <phoneticPr fontId="2" type="noConversion"/>
  </si>
  <si>
    <t>中国半导体封测营收（亿元）</t>
    <rPh sb="0" eb="1">
      <t>zhong guo</t>
    </rPh>
    <rPh sb="2" eb="3">
      <t>ban dao ti</t>
    </rPh>
    <rPh sb="5" eb="6">
      <t>feng ce</t>
    </rPh>
    <rPh sb="7" eb="8">
      <t>ying shou</t>
    </rPh>
    <rPh sb="10" eb="11">
      <t>yi yuan</t>
    </rPh>
    <phoneticPr fontId="2" type="noConversion"/>
  </si>
  <si>
    <t>中药-片仔癀</t>
    <rPh sb="0" eb="1">
      <t>zhong yao</t>
    </rPh>
    <rPh sb="3" eb="4">
      <t>pian zai huang</t>
    </rPh>
    <phoneticPr fontId="2" type="noConversion"/>
  </si>
  <si>
    <t>经营活动产生的现金流量净额</t>
    <phoneticPr fontId="2" type="noConversion"/>
  </si>
  <si>
    <t xml:space="preserve">归属于上市公司股东的扣除非经常性损益的净利润 </t>
    <phoneticPr fontId="2" type="noConversion"/>
  </si>
  <si>
    <t>2018年</t>
    <rPh sb="4" eb="5">
      <t>nian</t>
    </rPh>
    <phoneticPr fontId="2" type="noConversion"/>
  </si>
  <si>
    <t>2017年</t>
    <rPh sb="4" eb="5">
      <t>nian</t>
    </rPh>
    <phoneticPr fontId="2" type="noConversion"/>
  </si>
  <si>
    <t>-</t>
    <phoneticPr fontId="2" type="noConversion"/>
  </si>
  <si>
    <t>备注</t>
    <rPh sb="0" eb="1">
      <t>bei zhu</t>
    </rPh>
    <phoneticPr fontId="2" type="noConversion"/>
  </si>
  <si>
    <t xml:space="preserve">1、2019年，公司经营活动产生的现金流量净额为-87,937.22 万元，较上年同期降低 243.62%， 主要原因系报告期末公司定期存款增加，不作为现金及现金等价物列示所致。 </t>
    <rPh sb="6" eb="7">
      <t>nian</t>
    </rPh>
    <phoneticPr fontId="2" type="noConversion"/>
  </si>
  <si>
    <t>中药材（原材料）-&gt;前处理车间-&gt;净药材-&gt;提取车间-&gt;中间品-&gt;制剂车间-&gt;各成品</t>
    <rPh sb="0" eb="1">
      <t>zhong yao cai</t>
    </rPh>
    <rPh sb="4" eb="5">
      <t>yuan cai liao</t>
    </rPh>
    <rPh sb="10" eb="11">
      <t>qian chu li che jian</t>
    </rPh>
    <rPh sb="22" eb="23">
      <t>ti qu che jian</t>
    </rPh>
    <rPh sb="28" eb="29">
      <t>zhong jian pin</t>
    </rPh>
    <rPh sb="33" eb="34">
      <t>zhi ji che jian</t>
    </rPh>
    <phoneticPr fontId="2" type="noConversion"/>
  </si>
  <si>
    <t>商品生产模式</t>
    <rPh sb="0" eb="1">
      <t>shang pin</t>
    </rPh>
    <rPh sb="2" eb="3">
      <t>sheng chan liu cheng</t>
    </rPh>
    <rPh sb="4" eb="5">
      <t>mo shi</t>
    </rPh>
    <phoneticPr fontId="2" type="noConversion"/>
  </si>
  <si>
    <t>原材料采购模式</t>
    <rPh sb="0" eb="1">
      <t>yuan cai liao</t>
    </rPh>
    <rPh sb="3" eb="4">
      <t>cai gou</t>
    </rPh>
    <rPh sb="5" eb="6">
      <t>mo shi</t>
    </rPh>
    <phoneticPr fontId="2" type="noConversion"/>
  </si>
  <si>
    <t xml:space="preserve">邀请比选、询价比价、定点采购和零星采购四种形式 </t>
    <phoneticPr fontId="2" type="noConversion"/>
  </si>
  <si>
    <t>主要原材料采</t>
    <rPh sb="0" eb="1">
      <t>zhu yao</t>
    </rPh>
    <rPh sb="2" eb="3">
      <t>yuan cai liao</t>
    </rPh>
    <rPh sb="5" eb="6">
      <t>cai gou</t>
    </rPh>
    <phoneticPr fontId="2" type="noConversion"/>
  </si>
  <si>
    <t>蛇胆、麝香（国家林业主管部门行政许可）、牛黄、三七、川贝（原产地、公开招标）</t>
    <rPh sb="29" eb="30">
      <t>yuan chan di</t>
    </rPh>
    <rPh sb="33" eb="34">
      <t>gong kai zhao biao</t>
    </rPh>
    <phoneticPr fontId="2" type="noConversion"/>
  </si>
  <si>
    <t>销售模式</t>
    <rPh sb="0" eb="1">
      <t>xiao shou mo shi</t>
    </rPh>
    <phoneticPr fontId="2" type="noConversion"/>
  </si>
  <si>
    <t>区域经销、体验馆</t>
    <rPh sb="0" eb="1">
      <t>qu yu jing xiao</t>
    </rPh>
    <rPh sb="5" eb="6">
      <t>ti yan guan</t>
    </rPh>
    <phoneticPr fontId="2" type="noConversion"/>
  </si>
  <si>
    <t xml:space="preserve">营业收入 </t>
    <phoneticPr fontId="2" type="noConversion"/>
  </si>
  <si>
    <t>归属于上市公司股东的净利润</t>
    <phoneticPr fontId="2" type="noConversion"/>
  </si>
  <si>
    <t>归属于上市公司股东的净资产</t>
    <phoneticPr fontId="2" type="noConversion"/>
  </si>
  <si>
    <t xml:space="preserve">总资产 </t>
    <phoneticPr fontId="2" type="noConversion"/>
  </si>
  <si>
    <t>营业成本</t>
    <rPh sb="0" eb="1">
      <t>ying ye cheng ben</t>
    </rPh>
    <phoneticPr fontId="2" type="noConversion"/>
  </si>
  <si>
    <t xml:space="preserve">销售费用 </t>
    <phoneticPr fontId="2" type="noConversion"/>
  </si>
  <si>
    <t xml:space="preserve">管理费用 </t>
    <phoneticPr fontId="2" type="noConversion"/>
  </si>
  <si>
    <t xml:space="preserve">研发费用 </t>
    <phoneticPr fontId="2" type="noConversion"/>
  </si>
  <si>
    <t xml:space="preserve">财务费用 </t>
    <phoneticPr fontId="2" type="noConversion"/>
  </si>
  <si>
    <t>投资活动产生的现金流量净额</t>
    <phoneticPr fontId="2" type="noConversion"/>
  </si>
  <si>
    <t>筹资活动产生的现金流量净额</t>
    <phoneticPr fontId="2" type="noConversion"/>
  </si>
  <si>
    <t>毛利率</t>
  </si>
  <si>
    <t>毛利率</t>
    <rPh sb="0" eb="1">
      <t>mao li l</t>
    </rPh>
    <phoneticPr fontId="2" type="noConversion"/>
  </si>
  <si>
    <t xml:space="preserve">医药工业 </t>
    <phoneticPr fontId="2" type="noConversion"/>
  </si>
  <si>
    <t xml:space="preserve">医药商业 </t>
    <phoneticPr fontId="2" type="noConversion"/>
  </si>
  <si>
    <t xml:space="preserve">日用品、 化妆品 </t>
    <phoneticPr fontId="2" type="noConversion"/>
  </si>
  <si>
    <t xml:space="preserve">食品 </t>
    <phoneticPr fontId="2" type="noConversion"/>
  </si>
  <si>
    <t xml:space="preserve">营业收入 </t>
    <phoneticPr fontId="2" type="noConversion"/>
  </si>
  <si>
    <t xml:space="preserve">营业成本 </t>
    <phoneticPr fontId="2" type="noConversion"/>
  </si>
  <si>
    <t>销售商品、提供劳务收到的现金</t>
    <phoneticPr fontId="2" type="noConversion"/>
  </si>
  <si>
    <t>EPS</t>
    <phoneticPr fontId="2" type="noConversion"/>
  </si>
  <si>
    <t>盈利能力</t>
    <rPh sb="0" eb="1">
      <t>ying li neng li</t>
    </rPh>
    <phoneticPr fontId="2" type="noConversion"/>
  </si>
  <si>
    <t>运营能力</t>
    <rPh sb="0" eb="1">
      <t>yun ying</t>
    </rPh>
    <phoneticPr fontId="2" type="noConversion"/>
  </si>
  <si>
    <t>应收帐款天数</t>
    <phoneticPr fontId="2" type="noConversion"/>
  </si>
  <si>
    <t>存货周转天数</t>
    <phoneticPr fontId="2" type="noConversion"/>
  </si>
  <si>
    <t>货币资金、短期借款、理财产品和股票质押</t>
    <phoneticPr fontId="2" type="noConversion"/>
  </si>
  <si>
    <t>存货数量</t>
    <phoneticPr fontId="2" type="noConversion"/>
  </si>
  <si>
    <t>销售商品提供劳务收到的现金／营业收入</t>
    <phoneticPr fontId="2" type="noConversion"/>
  </si>
  <si>
    <t>经营活动产生的现金／净利润</t>
    <phoneticPr fontId="2" type="noConversion"/>
  </si>
  <si>
    <t>净利润／资本支出</t>
    <phoneticPr fontId="2" type="noConversion"/>
  </si>
  <si>
    <t>资本支出</t>
    <rPh sb="0" eb="1">
      <t>zi ben zhi chu</t>
    </rPh>
    <phoneticPr fontId="2" type="noConversion"/>
  </si>
  <si>
    <t>ROE</t>
    <phoneticPr fontId="2" type="noConversion"/>
  </si>
  <si>
    <t>净利率</t>
  </si>
  <si>
    <t>总资产周转率</t>
  </si>
  <si>
    <t>杠杆率</t>
  </si>
  <si>
    <t>出口</t>
    <phoneticPr fontId="2" type="noConversion"/>
  </si>
  <si>
    <t>MLCC-风华高科</t>
    <rPh sb="5" eb="6">
      <t>feng hua gao k</t>
    </rPh>
    <phoneticPr fontId="2" type="noConversion"/>
  </si>
  <si>
    <t>MLCC原材料-国瓷材料</t>
    <rPh sb="4" eb="5">
      <t>yuan cai liao</t>
    </rPh>
    <rPh sb="8" eb="9">
      <t>guo ci</t>
    </rPh>
    <phoneticPr fontId="2" type="noConversion"/>
  </si>
  <si>
    <t>电子材料——压舱石，催化剂、5G材料——双引擎，生物医疗材料、精密陶瓷结构件——重点发展</t>
    <rPh sb="0" eb="1">
      <t>dian zi cai liao</t>
    </rPh>
    <rPh sb="6" eb="7">
      <t>ya cang shi</t>
    </rPh>
    <rPh sb="10" eb="11">
      <t>cui hua ji</t>
    </rPh>
    <rPh sb="16" eb="17">
      <t>cai liao</t>
    </rPh>
    <rPh sb="20" eb="21">
      <t>shuang yin qing</t>
    </rPh>
    <rPh sb="24" eb="25">
      <t>sheng wu yi liao</t>
    </rPh>
    <rPh sb="28" eb="29">
      <t>cai liao</t>
    </rPh>
    <rPh sb="31" eb="32">
      <t>jing mi tao ci</t>
    </rPh>
    <rPh sb="35" eb="36">
      <t>jie gou jian</t>
    </rPh>
    <rPh sb="40" eb="41">
      <t>zhogn dian fa zhan</t>
    </rPh>
    <phoneticPr fontId="2" type="noConversion"/>
  </si>
  <si>
    <t>风险</t>
    <rPh sb="0" eb="1">
      <t>feng xian</t>
    </rPh>
    <phoneticPr fontId="2" type="noConversion"/>
  </si>
  <si>
    <t>商誉过高</t>
    <rPh sb="0" eb="1">
      <t>sahng yu</t>
    </rPh>
    <rPh sb="2" eb="3">
      <t>guo gao</t>
    </rPh>
    <phoneticPr fontId="2" type="noConversion"/>
  </si>
  <si>
    <t xml:space="preserve">电子材料板块 </t>
    <phoneticPr fontId="2" type="noConversion"/>
  </si>
  <si>
    <t xml:space="preserve">催化材料板块 </t>
    <phoneticPr fontId="2" type="noConversion"/>
  </si>
  <si>
    <t xml:space="preserve">生物医疗材料板块 </t>
    <phoneticPr fontId="2" type="noConversion"/>
  </si>
  <si>
    <t xml:space="preserve">其他材料 </t>
    <phoneticPr fontId="2" type="noConversion"/>
  </si>
  <si>
    <t>总体快递数据</t>
    <rPh sb="0" eb="1">
      <t>zong ti</t>
    </rPh>
    <rPh sb="2" eb="3">
      <t>kuai di</t>
    </rPh>
    <rPh sb="4" eb="5">
      <t>shu ju</t>
    </rPh>
    <phoneticPr fontId="2" type="noConversion"/>
  </si>
  <si>
    <t>预期（亿件）</t>
    <rPh sb="0" eb="1">
      <t>yu qi</t>
    </rPh>
    <rPh sb="3" eb="4">
      <t>yi</t>
    </rPh>
    <rPh sb="4" eb="5">
      <t>jian</t>
    </rPh>
    <phoneticPr fontId="2" type="noConversion"/>
  </si>
  <si>
    <t>同比</t>
    <rPh sb="0" eb="1">
      <t>tong bi</t>
    </rPh>
    <phoneticPr fontId="2" type="noConversion"/>
  </si>
  <si>
    <t>业务量（亿件）</t>
    <rPh sb="0" eb="1">
      <t>ye wu liang</t>
    </rPh>
    <phoneticPr fontId="2" type="noConversion"/>
  </si>
  <si>
    <t>收入（亿元）</t>
    <rPh sb="0" eb="1">
      <t>shou ru</t>
    </rPh>
    <rPh sb="4" eb="5">
      <t>yuan</t>
    </rPh>
    <phoneticPr fontId="2" type="noConversion"/>
  </si>
  <si>
    <t>平均单价（元）</t>
    <rPh sb="0" eb="1">
      <t>ping jun dan jia</t>
    </rPh>
    <rPh sb="5" eb="6">
      <t>yuan</t>
    </rPh>
    <phoneticPr fontId="2" type="noConversion"/>
  </si>
  <si>
    <t>12.27% </t>
  </si>
  <si>
    <t>-16.14% </t>
  </si>
  <si>
    <t>生长素-长春高新</t>
    <rPh sb="0" eb="1">
      <t>sheng z s</t>
    </rPh>
    <rPh sb="4" eb="5">
      <t>chang chun gao xin</t>
    </rPh>
    <phoneticPr fontId="2" type="noConversion"/>
  </si>
  <si>
    <t>税金及附加</t>
    <rPh sb="0" eb="1">
      <t>shui jin ji fu jia</t>
    </rPh>
    <phoneticPr fontId="2" type="noConversion"/>
  </si>
  <si>
    <t>勾稽关系：销售商品、提供劳务收到的现金=营业收入+增值税+预收账款的增加额+应收账款的减少额；</t>
    <rPh sb="0" eb="1">
      <t>gou ji guan xi</t>
    </rPh>
    <phoneticPr fontId="2" type="noConversion"/>
  </si>
  <si>
    <t>应收账款、票据</t>
    <rPh sb="0" eb="1">
      <t>ying shou</t>
    </rPh>
    <rPh sb="5" eb="6">
      <t>piao ju</t>
    </rPh>
    <phoneticPr fontId="2" type="noConversion"/>
  </si>
  <si>
    <t>预收帐款</t>
    <rPh sb="0" eb="1">
      <t>yu shou</t>
    </rPh>
    <phoneticPr fontId="2" type="noConversion"/>
  </si>
  <si>
    <t>增加额</t>
    <phoneticPr fontId="2" type="noConversion"/>
  </si>
  <si>
    <t>其他应收账款的问题</t>
    <rPh sb="0" eb="1">
      <t>qi ta ying shou</t>
    </rPh>
    <rPh sb="4" eb="5">
      <t>zhang kuan</t>
    </rPh>
    <rPh sb="6" eb="7">
      <t>de</t>
    </rPh>
    <rPh sb="7" eb="8">
      <t>wen ti</t>
    </rPh>
    <phoneticPr fontId="2" type="noConversion"/>
  </si>
  <si>
    <t xml:space="preserve">营业成本 </t>
    <rPh sb="2" eb="3">
      <t>cheng ben</t>
    </rPh>
    <phoneticPr fontId="2" type="noConversion"/>
  </si>
  <si>
    <t>减少值</t>
    <phoneticPr fontId="2" type="noConversion"/>
  </si>
  <si>
    <t>折旧</t>
    <rPh sb="0" eb="1">
      <t>zhe jiu</t>
    </rPh>
    <phoneticPr fontId="2" type="noConversion"/>
  </si>
  <si>
    <t>存货的减少</t>
    <rPh sb="0" eb="1">
      <t>cun huo</t>
    </rPh>
    <rPh sb="2" eb="3">
      <t>de jian shao</t>
    </rPh>
    <phoneticPr fontId="2" type="noConversion"/>
  </si>
  <si>
    <t xml:space="preserve">应收项目的减少 </t>
    <phoneticPr fontId="2" type="noConversion"/>
  </si>
  <si>
    <t xml:space="preserve">应付项目的增加 </t>
    <phoneticPr fontId="2" type="noConversion"/>
  </si>
  <si>
    <t>税费</t>
    <rPh sb="0" eb="1">
      <t>shui fei</t>
    </rPh>
    <phoneticPr fontId="2" type="noConversion"/>
  </si>
  <si>
    <t>主要产品产量（中旬）</t>
    <rPh sb="0" eb="1">
      <t>zhu yao chan pin chan liang</t>
    </rPh>
    <rPh sb="7" eb="8">
      <t>zhong xun</t>
    </rPh>
    <phoneticPr fontId="2" type="noConversion"/>
  </si>
  <si>
    <t>水泥（万吨）</t>
  </si>
  <si>
    <r>
      <t>工业机器人（台</t>
    </r>
    <r>
      <rPr>
        <sz val="12"/>
        <color rgb="FF000000"/>
        <rFont val="Times New Roman"/>
      </rPr>
      <t>/</t>
    </r>
    <r>
      <rPr>
        <sz val="12"/>
        <color rgb="FF000000"/>
        <rFont val="宋体"/>
        <family val="3"/>
        <charset val="134"/>
        <scheme val="minor"/>
      </rPr>
      <t>套）</t>
    </r>
  </si>
  <si>
    <t>汽车（万辆）</t>
  </si>
  <si>
    <t>轿车（万辆）</t>
  </si>
  <si>
    <r>
      <t>SUV</t>
    </r>
    <r>
      <rPr>
        <sz val="12"/>
        <color rgb="FF000000"/>
        <rFont val="宋体"/>
        <family val="3"/>
        <charset val="134"/>
        <scheme val="minor"/>
      </rPr>
      <t>（万辆）</t>
    </r>
    <phoneticPr fontId="2" type="noConversion"/>
  </si>
  <si>
    <t>新能源汽车（万辆）</t>
  </si>
  <si>
    <t>发电机组（发电设备）（万千瓦）</t>
  </si>
  <si>
    <t>微型计算机设备（万台）</t>
  </si>
  <si>
    <t>智能手机（万台）</t>
  </si>
  <si>
    <t>集成电路（亿块）</t>
  </si>
  <si>
    <t>水泥-海螺水泥</t>
    <rPh sb="0" eb="1">
      <t>shui ni</t>
    </rPh>
    <rPh sb="3" eb="4">
      <t>hai luo shui ni</t>
    </rPh>
    <phoneticPr fontId="2" type="noConversion"/>
  </si>
  <si>
    <t>商品熟料</t>
    <rPh sb="0" eb="1">
      <t>shang pin shu liao</t>
    </rPh>
    <phoneticPr fontId="2" type="noConversion"/>
  </si>
  <si>
    <t>骨料</t>
    <rPh sb="0" eb="1">
      <t>gu liao</t>
    </rPh>
    <phoneticPr fontId="2" type="noConversion"/>
  </si>
  <si>
    <t>42.5水泥</t>
    <rPh sb="4" eb="5">
      <t>shui ni</t>
    </rPh>
    <phoneticPr fontId="2" type="noConversion"/>
  </si>
  <si>
    <t>32.5水泥</t>
    <rPh sb="4" eb="5">
      <t>shui ni</t>
    </rPh>
    <phoneticPr fontId="2" type="noConversion"/>
  </si>
  <si>
    <t xml:space="preserve">商品混凝土 </t>
    <phoneticPr fontId="2" type="noConversion"/>
  </si>
  <si>
    <t>产能</t>
    <rPh sb="0" eb="1">
      <t>chan neng</t>
    </rPh>
    <phoneticPr fontId="2" type="noConversion"/>
  </si>
  <si>
    <t>毛利率（%）</t>
    <rPh sb="0" eb="1">
      <t>mao li l</t>
    </rPh>
    <phoneticPr fontId="2" type="noConversion"/>
  </si>
  <si>
    <t>营业成本 （千元）</t>
    <rPh sb="6" eb="7">
      <t>qian yuan</t>
    </rPh>
    <phoneticPr fontId="2" type="noConversion"/>
  </si>
  <si>
    <t>营业收入 （千元）</t>
    <phoneticPr fontId="2" type="noConversion"/>
  </si>
  <si>
    <t>3.59亿吨</t>
    <phoneticPr fontId="2" type="noConversion"/>
  </si>
  <si>
    <t>2.53亿吨</t>
    <phoneticPr fontId="2" type="noConversion"/>
  </si>
  <si>
    <t>5530万吨</t>
    <rPh sb="4" eb="5">
      <t>wan</t>
    </rPh>
    <phoneticPr fontId="2" type="noConversion"/>
  </si>
  <si>
    <r>
      <t xml:space="preserve">300 </t>
    </r>
    <r>
      <rPr>
        <sz val="12"/>
        <color theme="1"/>
        <rFont val="SimSun"/>
        <family val="3"/>
        <charset val="134"/>
      </rPr>
      <t xml:space="preserve">万立方米 </t>
    </r>
    <phoneticPr fontId="2" type="noConversion"/>
  </si>
  <si>
    <t>全国产量</t>
    <rPh sb="0" eb="1">
      <t>quan guo chan liang</t>
    </rPh>
    <phoneticPr fontId="2" type="noConversion"/>
  </si>
  <si>
    <t>产量占比</t>
    <rPh sb="0" eb="1">
      <t>chan liang</t>
    </rPh>
    <rPh sb="2" eb="3">
      <t>zhan bi</t>
    </rPh>
    <phoneticPr fontId="2" type="noConversion"/>
  </si>
  <si>
    <t xml:space="preserve">每亿吨收入 </t>
    <phoneticPr fontId="2" type="noConversion"/>
  </si>
  <si>
    <t>营收占比</t>
    <rPh sb="0" eb="1">
      <t>ying hsou zhan bi</t>
    </rPh>
    <phoneticPr fontId="2" type="noConversion"/>
  </si>
  <si>
    <t>预计收入</t>
    <rPh sb="0" eb="1">
      <t>yu ji</t>
    </rPh>
    <rPh sb="2" eb="3">
      <t>shou ru</t>
    </rPh>
    <phoneticPr fontId="2" type="noConversion"/>
  </si>
  <si>
    <t>实际收入</t>
    <rPh sb="0" eb="1">
      <t>shi ji</t>
    </rPh>
    <rPh sb="2" eb="3">
      <t>shou ru</t>
    </rPh>
    <phoneticPr fontId="2" type="noConversion"/>
  </si>
  <si>
    <t>建材行业</t>
    <rPh sb="0" eb="1">
      <t>jian cai hang ye</t>
    </rPh>
    <phoneticPr fontId="2" type="noConversion"/>
  </si>
  <si>
    <t>应收账款</t>
    <rPh sb="0" eb="1">
      <t>ying shou</t>
    </rPh>
    <phoneticPr fontId="2" type="noConversion"/>
  </si>
  <si>
    <t>应收票据</t>
    <rPh sb="0" eb="1">
      <t>ying shou</t>
    </rPh>
    <rPh sb="2" eb="3">
      <t>piao ju</t>
    </rPh>
    <phoneticPr fontId="2" type="noConversion"/>
  </si>
  <si>
    <t>其他应收款</t>
    <rPh sb="0" eb="1">
      <t>qi ta</t>
    </rPh>
    <rPh sb="2" eb="3">
      <t>ying shou</t>
    </rPh>
    <rPh sb="4" eb="5">
      <t>kuan</t>
    </rPh>
    <phoneticPr fontId="2" type="noConversion"/>
  </si>
  <si>
    <t>应收账项融资</t>
    <rPh sb="0" eb="1">
      <t>ying shou</t>
    </rPh>
    <rPh sb="3" eb="4">
      <t>xiang</t>
    </rPh>
    <rPh sb="4" eb="5">
      <t>rong zi</t>
    </rPh>
    <phoneticPr fontId="2" type="noConversion"/>
  </si>
  <si>
    <t>合计</t>
    <rPh sb="0" eb="1">
      <t>he ji</t>
    </rPh>
    <phoneticPr fontId="2" type="noConversion"/>
  </si>
  <si>
    <t>实际</t>
    <rPh sb="0" eb="1">
      <t>shi ji</t>
    </rPh>
    <phoneticPr fontId="2" type="noConversion"/>
  </si>
  <si>
    <t>2019年Q1</t>
    <rPh sb="4" eb="5">
      <t>nian</t>
    </rPh>
    <phoneticPr fontId="2" type="noConversion"/>
  </si>
  <si>
    <t>服务业PMI（次月初）</t>
    <rPh sb="0" eb="1">
      <t>fu w</t>
    </rPh>
    <rPh sb="7" eb="8">
      <t>ci</t>
    </rPh>
    <rPh sb="9" eb="10">
      <t>chu</t>
    </rPh>
    <phoneticPr fontId="2" type="noConversion"/>
  </si>
  <si>
    <t>服务业PMI（2020）</t>
    <phoneticPr fontId="2" type="noConversion"/>
  </si>
  <si>
    <t>制造业PMI（每月31号）</t>
    <rPh sb="0" eb="1">
      <t>zhi zao ye</t>
    </rPh>
    <rPh sb="7" eb="8">
      <t>mei yue</t>
    </rPh>
    <rPh sb="11" eb="12">
      <t>hao</t>
    </rPh>
    <phoneticPr fontId="2" type="noConversion"/>
  </si>
  <si>
    <t>制造业PMI（2020）</t>
    <phoneticPr fontId="2" type="noConversion"/>
  </si>
  <si>
    <t>农副食品加工业</t>
    <phoneticPr fontId="2" type="noConversion"/>
  </si>
  <si>
    <t>食品制造业</t>
    <phoneticPr fontId="2" type="noConversion"/>
  </si>
  <si>
    <t>化学原料和化学制品制造业</t>
    <phoneticPr fontId="2" type="noConversion"/>
  </si>
  <si>
    <t>餐饮收入</t>
    <phoneticPr fontId="2" type="noConversion"/>
  </si>
  <si>
    <t>计算机、通信和其他电子设备制造业</t>
    <phoneticPr fontId="2" type="noConversion"/>
  </si>
  <si>
    <t>化学原料和化学制品制造业</t>
    <phoneticPr fontId="2" type="noConversion"/>
  </si>
  <si>
    <t>黑色金属冶炼和压延加工业</t>
    <phoneticPr fontId="2" type="noConversion"/>
  </si>
  <si>
    <t>有色金属冶炼和压延加工业</t>
    <phoneticPr fontId="2" type="noConversion"/>
  </si>
  <si>
    <t>非金属矿物制品业</t>
    <phoneticPr fontId="2" type="noConversion"/>
  </si>
  <si>
    <t>专用设备制造业</t>
    <phoneticPr fontId="2" type="noConversion"/>
  </si>
  <si>
    <t>农副食品加工业</t>
    <phoneticPr fontId="2" type="noConversion"/>
  </si>
  <si>
    <t>食品制造业</t>
    <phoneticPr fontId="2" type="noConversion"/>
  </si>
  <si>
    <t>酒、饮料和精制茶制造业</t>
    <phoneticPr fontId="2" type="noConversion"/>
  </si>
  <si>
    <t>医药制造业</t>
    <phoneticPr fontId="2" type="noConversion"/>
  </si>
  <si>
    <t>文教、工美、体育和娱乐用品制造业</t>
    <phoneticPr fontId="2" type="noConversion"/>
  </si>
  <si>
    <t>电力、热力生产和供应业</t>
    <phoneticPr fontId="2" type="noConversion"/>
  </si>
  <si>
    <t>电气机械和器材制造业</t>
    <phoneticPr fontId="2" type="noConversion"/>
  </si>
  <si>
    <t>石油、煤炭及其他燃料加工业</t>
    <phoneticPr fontId="2" type="noConversion"/>
  </si>
  <si>
    <t>煤炭开采和洗选业</t>
    <phoneticPr fontId="2" type="noConversion"/>
  </si>
  <si>
    <t>石油和天然气开采业</t>
    <phoneticPr fontId="2" type="noConversion"/>
  </si>
  <si>
    <t>天然橡胶（玲珑轮胎原料）</t>
    <rPh sb="0" eb="1">
      <t>tian ran xiang jiao</t>
    </rPh>
    <rPh sb="5" eb="6">
      <t>ling long lun tai</t>
    </rPh>
    <rPh sb="9" eb="10">
      <t>yuan liao</t>
    </rPh>
    <phoneticPr fontId="2" type="noConversion"/>
  </si>
  <si>
    <t>房地产开发投资和销售</t>
    <phoneticPr fontId="2" type="noConversion"/>
  </si>
  <si>
    <t>房地产开发投资和销售（中旬）</t>
    <phoneticPr fontId="2" type="noConversion"/>
  </si>
  <si>
    <t>东部</t>
    <rPh sb="0" eb="1">
      <t>dong bu</t>
    </rPh>
    <phoneticPr fontId="2" type="noConversion"/>
  </si>
  <si>
    <t>中部</t>
    <rPh sb="0" eb="1">
      <t>zhong bu</t>
    </rPh>
    <phoneticPr fontId="2" type="noConversion"/>
  </si>
  <si>
    <t>西部</t>
    <rPh sb="0" eb="1">
      <t>xi bu</t>
    </rPh>
    <phoneticPr fontId="2" type="noConversion"/>
  </si>
  <si>
    <t>农副食品加工业</t>
    <phoneticPr fontId="2" type="noConversion"/>
  </si>
  <si>
    <t>基础设施投资</t>
    <phoneticPr fontId="2" type="noConversion"/>
  </si>
  <si>
    <t>水泥（万吨）</t>
    <phoneticPr fontId="2" type="noConversion"/>
  </si>
  <si>
    <r>
      <rPr>
        <sz val="12"/>
        <color theme="1"/>
        <rFont val="宋体 (正文)"/>
        <family val="1"/>
        <charset val="134"/>
      </rPr>
      <t>主要产品产量</t>
    </r>
    <r>
      <rPr>
        <sz val="12"/>
        <color theme="1"/>
        <rFont val="宋体"/>
        <family val="2"/>
        <charset val="134"/>
        <scheme val="minor"/>
      </rPr>
      <t>（中旬）</t>
    </r>
    <rPh sb="0" eb="1">
      <t>zhu yao chan pin chan liang</t>
    </rPh>
    <rPh sb="7" eb="8">
      <t>zhong xun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</si>
</sst>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0%"/>
    <numFmt numFmtId="177" formatCode="#,##0.00_ "/>
    <numFmt numFmtId="178" formatCode="0.0000_ "/>
    <numFmt numFmtId="179" formatCode="#,##0.0_ "/>
  </numFmts>
  <fonts count="46"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4"/>
      <color rgb="FF333333"/>
      <name val="Helvetica Neue"/>
    </font>
    <font>
      <b/>
      <sz val="12"/>
      <color theme="1"/>
      <name val="宋体"/>
      <family val="2"/>
      <charset val="134"/>
      <scheme val="minor"/>
    </font>
    <font>
      <sz val="12"/>
      <color theme="0"/>
      <name val="宋体"/>
      <family val="2"/>
      <charset val="134"/>
      <scheme val="minor"/>
    </font>
    <font>
      <sz val="11"/>
      <color theme="1"/>
      <name val="宋体"/>
      <family val="3"/>
      <charset val="134"/>
      <scheme val="minor"/>
    </font>
    <font>
      <sz val="11"/>
      <color theme="1"/>
      <name val="SimSun"/>
      <family val="3"/>
      <charset val="134"/>
    </font>
    <font>
      <sz val="20"/>
      <color theme="1"/>
      <name val="宋体"/>
      <family val="2"/>
      <charset val="134"/>
      <scheme val="minor"/>
    </font>
    <font>
      <sz val="12"/>
      <color theme="0"/>
      <name val="Abadi MT Condensed Extra Bold"/>
    </font>
    <font>
      <sz val="11"/>
      <color theme="1"/>
      <name val="Arial Unicode MS"/>
    </font>
    <font>
      <sz val="9"/>
      <color theme="1"/>
      <name val="SimSun"/>
      <family val="3"/>
      <charset val="134"/>
    </font>
    <font>
      <sz val="9"/>
      <color theme="1"/>
      <name val="宋体"/>
      <family val="3"/>
      <charset val="134"/>
      <scheme val="minor"/>
    </font>
    <font>
      <sz val="11"/>
      <color theme="1"/>
      <name val="Abadi MT Condensed Extra Bold"/>
    </font>
    <font>
      <sz val="9.8000000000000007"/>
      <color theme="1"/>
      <name val="Abadi MT Condensed Extra Bold"/>
    </font>
    <font>
      <sz val="10.7"/>
      <color theme="0"/>
      <name val="Abadi MT Condensed Extra Bold"/>
    </font>
    <font>
      <sz val="12"/>
      <color theme="1"/>
      <name val="Arial Unicode MS"/>
    </font>
    <font>
      <sz val="13"/>
      <color rgb="FFFF0000"/>
      <name val="Microsoft YaHei"/>
      <charset val="136"/>
    </font>
    <font>
      <sz val="13"/>
      <color rgb="FF0836B8"/>
      <name val="Microsoft YaHei"/>
      <charset val="136"/>
    </font>
    <font>
      <sz val="11"/>
      <color theme="1"/>
      <name val="Microsoft YaHei"/>
      <charset val="136"/>
    </font>
    <font>
      <sz val="16"/>
      <color rgb="FF333333"/>
      <name val="Helvetica Neue"/>
    </font>
    <font>
      <sz val="9"/>
      <color theme="1"/>
      <name val="TimesNewRomanPSMT"/>
      <family val="1"/>
    </font>
    <font>
      <sz val="9"/>
      <color theme="1"/>
      <name val="Font000000002466d7ad"/>
      <family val="1"/>
    </font>
    <font>
      <sz val="14"/>
      <color rgb="FF000000"/>
      <name val="Helvetica Neue"/>
    </font>
    <font>
      <sz val="14"/>
      <color rgb="FF000000"/>
      <name val="-webkit-standard"/>
      <family val="1"/>
    </font>
    <font>
      <u/>
      <sz val="12"/>
      <color theme="10"/>
      <name val="宋体"/>
      <family val="2"/>
      <charset val="134"/>
      <scheme val="minor"/>
    </font>
    <font>
      <u/>
      <sz val="12"/>
      <color theme="11"/>
      <name val="宋体"/>
      <family val="2"/>
      <charset val="134"/>
      <scheme val="minor"/>
    </font>
    <font>
      <sz val="10"/>
      <color theme="1"/>
      <name val="TimesNewRomanPSMT"/>
    </font>
    <font>
      <sz val="12"/>
      <color theme="1"/>
      <name val="TimesNewRomanPSMT"/>
    </font>
    <font>
      <sz val="12"/>
      <color theme="1"/>
      <name val="SimSun"/>
      <family val="3"/>
      <charset val="134"/>
    </font>
    <font>
      <sz val="11"/>
      <color theme="1"/>
      <name val="ArialMT"/>
      <family val="2"/>
    </font>
    <font>
      <sz val="17"/>
      <color rgb="FF333333"/>
      <name val="Helvetica Neue"/>
    </font>
    <font>
      <sz val="16"/>
      <color rgb="FF333333"/>
      <name val="Times New Roman"/>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3">
    <xf numFmtId="0" fontId="0" fillId="0" borderId="0"/>
    <xf numFmtId="0" fontId="38" fillId="0" borderId="0" applyNumberFormat="0" applyFill="0" applyBorder="0" applyAlignment="0" applyProtection="0"/>
    <xf numFmtId="0" fontId="39" fillId="0" borderId="0" applyNumberFormat="0" applyFill="0" applyBorder="0" applyAlignment="0" applyProtection="0"/>
  </cellStyleXfs>
  <cellXfs count="153">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6" borderId="0" xfId="0" applyFill="1" applyAlignment="1">
      <alignment horizontal="center" wrapText="1"/>
    </xf>
    <xf numFmtId="0" fontId="16" fillId="0" borderId="0" xfId="0" applyFont="1"/>
    <xf numFmtId="0" fontId="17" fillId="0" borderId="0" xfId="0" applyFont="1"/>
    <xf numFmtId="9" fontId="0" fillId="0" borderId="0" xfId="0" applyNumberFormat="1"/>
    <xf numFmtId="0" fontId="19" fillId="0" borderId="0" xfId="0" applyFont="1"/>
    <xf numFmtId="0" fontId="10" fillId="0" borderId="0" xfId="0" applyFont="1"/>
    <xf numFmtId="0" fontId="12" fillId="0" borderId="0" xfId="0" applyFont="1"/>
    <xf numFmtId="0" fontId="0" fillId="0" borderId="0" xfId="0" applyFill="1" applyAlignment="1">
      <alignment wrapText="1"/>
    </xf>
    <xf numFmtId="0" fontId="0" fillId="0" borderId="0" xfId="0" applyAlignment="1">
      <alignment wrapText="1"/>
    </xf>
    <xf numFmtId="0" fontId="18" fillId="5" borderId="0" xfId="0" applyFont="1" applyFill="1" applyAlignment="1">
      <alignment horizontal="center"/>
    </xf>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0" fillId="6" borderId="0" xfId="0" applyFill="1" applyAlignment="1">
      <alignment wrapText="1"/>
    </xf>
    <xf numFmtId="4" fontId="0" fillId="0" borderId="0" xfId="0" applyNumberFormat="1"/>
    <xf numFmtId="177" fontId="0" fillId="0" borderId="0" xfId="0" applyNumberFormat="1"/>
    <xf numFmtId="0" fontId="0" fillId="0" borderId="0" xfId="0" applyFont="1"/>
    <xf numFmtId="0" fontId="20" fillId="0" borderId="0" xfId="0" applyFont="1"/>
    <xf numFmtId="0" fontId="21" fillId="6" borderId="0" xfId="0" applyFont="1" applyFill="1" applyAlignment="1">
      <alignment horizontal="center" vertical="center" wrapText="1"/>
    </xf>
    <xf numFmtId="0" fontId="18" fillId="5" borderId="0" xfId="0" applyFont="1" applyFill="1" applyAlignment="1">
      <alignment horizontal="center" vertical="center"/>
    </xf>
    <xf numFmtId="4" fontId="20" fillId="0" borderId="0" xfId="0" applyNumberFormat="1" applyFont="1"/>
    <xf numFmtId="0" fontId="22" fillId="5" borderId="0" xfId="0" applyFont="1" applyFill="1" applyBorder="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20" fillId="0" borderId="0" xfId="0" applyFont="1" applyAlignment="1"/>
    <xf numFmtId="0" fontId="18" fillId="5" borderId="0" xfId="0" applyFont="1" applyFill="1" applyAlignment="1">
      <alignment horizontal="center" wrapText="1"/>
    </xf>
    <xf numFmtId="0" fontId="0" fillId="0" borderId="0" xfId="0" applyAlignment="1">
      <alignment horizontal="center" vertical="center"/>
    </xf>
    <xf numFmtId="0" fontId="0" fillId="0" borderId="0" xfId="0" applyAlignment="1"/>
    <xf numFmtId="3" fontId="23" fillId="0" borderId="0" xfId="0" applyNumberFormat="1" applyFont="1"/>
    <xf numFmtId="3" fontId="24" fillId="0" borderId="0" xfId="0" applyNumberFormat="1" applyFont="1"/>
    <xf numFmtId="0" fontId="25" fillId="0" borderId="0" xfId="0" applyFont="1"/>
    <xf numFmtId="0" fontId="26" fillId="0" borderId="0" xfId="0" applyNumberFormat="1" applyFont="1"/>
    <xf numFmtId="4" fontId="27" fillId="0" borderId="0" xfId="0" applyNumberFormat="1" applyFont="1"/>
    <xf numFmtId="0" fontId="28" fillId="5" borderId="0" xfId="0" applyFont="1" applyFill="1" applyBorder="1" applyAlignment="1">
      <alignment horizontal="center"/>
    </xf>
    <xf numFmtId="178" fontId="0" fillId="0" borderId="0" xfId="0" applyNumberFormat="1"/>
    <xf numFmtId="178" fontId="0" fillId="0" borderId="0" xfId="0" applyNumberFormat="1" applyAlignment="1"/>
    <xf numFmtId="0" fontId="18" fillId="5" borderId="0" xfId="0" applyFont="1" applyFill="1" applyAlignment="1">
      <alignment horizontal="center" vertical="center" wrapText="1"/>
    </xf>
    <xf numFmtId="4" fontId="19" fillId="0" borderId="0" xfId="0" applyNumberFormat="1" applyFont="1"/>
    <xf numFmtId="0" fontId="0" fillId="0" borderId="0" xfId="0" applyAlignment="1">
      <alignment horizontal="center" vertical="center"/>
    </xf>
    <xf numFmtId="4" fontId="23" fillId="0" borderId="0" xfId="0" applyNumberFormat="1" applyFont="1"/>
    <xf numFmtId="10" fontId="23" fillId="0" borderId="0" xfId="0" applyNumberFormat="1" applyFont="1"/>
    <xf numFmtId="4" fontId="23" fillId="2" borderId="0" xfId="0" applyNumberFormat="1" applyFont="1" applyFill="1"/>
    <xf numFmtId="0" fontId="29" fillId="5" borderId="0" xfId="0" applyFont="1" applyFill="1" applyAlignment="1">
      <alignment wrapText="1"/>
    </xf>
    <xf numFmtId="4" fontId="29" fillId="0" borderId="0" xfId="0" applyNumberFormat="1" applyFont="1"/>
    <xf numFmtId="0" fontId="30" fillId="0" borderId="0" xfId="0" applyFont="1"/>
    <xf numFmtId="0" fontId="31" fillId="0" borderId="0" xfId="0" applyFont="1"/>
    <xf numFmtId="0" fontId="32" fillId="0" borderId="0" xfId="0" applyFont="1"/>
    <xf numFmtId="0" fontId="33" fillId="0" borderId="0" xfId="0" applyFont="1"/>
    <xf numFmtId="4" fontId="34" fillId="0" borderId="0" xfId="0" applyNumberFormat="1" applyFont="1"/>
    <xf numFmtId="0" fontId="34" fillId="0" borderId="0" xfId="0" applyFont="1"/>
    <xf numFmtId="10" fontId="34" fillId="0" borderId="0" xfId="0" applyNumberFormat="1" applyFont="1"/>
    <xf numFmtId="0" fontId="29" fillId="5" borderId="0" xfId="0" applyFont="1" applyFill="1" applyAlignment="1">
      <alignment wrapText="1"/>
    </xf>
    <xf numFmtId="4" fontId="35" fillId="0" borderId="0" xfId="0" applyNumberFormat="1" applyFont="1"/>
    <xf numFmtId="10" fontId="33" fillId="0" borderId="0" xfId="0" applyNumberFormat="1" applyFont="1"/>
    <xf numFmtId="0" fontId="36" fillId="0" borderId="0" xfId="0" applyFont="1"/>
    <xf numFmtId="10" fontId="36" fillId="0" borderId="0" xfId="0" applyNumberFormat="1" applyFont="1"/>
    <xf numFmtId="10" fontId="16" fillId="0" borderId="0" xfId="0" applyNumberFormat="1" applyFont="1"/>
    <xf numFmtId="0" fontId="37" fillId="0" borderId="0" xfId="0" applyFont="1"/>
    <xf numFmtId="10" fontId="37" fillId="0" borderId="0" xfId="0" applyNumberFormat="1" applyFont="1"/>
    <xf numFmtId="0" fontId="29" fillId="3" borderId="0" xfId="0" applyFont="1" applyFill="1" applyAlignment="1">
      <alignment wrapText="1"/>
    </xf>
    <xf numFmtId="4" fontId="34" fillId="2" borderId="0" xfId="0" applyNumberFormat="1" applyFont="1" applyFill="1"/>
    <xf numFmtId="179" fontId="0" fillId="2" borderId="0" xfId="0" applyNumberFormat="1" applyFill="1" applyAlignment="1">
      <alignment horizontal="center" vertical="center"/>
    </xf>
    <xf numFmtId="0" fontId="0" fillId="2" borderId="0" xfId="0" applyFill="1" applyAlignment="1">
      <alignment horizontal="center" vertical="center"/>
    </xf>
    <xf numFmtId="10" fontId="30" fillId="0" borderId="0" xfId="0" applyNumberFormat="1" applyFont="1"/>
    <xf numFmtId="3" fontId="40" fillId="0" borderId="0" xfId="0" applyNumberFormat="1" applyFont="1"/>
    <xf numFmtId="0" fontId="41" fillId="0" borderId="0" xfId="0" applyFont="1"/>
    <xf numFmtId="3" fontId="41" fillId="0" borderId="0" xfId="0" applyNumberFormat="1" applyFont="1"/>
    <xf numFmtId="10" fontId="40" fillId="0" borderId="0" xfId="0" applyNumberFormat="1" applyFont="1"/>
    <xf numFmtId="3" fontId="43" fillId="0" borderId="0" xfId="0" applyNumberFormat="1" applyFont="1"/>
    <xf numFmtId="177" fontId="0" fillId="0" borderId="0" xfId="0" applyNumberFormat="1" applyAlignment="1">
      <alignment horizontal="center" vertical="center"/>
    </xf>
    <xf numFmtId="0" fontId="44" fillId="0" borderId="0" xfId="0" applyFont="1"/>
    <xf numFmtId="10" fontId="44" fillId="0" borderId="0" xfId="0" applyNumberFormat="1" applyFont="1"/>
    <xf numFmtId="0" fontId="45" fillId="0" borderId="0" xfId="0" applyFont="1"/>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wrapText="1"/>
    </xf>
    <xf numFmtId="0" fontId="0" fillId="5" borderId="0" xfId="0" applyFill="1" applyAlignment="1">
      <alignment horizontal="center" vertical="center"/>
    </xf>
    <xf numFmtId="0" fontId="20" fillId="0" borderId="0" xfId="0" applyFont="1" applyAlignment="1"/>
    <xf numFmtId="0" fontId="0" fillId="0" borderId="0" xfId="0" applyAlignment="1"/>
    <xf numFmtId="0" fontId="29" fillId="5" borderId="0" xfId="0" applyFont="1" applyFill="1" applyAlignment="1">
      <alignment wrapText="1"/>
    </xf>
    <xf numFmtId="10" fontId="0" fillId="0" borderId="0" xfId="0" applyNumberFormat="1" applyAlignment="1"/>
    <xf numFmtId="4" fontId="0" fillId="0" borderId="0" xfId="0" applyNumberFormat="1" applyAlignment="1"/>
    <xf numFmtId="3" fontId="40" fillId="0" borderId="0" xfId="0" applyNumberFormat="1" applyFont="1" applyAlignment="1"/>
    <xf numFmtId="9" fontId="40" fillId="0" borderId="0" xfId="0" applyNumberFormat="1" applyFont="1" applyAlignment="1"/>
    <xf numFmtId="0" fontId="21" fillId="6" borderId="0" xfId="0" applyFont="1" applyFill="1" applyAlignment="1">
      <alignment horizontal="center" wrapText="1"/>
    </xf>
    <xf numFmtId="0" fontId="0" fillId="0" borderId="0" xfId="0" applyAlignment="1">
      <alignment horizontal="center"/>
    </xf>
    <xf numFmtId="0"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xf>
    <xf numFmtId="0" fontId="18" fillId="5" borderId="0" xfId="0" applyFont="1" applyFill="1" applyAlignment="1">
      <alignment horizontal="center"/>
    </xf>
    <xf numFmtId="9" fontId="0" fillId="0" borderId="0" xfId="0" applyNumberFormat="1" applyAlignment="1">
      <alignment horizontal="center"/>
    </xf>
    <xf numFmtId="0" fontId="18" fillId="5" borderId="0" xfId="0" applyFont="1" applyFill="1" applyAlignment="1">
      <alignment horizontal="center" wrapText="1"/>
    </xf>
    <xf numFmtId="0" fontId="20" fillId="0" borderId="0" xfId="0" applyFont="1" applyAlignment="1">
      <alignment horizontal="center" vertical="center"/>
    </xf>
    <xf numFmtId="0" fontId="20" fillId="0" borderId="0" xfId="0" applyFont="1" applyAlignment="1">
      <alignment wrapText="1"/>
    </xf>
    <xf numFmtId="0" fontId="21" fillId="0" borderId="0" xfId="0" applyFont="1" applyAlignment="1"/>
    <xf numFmtId="0" fontId="0" fillId="0" borderId="0" xfId="0" applyNumberFormat="1" applyAlignment="1"/>
    <xf numFmtId="0" fontId="21" fillId="0" borderId="0" xfId="0" applyFont="1" applyAlignment="1">
      <alignment horizontal="center" vertical="center"/>
    </xf>
    <xf numFmtId="4" fontId="20" fillId="0" borderId="0" xfId="0" applyNumberFormat="1" applyFont="1" applyAlignment="1">
      <alignment horizontal="center" vertic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11.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31</xdr:col>
      <xdr:colOff>12700</xdr:colOff>
      <xdr:row>2</xdr:row>
      <xdr:rowOff>266700</xdr:rowOff>
    </xdr:from>
    <xdr:to>
      <xdr:col>39</xdr:col>
      <xdr:colOff>698500</xdr:colOff>
      <xdr:row>5</xdr:row>
      <xdr:rowOff>736600</xdr:rowOff>
    </xdr:to>
    <xdr:pic>
      <xdr:nvPicPr>
        <xdr:cNvPr id="2" name="图片 1"/>
        <xdr:cNvPicPr>
          <a:picLocks noChangeAspect="1"/>
        </xdr:cNvPicPr>
      </xdr:nvPicPr>
      <xdr:blipFill>
        <a:blip xmlns:r="http://schemas.openxmlformats.org/officeDocument/2006/relationships" r:embed="rId1"/>
        <a:stretch>
          <a:fillRect/>
        </a:stretch>
      </xdr:blipFill>
      <xdr:spPr>
        <a:xfrm>
          <a:off x="27216100" y="1435100"/>
          <a:ext cx="7289800" cy="241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50800</xdr:rowOff>
    </xdr:from>
    <xdr:to>
      <xdr:col>10</xdr:col>
      <xdr:colOff>508000</xdr:colOff>
      <xdr:row>27</xdr:row>
      <xdr:rowOff>88900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3441700"/>
          <a:ext cx="10185400" cy="1943100"/>
        </a:xfrm>
        <a:prstGeom prst="rect">
          <a:avLst/>
        </a:prstGeom>
      </xdr:spPr>
    </xdr:pic>
    <xdr:clientData/>
  </xdr:twoCellAnchor>
  <xdr:twoCellAnchor editAs="oneCell">
    <xdr:from>
      <xdr:col>0</xdr:col>
      <xdr:colOff>0</xdr:colOff>
      <xdr:row>27</xdr:row>
      <xdr:rowOff>0</xdr:rowOff>
    </xdr:from>
    <xdr:to>
      <xdr:col>10</xdr:col>
      <xdr:colOff>660400</xdr:colOff>
      <xdr:row>31</xdr:row>
      <xdr:rowOff>152400</xdr:rowOff>
    </xdr:to>
    <xdr:pic>
      <xdr:nvPicPr>
        <xdr:cNvPr id="3" name="图片 2"/>
        <xdr:cNvPicPr>
          <a:picLocks noChangeAspect="1"/>
        </xdr:cNvPicPr>
      </xdr:nvPicPr>
      <xdr:blipFill>
        <a:blip xmlns:r="http://schemas.openxmlformats.org/officeDocument/2006/relationships" r:embed="rId2"/>
        <a:stretch>
          <a:fillRect/>
        </a:stretch>
      </xdr:blipFill>
      <xdr:spPr>
        <a:xfrm>
          <a:off x="8851900" y="5626100"/>
          <a:ext cx="10337800" cy="914400"/>
        </a:xfrm>
        <a:prstGeom prst="rect">
          <a:avLst/>
        </a:prstGeom>
      </xdr:spPr>
    </xdr:pic>
    <xdr:clientData/>
  </xdr:twoCellAnchor>
  <xdr:twoCellAnchor editAs="oneCell">
    <xdr:from>
      <xdr:col>0</xdr:col>
      <xdr:colOff>0</xdr:colOff>
      <xdr:row>31</xdr:row>
      <xdr:rowOff>0</xdr:rowOff>
    </xdr:from>
    <xdr:to>
      <xdr:col>10</xdr:col>
      <xdr:colOff>698500</xdr:colOff>
      <xdr:row>39</xdr:row>
      <xdr:rowOff>139700</xdr:rowOff>
    </xdr:to>
    <xdr:pic>
      <xdr:nvPicPr>
        <xdr:cNvPr id="4" name="图片 3"/>
        <xdr:cNvPicPr>
          <a:picLocks noChangeAspect="1"/>
        </xdr:cNvPicPr>
      </xdr:nvPicPr>
      <xdr:blipFill>
        <a:blip xmlns:r="http://schemas.openxmlformats.org/officeDocument/2006/relationships" r:embed="rId3"/>
        <a:stretch>
          <a:fillRect/>
        </a:stretch>
      </xdr:blipFill>
      <xdr:spPr>
        <a:xfrm>
          <a:off x="8851900" y="6578600"/>
          <a:ext cx="10375900" cy="1663700"/>
        </a:xfrm>
        <a:prstGeom prst="rect">
          <a:avLst/>
        </a:prstGeom>
      </xdr:spPr>
    </xdr:pic>
    <xdr:clientData/>
  </xdr:twoCellAnchor>
  <xdr:twoCellAnchor editAs="oneCell">
    <xdr:from>
      <xdr:col>0</xdr:col>
      <xdr:colOff>0</xdr:colOff>
      <xdr:row>37</xdr:row>
      <xdr:rowOff>0</xdr:rowOff>
    </xdr:from>
    <xdr:to>
      <xdr:col>10</xdr:col>
      <xdr:colOff>711200</xdr:colOff>
      <xdr:row>61</xdr:row>
      <xdr:rowOff>38100</xdr:rowOff>
    </xdr:to>
    <xdr:pic>
      <xdr:nvPicPr>
        <xdr:cNvPr id="5" name="图片 4"/>
        <xdr:cNvPicPr>
          <a:picLocks noChangeAspect="1"/>
        </xdr:cNvPicPr>
      </xdr:nvPicPr>
      <xdr:blipFill>
        <a:blip xmlns:r="http://schemas.openxmlformats.org/officeDocument/2006/relationships" r:embed="rId4"/>
        <a:stretch>
          <a:fillRect/>
        </a:stretch>
      </xdr:blipFill>
      <xdr:spPr>
        <a:xfrm>
          <a:off x="8851900" y="8293100"/>
          <a:ext cx="10388600" cy="4610100"/>
        </a:xfrm>
        <a:prstGeom prst="rect">
          <a:avLst/>
        </a:prstGeom>
      </xdr:spPr>
    </xdr:pic>
    <xdr:clientData/>
  </xdr:twoCellAnchor>
  <xdr:twoCellAnchor editAs="oneCell">
    <xdr:from>
      <xdr:col>0</xdr:col>
      <xdr:colOff>0</xdr:colOff>
      <xdr:row>61</xdr:row>
      <xdr:rowOff>139700</xdr:rowOff>
    </xdr:from>
    <xdr:to>
      <xdr:col>10</xdr:col>
      <xdr:colOff>685800</xdr:colOff>
      <xdr:row>79</xdr:row>
      <xdr:rowOff>139700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1912600"/>
          <a:ext cx="10363200" cy="3429000"/>
        </a:xfrm>
        <a:prstGeom prst="rect">
          <a:avLst/>
        </a:prstGeom>
      </xdr:spPr>
    </xdr:pic>
    <xdr:clientData/>
  </xdr:twoCellAnchor>
  <xdr:twoCellAnchor editAs="oneCell">
    <xdr:from>
      <xdr:col>0</xdr:col>
      <xdr:colOff>0</xdr:colOff>
      <xdr:row>79</xdr:row>
      <xdr:rowOff>177800</xdr:rowOff>
    </xdr:from>
    <xdr:to>
      <xdr:col>10</xdr:col>
      <xdr:colOff>711200</xdr:colOff>
      <xdr:row>98</xdr:row>
      <xdr:rowOff>12700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5379700"/>
          <a:ext cx="10388600" cy="3454400"/>
        </a:xfrm>
        <a:prstGeom prst="rect">
          <a:avLst/>
        </a:prstGeom>
      </xdr:spPr>
    </xdr:pic>
    <xdr:clientData/>
  </xdr:twoCellAnchor>
  <xdr:twoCellAnchor editAs="oneCell">
    <xdr:from>
      <xdr:col>0</xdr:col>
      <xdr:colOff>0</xdr:colOff>
      <xdr:row>98</xdr:row>
      <xdr:rowOff>25400</xdr:rowOff>
    </xdr:from>
    <xdr:to>
      <xdr:col>10</xdr:col>
      <xdr:colOff>812800</xdr:colOff>
      <xdr:row>111</xdr:row>
      <xdr:rowOff>152400</xdr:rowOff>
    </xdr:to>
    <xdr:pic>
      <xdr:nvPicPr>
        <xdr:cNvPr id="8" name="图片 7"/>
        <xdr:cNvPicPr>
          <a:picLocks noChangeAspect="1"/>
        </xdr:cNvPicPr>
      </xdr:nvPicPr>
      <xdr:blipFill>
        <a:blip xmlns:r="http://schemas.openxmlformats.org/officeDocument/2006/relationships" r:embed="rId7"/>
        <a:stretch>
          <a:fillRect/>
        </a:stretch>
      </xdr:blipFill>
      <xdr:spPr>
        <a:xfrm>
          <a:off x="0" y="18846800"/>
          <a:ext cx="10490200" cy="2603500"/>
        </a:xfrm>
        <a:prstGeom prst="rect">
          <a:avLst/>
        </a:prstGeom>
      </xdr:spPr>
    </xdr:pic>
    <xdr:clientData/>
  </xdr:twoCellAnchor>
  <xdr:twoCellAnchor editAs="oneCell">
    <xdr:from>
      <xdr:col>0</xdr:col>
      <xdr:colOff>114300</xdr:colOff>
      <xdr:row>111</xdr:row>
      <xdr:rowOff>101600</xdr:rowOff>
    </xdr:from>
    <xdr:to>
      <xdr:col>10</xdr:col>
      <xdr:colOff>787400</xdr:colOff>
      <xdr:row>129</xdr:row>
      <xdr:rowOff>165100</xdr:rowOff>
    </xdr:to>
    <xdr:pic>
      <xdr:nvPicPr>
        <xdr:cNvPr id="9" name="图片 8"/>
        <xdr:cNvPicPr>
          <a:picLocks noChangeAspect="1"/>
        </xdr:cNvPicPr>
      </xdr:nvPicPr>
      <xdr:blipFill>
        <a:blip xmlns:r="http://schemas.openxmlformats.org/officeDocument/2006/relationships" r:embed="rId8"/>
        <a:stretch>
          <a:fillRect/>
        </a:stretch>
      </xdr:blipFill>
      <xdr:spPr>
        <a:xfrm>
          <a:off x="114300" y="21399500"/>
          <a:ext cx="10350500" cy="3492500"/>
        </a:xfrm>
        <a:prstGeom prst="rect">
          <a:avLst/>
        </a:prstGeom>
      </xdr:spPr>
    </xdr:pic>
    <xdr:clientData/>
  </xdr:twoCellAnchor>
  <xdr:twoCellAnchor editAs="oneCell">
    <xdr:from>
      <xdr:col>0</xdr:col>
      <xdr:colOff>0</xdr:colOff>
      <xdr:row>130</xdr:row>
      <xdr:rowOff>25400</xdr:rowOff>
    </xdr:from>
    <xdr:to>
      <xdr:col>10</xdr:col>
      <xdr:colOff>774700</xdr:colOff>
      <xdr:row>156</xdr:row>
      <xdr:rowOff>0</xdr:rowOff>
    </xdr:to>
    <xdr:pic>
      <xdr:nvPicPr>
        <xdr:cNvPr id="10" name="图片 9"/>
        <xdr:cNvPicPr>
          <a:picLocks noChangeAspect="1"/>
        </xdr:cNvPicPr>
      </xdr:nvPicPr>
      <xdr:blipFill>
        <a:blip xmlns:r="http://schemas.openxmlformats.org/officeDocument/2006/relationships" r:embed="rId9"/>
        <a:stretch>
          <a:fillRect/>
        </a:stretch>
      </xdr:blipFill>
      <xdr:spPr>
        <a:xfrm>
          <a:off x="0" y="24942800"/>
          <a:ext cx="10452100" cy="49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16</xdr:row>
      <xdr:rowOff>88900</xdr:rowOff>
    </xdr:from>
    <xdr:to>
      <xdr:col>11</xdr:col>
      <xdr:colOff>533400</xdr:colOff>
      <xdr:row>41</xdr:row>
      <xdr:rowOff>25400</xdr:rowOff>
    </xdr:to>
    <xdr:pic>
      <xdr:nvPicPr>
        <xdr:cNvPr id="2" name="图片 1"/>
        <xdr:cNvPicPr>
          <a:picLocks noChangeAspect="1"/>
        </xdr:cNvPicPr>
      </xdr:nvPicPr>
      <xdr:blipFill>
        <a:blip xmlns:r="http://schemas.openxmlformats.org/officeDocument/2006/relationships" r:embed="rId1"/>
        <a:stretch>
          <a:fillRect/>
        </a:stretch>
      </xdr:blipFill>
      <xdr:spPr>
        <a:xfrm>
          <a:off x="25400" y="4813300"/>
          <a:ext cx="9588500" cy="4699000"/>
        </a:xfrm>
        <a:prstGeom prst="rect">
          <a:avLst/>
        </a:prstGeom>
      </xdr:spPr>
    </xdr:pic>
    <xdr:clientData/>
  </xdr:twoCellAnchor>
  <xdr:twoCellAnchor editAs="oneCell">
    <xdr:from>
      <xdr:col>0</xdr:col>
      <xdr:colOff>0</xdr:colOff>
      <xdr:row>41</xdr:row>
      <xdr:rowOff>0</xdr:rowOff>
    </xdr:from>
    <xdr:to>
      <xdr:col>11</xdr:col>
      <xdr:colOff>469900</xdr:colOff>
      <xdr:row>44</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8915400"/>
          <a:ext cx="9550400" cy="647700"/>
        </a:xfrm>
        <a:prstGeom prst="rect">
          <a:avLst/>
        </a:prstGeom>
      </xdr:spPr>
    </xdr:pic>
    <xdr:clientData/>
  </xdr:twoCellAnchor>
  <xdr:twoCellAnchor editAs="oneCell">
    <xdr:from>
      <xdr:col>0</xdr:col>
      <xdr:colOff>0</xdr:colOff>
      <xdr:row>46</xdr:row>
      <xdr:rowOff>0</xdr:rowOff>
    </xdr:from>
    <xdr:to>
      <xdr:col>11</xdr:col>
      <xdr:colOff>12700</xdr:colOff>
      <xdr:row>77</xdr:row>
      <xdr:rowOff>38100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9867900"/>
          <a:ext cx="9093200" cy="5943600"/>
        </a:xfrm>
        <a:prstGeom prst="rect">
          <a:avLst/>
        </a:prstGeom>
      </xdr:spPr>
    </xdr:pic>
    <xdr:clientData/>
  </xdr:twoCellAnchor>
  <xdr:twoCellAnchor editAs="oneCell">
    <xdr:from>
      <xdr:col>0</xdr:col>
      <xdr:colOff>0</xdr:colOff>
      <xdr:row>78</xdr:row>
      <xdr:rowOff>0</xdr:rowOff>
    </xdr:from>
    <xdr:to>
      <xdr:col>9</xdr:col>
      <xdr:colOff>508000</xdr:colOff>
      <xdr:row>107</xdr:row>
      <xdr:rowOff>25400</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5963900"/>
          <a:ext cx="7937500" cy="5549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topLeftCell="A147" workbookViewId="0">
      <selection activeCell="V132" sqref="V13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125" t="s">
        <v>425</v>
      </c>
      <c r="C1" s="125"/>
      <c r="D1" s="126"/>
      <c r="E1" s="126"/>
      <c r="F1" s="126"/>
      <c r="G1" s="126"/>
      <c r="H1" s="126"/>
      <c r="I1" s="126"/>
      <c r="J1" s="126"/>
      <c r="K1" s="126"/>
      <c r="L1" s="126"/>
      <c r="M1" s="126"/>
      <c r="N1" s="126"/>
      <c r="O1" s="126"/>
      <c r="P1" s="126"/>
      <c r="Q1" s="126"/>
      <c r="R1" s="126"/>
      <c r="S1" s="126"/>
      <c r="T1" s="126"/>
      <c r="U1" s="126"/>
      <c r="V1" s="126"/>
      <c r="W1" s="126"/>
      <c r="X1" s="126"/>
      <c r="Y1" s="23"/>
    </row>
    <row r="2" spans="1:26" s="6" customFormat="1" x14ac:dyDescent="0.15">
      <c r="B2" t="s">
        <v>31</v>
      </c>
      <c r="C2" t="s">
        <v>355</v>
      </c>
      <c r="D2" t="s">
        <v>32</v>
      </c>
      <c r="E2" t="s">
        <v>355</v>
      </c>
      <c r="F2" t="s">
        <v>33</v>
      </c>
      <c r="G2" t="s">
        <v>355</v>
      </c>
      <c r="H2" t="s">
        <v>34</v>
      </c>
      <c r="I2" t="s">
        <v>355</v>
      </c>
      <c r="J2" t="s">
        <v>35</v>
      </c>
      <c r="K2" t="s">
        <v>355</v>
      </c>
      <c r="L2" t="s">
        <v>36</v>
      </c>
      <c r="M2" t="s">
        <v>355</v>
      </c>
      <c r="N2" t="s">
        <v>37</v>
      </c>
      <c r="O2" t="s">
        <v>355</v>
      </c>
      <c r="P2" t="s">
        <v>38</v>
      </c>
      <c r="Q2" t="s">
        <v>355</v>
      </c>
      <c r="R2" t="s">
        <v>39</v>
      </c>
      <c r="S2" t="s">
        <v>355</v>
      </c>
      <c r="T2" t="s">
        <v>40</v>
      </c>
      <c r="U2" t="s">
        <v>355</v>
      </c>
      <c r="V2" t="s">
        <v>41</v>
      </c>
      <c r="W2" t="s">
        <v>355</v>
      </c>
      <c r="X2" t="s">
        <v>42</v>
      </c>
      <c r="Y2" t="s">
        <v>355</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426</v>
      </c>
      <c r="Z3" s="127" t="s">
        <v>216</v>
      </c>
    </row>
    <row r="4" spans="1:26" s="6" customFormat="1" ht="45" customHeight="1" x14ac:dyDescent="0.2">
      <c r="A4" s="29" t="s">
        <v>380</v>
      </c>
      <c r="B4">
        <v>17.2</v>
      </c>
      <c r="C4"/>
      <c r="D4">
        <v>-2.4</v>
      </c>
      <c r="E4"/>
      <c r="F4">
        <v>3.1</v>
      </c>
      <c r="G4"/>
      <c r="H4">
        <v>3.5</v>
      </c>
      <c r="I4"/>
      <c r="J4">
        <v>4.3</v>
      </c>
      <c r="K4"/>
      <c r="L4">
        <v>4.3</v>
      </c>
      <c r="M4"/>
      <c r="N4">
        <v>4.5</v>
      </c>
      <c r="O4"/>
      <c r="P4">
        <v>4.8</v>
      </c>
      <c r="Q4"/>
      <c r="R4">
        <v>4</v>
      </c>
      <c r="S4"/>
      <c r="T4">
        <v>4.7</v>
      </c>
      <c r="U4"/>
      <c r="V4">
        <v>4.8</v>
      </c>
      <c r="W4"/>
      <c r="X4" s="6">
        <v>5.2</v>
      </c>
      <c r="Y4" t="s">
        <v>427</v>
      </c>
      <c r="Z4" s="127"/>
    </row>
    <row r="5" spans="1:26" s="6" customFormat="1" ht="58" customHeight="1" x14ac:dyDescent="0.15">
      <c r="A5" s="29" t="s">
        <v>381</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427</v>
      </c>
      <c r="Z5" s="122"/>
    </row>
    <row r="6" spans="1:26" s="6" customFormat="1" ht="84" customHeight="1" x14ac:dyDescent="0.15">
      <c r="A6" s="29" t="s">
        <v>428</v>
      </c>
      <c r="B6">
        <v>8.4</v>
      </c>
      <c r="C6"/>
      <c r="D6">
        <v>8</v>
      </c>
      <c r="E6"/>
      <c r="F6">
        <v>8.6</v>
      </c>
      <c r="G6"/>
      <c r="H6">
        <v>8.5</v>
      </c>
      <c r="I6"/>
      <c r="J6">
        <v>8.5</v>
      </c>
      <c r="K6"/>
      <c r="L6">
        <v>8.5</v>
      </c>
      <c r="M6"/>
      <c r="N6">
        <v>8.1</v>
      </c>
      <c r="O6"/>
      <c r="P6">
        <v>8.1999999999999993</v>
      </c>
      <c r="Q6"/>
      <c r="R6">
        <v>8.4</v>
      </c>
      <c r="S6"/>
      <c r="T6">
        <v>8.4</v>
      </c>
      <c r="U6"/>
      <c r="V6" t="s">
        <v>389</v>
      </c>
      <c r="W6"/>
      <c r="X6" s="6">
        <v>8.6999999999999993</v>
      </c>
      <c r="Y6" s="6" t="s">
        <v>427</v>
      </c>
      <c r="Z6" s="122"/>
    </row>
    <row r="7" spans="1:26" s="6" customFormat="1" ht="38" customHeight="1" x14ac:dyDescent="0.15">
      <c r="A7" s="123" t="s">
        <v>382</v>
      </c>
      <c r="B7" s="124"/>
      <c r="C7" s="124"/>
      <c r="D7" s="124"/>
      <c r="E7" s="124"/>
      <c r="F7" s="124"/>
      <c r="G7" s="124"/>
      <c r="H7" s="124"/>
      <c r="I7" s="124"/>
      <c r="J7" s="124"/>
      <c r="K7" s="124"/>
      <c r="L7" s="124"/>
      <c r="M7" s="124"/>
      <c r="N7" s="124"/>
      <c r="O7" s="124"/>
      <c r="P7" s="124"/>
      <c r="Q7"/>
      <c r="R7"/>
      <c r="S7"/>
      <c r="T7"/>
      <c r="U7"/>
      <c r="V7"/>
      <c r="W7"/>
      <c r="Y7"/>
      <c r="Z7" s="25"/>
    </row>
    <row r="8" spans="1:26" s="6" customFormat="1" ht="56" customHeight="1" x14ac:dyDescent="0.15">
      <c r="A8" s="123" t="s">
        <v>379</v>
      </c>
      <c r="B8" s="124"/>
      <c r="C8" s="124"/>
      <c r="D8" s="124"/>
      <c r="E8" s="124"/>
      <c r="F8" s="124"/>
      <c r="G8" s="124"/>
      <c r="H8" s="124"/>
      <c r="I8" s="124"/>
      <c r="J8" s="124"/>
      <c r="K8" s="124"/>
      <c r="L8" s="124"/>
      <c r="M8" s="124"/>
      <c r="N8" s="124"/>
      <c r="O8" s="124"/>
      <c r="P8" s="124"/>
    </row>
    <row r="9" spans="1:26" s="6" customFormat="1" ht="20" x14ac:dyDescent="0.2">
      <c r="A9" s="30"/>
    </row>
    <row r="10" spans="1:26" s="34" customFormat="1" x14ac:dyDescent="0.15">
      <c r="A10" s="35" t="s">
        <v>212</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121" t="s">
        <v>368</v>
      </c>
      <c r="D15" s="19" t="s">
        <v>50</v>
      </c>
      <c r="E15" s="121" t="s">
        <v>367</v>
      </c>
      <c r="F15" s="18" t="s">
        <v>55</v>
      </c>
      <c r="G15" s="121" t="s">
        <v>357</v>
      </c>
      <c r="H15" s="19" t="s">
        <v>60</v>
      </c>
      <c r="I15" s="121" t="s">
        <v>358</v>
      </c>
      <c r="J15" s="19" t="s">
        <v>65</v>
      </c>
      <c r="K15" s="121" t="s">
        <v>359</v>
      </c>
      <c r="L15" s="20" t="s">
        <v>70</v>
      </c>
      <c r="M15" s="121" t="s">
        <v>360</v>
      </c>
      <c r="N15" s="22" t="s">
        <v>75</v>
      </c>
      <c r="O15" s="121" t="s">
        <v>361</v>
      </c>
      <c r="P15" s="20" t="s">
        <v>80</v>
      </c>
      <c r="Q15" s="121" t="s">
        <v>362</v>
      </c>
      <c r="R15" s="22" t="s">
        <v>85</v>
      </c>
      <c r="S15" s="121" t="s">
        <v>364</v>
      </c>
      <c r="T15" s="20" t="s">
        <v>89</v>
      </c>
      <c r="U15" s="121" t="s">
        <v>365</v>
      </c>
      <c r="V15" s="22" t="s">
        <v>94</v>
      </c>
      <c r="W15" s="121" t="s">
        <v>366</v>
      </c>
      <c r="X15" s="22" t="s">
        <v>99</v>
      </c>
      <c r="Y15" s="121" t="s">
        <v>369</v>
      </c>
      <c r="Z15" s="2" t="s">
        <v>352</v>
      </c>
    </row>
    <row r="16" spans="1:26" s="6" customFormat="1" ht="16" x14ac:dyDescent="0.2">
      <c r="A16" s="6" t="s">
        <v>46</v>
      </c>
      <c r="B16" s="19" t="s">
        <v>104</v>
      </c>
      <c r="C16" s="122"/>
      <c r="D16" s="18" t="s">
        <v>51</v>
      </c>
      <c r="E16" s="122"/>
      <c r="F16" s="18" t="s">
        <v>56</v>
      </c>
      <c r="G16" s="122"/>
      <c r="H16" s="19" t="s">
        <v>61</v>
      </c>
      <c r="I16" s="122"/>
      <c r="J16" s="19" t="s">
        <v>66</v>
      </c>
      <c r="K16" s="122"/>
      <c r="L16" s="20" t="s">
        <v>71</v>
      </c>
      <c r="M16" s="122"/>
      <c r="N16" s="22" t="s">
        <v>76</v>
      </c>
      <c r="O16" s="122"/>
      <c r="P16" s="20" t="s">
        <v>81</v>
      </c>
      <c r="Q16" s="122"/>
      <c r="R16" s="22" t="s">
        <v>86</v>
      </c>
      <c r="S16" s="122"/>
      <c r="T16" s="20" t="s">
        <v>90</v>
      </c>
      <c r="U16" s="122"/>
      <c r="V16" s="22" t="s">
        <v>95</v>
      </c>
      <c r="W16" s="122"/>
      <c r="X16" s="20" t="s">
        <v>354</v>
      </c>
      <c r="Y16" s="122"/>
      <c r="Z16" s="2" t="s">
        <v>353</v>
      </c>
    </row>
    <row r="17" spans="1:26" s="6" customFormat="1" ht="16" x14ac:dyDescent="0.2">
      <c r="A17" s="6" t="s">
        <v>47</v>
      </c>
      <c r="B17" s="18" t="s">
        <v>105</v>
      </c>
      <c r="C17" s="122"/>
      <c r="D17" s="19" t="s">
        <v>52</v>
      </c>
      <c r="E17" s="122"/>
      <c r="F17" s="18" t="s">
        <v>57</v>
      </c>
      <c r="G17" s="122"/>
      <c r="H17" s="19" t="s">
        <v>62</v>
      </c>
      <c r="I17" s="122"/>
      <c r="J17" s="18" t="s">
        <v>67</v>
      </c>
      <c r="K17" s="122"/>
      <c r="L17" s="22" t="s">
        <v>72</v>
      </c>
      <c r="M17" s="122"/>
      <c r="N17" s="20" t="s">
        <v>77</v>
      </c>
      <c r="O17" s="122"/>
      <c r="P17" s="20" t="s">
        <v>82</v>
      </c>
      <c r="Q17" s="122"/>
      <c r="R17" s="22" t="s">
        <v>87</v>
      </c>
      <c r="S17" s="122"/>
      <c r="T17" s="20" t="s">
        <v>91</v>
      </c>
      <c r="U17" s="122"/>
      <c r="V17" s="22" t="s">
        <v>96</v>
      </c>
      <c r="W17" s="122"/>
      <c r="X17" s="20" t="s">
        <v>100</v>
      </c>
      <c r="Y17" s="122"/>
      <c r="Z17" s="2" t="s">
        <v>356</v>
      </c>
    </row>
    <row r="18" spans="1:26" s="6" customFormat="1" ht="16" x14ac:dyDescent="0.2">
      <c r="A18" s="6" t="s">
        <v>48</v>
      </c>
      <c r="B18" s="19" t="s">
        <v>106</v>
      </c>
      <c r="C18" s="122"/>
      <c r="D18" s="19" t="s">
        <v>53</v>
      </c>
      <c r="E18" s="122"/>
      <c r="F18" s="18" t="s">
        <v>58</v>
      </c>
      <c r="G18" s="122"/>
      <c r="H18" s="19" t="s">
        <v>63</v>
      </c>
      <c r="I18" s="122"/>
      <c r="J18" s="19" t="s">
        <v>68</v>
      </c>
      <c r="K18" s="122"/>
      <c r="L18" s="20" t="s">
        <v>73</v>
      </c>
      <c r="M18" s="122"/>
      <c r="N18" s="22" t="s">
        <v>78</v>
      </c>
      <c r="O18" s="122"/>
      <c r="P18" s="20" t="s">
        <v>83</v>
      </c>
      <c r="Q18" s="122"/>
      <c r="R18" s="22" t="s">
        <v>363</v>
      </c>
      <c r="S18" s="122"/>
      <c r="T18" s="20" t="s">
        <v>92</v>
      </c>
      <c r="U18" s="122"/>
      <c r="V18" s="24" t="s">
        <v>97</v>
      </c>
      <c r="W18" s="122"/>
      <c r="X18" s="24" t="s">
        <v>101</v>
      </c>
      <c r="Y18" s="122"/>
      <c r="Z18" s="2" t="s">
        <v>209</v>
      </c>
    </row>
    <row r="19" spans="1:26" s="6" customFormat="1" ht="16" x14ac:dyDescent="0.2">
      <c r="A19" s="6" t="s">
        <v>49</v>
      </c>
      <c r="B19" s="13" t="s">
        <v>107</v>
      </c>
      <c r="C19" s="122"/>
      <c r="D19" s="13" t="s">
        <v>54</v>
      </c>
      <c r="E19" s="122"/>
      <c r="F19" s="13" t="s">
        <v>59</v>
      </c>
      <c r="G19" s="122"/>
      <c r="H19" s="13" t="s">
        <v>64</v>
      </c>
      <c r="I19" s="122"/>
      <c r="J19" s="13" t="s">
        <v>69</v>
      </c>
      <c r="K19" s="122"/>
      <c r="L19" s="2" t="s">
        <v>74</v>
      </c>
      <c r="M19" s="122"/>
      <c r="N19" s="2" t="s">
        <v>79</v>
      </c>
      <c r="O19" s="122"/>
      <c r="P19" s="2" t="s">
        <v>84</v>
      </c>
      <c r="Q19" s="122"/>
      <c r="R19" s="2" t="s">
        <v>88</v>
      </c>
      <c r="S19" s="122"/>
      <c r="T19" s="2" t="s">
        <v>93</v>
      </c>
      <c r="U19" s="122"/>
      <c r="V19" s="2" t="s">
        <v>98</v>
      </c>
      <c r="W19" s="122"/>
      <c r="X19" s="11" t="s">
        <v>102</v>
      </c>
      <c r="Y19" s="122"/>
      <c r="Z19" s="2" t="s">
        <v>210</v>
      </c>
    </row>
    <row r="20" spans="1:26" s="6" customFormat="1" ht="16" x14ac:dyDescent="0.2">
      <c r="A20" s="6" t="s">
        <v>108</v>
      </c>
      <c r="B20" s="18" t="s">
        <v>113</v>
      </c>
      <c r="C20" s="122"/>
      <c r="D20" s="19" t="s">
        <v>114</v>
      </c>
      <c r="E20" s="122"/>
      <c r="F20" s="18" t="s">
        <v>115</v>
      </c>
      <c r="G20" s="122"/>
      <c r="H20" s="18" t="s">
        <v>116</v>
      </c>
      <c r="I20" s="122"/>
      <c r="J20" s="19" t="s">
        <v>117</v>
      </c>
      <c r="K20" s="122"/>
      <c r="L20" s="19" t="s">
        <v>118</v>
      </c>
      <c r="M20" s="122"/>
      <c r="N20" s="18" t="s">
        <v>119</v>
      </c>
      <c r="O20" s="122"/>
      <c r="P20" s="18" t="s">
        <v>120</v>
      </c>
      <c r="Q20" s="122"/>
      <c r="R20" s="18" t="s">
        <v>121</v>
      </c>
      <c r="S20" s="122"/>
      <c r="T20" s="19" t="s">
        <v>122</v>
      </c>
      <c r="U20" s="122"/>
      <c r="V20" s="18" t="s">
        <v>123</v>
      </c>
      <c r="W20" s="122"/>
      <c r="X20" s="18" t="s">
        <v>124</v>
      </c>
      <c r="Y20" s="122"/>
      <c r="Z20" s="11" t="s">
        <v>227</v>
      </c>
    </row>
    <row r="21" spans="1:26" s="6" customFormat="1" ht="16" x14ac:dyDescent="0.2">
      <c r="A21" s="12" t="s">
        <v>228</v>
      </c>
      <c r="B21" s="13" t="s">
        <v>125</v>
      </c>
      <c r="C21" s="122"/>
      <c r="D21" s="13" t="s">
        <v>126</v>
      </c>
      <c r="E21" s="122"/>
      <c r="F21" s="13" t="s">
        <v>127</v>
      </c>
      <c r="G21" s="122"/>
      <c r="H21" s="13" t="s">
        <v>128</v>
      </c>
      <c r="I21" s="122"/>
      <c r="J21" s="13" t="s">
        <v>129</v>
      </c>
      <c r="K21" s="122"/>
      <c r="L21" s="13" t="s">
        <v>130</v>
      </c>
      <c r="M21" s="122"/>
      <c r="N21" s="13" t="s">
        <v>131</v>
      </c>
      <c r="O21" s="122"/>
      <c r="P21" s="13" t="s">
        <v>132</v>
      </c>
      <c r="Q21" s="122"/>
      <c r="R21" s="13" t="s">
        <v>133</v>
      </c>
      <c r="S21" s="122"/>
      <c r="T21" s="13" t="s">
        <v>134</v>
      </c>
      <c r="U21" s="122"/>
      <c r="V21" s="13" t="s">
        <v>135</v>
      </c>
      <c r="W21" s="122"/>
      <c r="X21" s="13" t="s">
        <v>136</v>
      </c>
      <c r="Y21" s="122"/>
      <c r="Z21" s="11" t="s">
        <v>229</v>
      </c>
    </row>
    <row r="22" spans="1:26" s="6" customFormat="1" ht="16" x14ac:dyDescent="0.2">
      <c r="A22" s="12" t="s">
        <v>235</v>
      </c>
      <c r="B22" s="19" t="s">
        <v>137</v>
      </c>
      <c r="C22" s="122"/>
      <c r="D22" s="19" t="s">
        <v>138</v>
      </c>
      <c r="E22" s="122"/>
      <c r="F22" s="18" t="s">
        <v>139</v>
      </c>
      <c r="G22" s="122"/>
      <c r="H22" s="19" t="s">
        <v>140</v>
      </c>
      <c r="I22" s="122"/>
      <c r="J22" s="19" t="s">
        <v>141</v>
      </c>
      <c r="K22" s="122"/>
      <c r="L22" s="19" t="s">
        <v>142</v>
      </c>
      <c r="M22" s="122"/>
      <c r="N22" s="18" t="s">
        <v>143</v>
      </c>
      <c r="O22" s="122"/>
      <c r="P22" s="19" t="s">
        <v>144</v>
      </c>
      <c r="Q22" s="122"/>
      <c r="R22" s="18" t="s">
        <v>145</v>
      </c>
      <c r="S22" s="122"/>
      <c r="T22" s="19" t="s">
        <v>146</v>
      </c>
      <c r="U22" s="122"/>
      <c r="V22" s="18" t="s">
        <v>147</v>
      </c>
      <c r="W22" s="122"/>
      <c r="X22" s="18" t="s">
        <v>148</v>
      </c>
      <c r="Y22" s="122"/>
      <c r="Z22" s="11" t="s">
        <v>236</v>
      </c>
    </row>
    <row r="23" spans="1:26" s="6" customFormat="1" ht="16" x14ac:dyDescent="0.2">
      <c r="A23" s="6" t="s">
        <v>230</v>
      </c>
      <c r="B23" s="18" t="s">
        <v>149</v>
      </c>
      <c r="C23" s="122"/>
      <c r="D23" s="18" t="s">
        <v>150</v>
      </c>
      <c r="E23" s="122"/>
      <c r="F23" s="18" t="s">
        <v>151</v>
      </c>
      <c r="G23" s="122"/>
      <c r="H23" s="19" t="s">
        <v>152</v>
      </c>
      <c r="I23" s="122"/>
      <c r="J23" s="19" t="s">
        <v>153</v>
      </c>
      <c r="K23" s="122"/>
      <c r="L23" s="19" t="s">
        <v>154</v>
      </c>
      <c r="M23" s="122"/>
      <c r="N23" s="18" t="s">
        <v>155</v>
      </c>
      <c r="O23" s="122"/>
      <c r="P23" s="19" t="s">
        <v>156</v>
      </c>
      <c r="Q23" s="122"/>
      <c r="R23" s="18" t="s">
        <v>157</v>
      </c>
      <c r="S23" s="122"/>
      <c r="T23" s="19" t="s">
        <v>158</v>
      </c>
      <c r="U23" s="122"/>
      <c r="V23" s="19" t="s">
        <v>159</v>
      </c>
      <c r="W23" s="122"/>
      <c r="X23" s="18" t="s">
        <v>160</v>
      </c>
      <c r="Y23" s="122"/>
      <c r="Z23" s="11" t="s">
        <v>231</v>
      </c>
    </row>
    <row r="24" spans="1:26" s="6" customFormat="1" ht="16" x14ac:dyDescent="0.2">
      <c r="A24" s="6" t="s">
        <v>109</v>
      </c>
      <c r="B24" s="13" t="s">
        <v>161</v>
      </c>
      <c r="C24" s="122"/>
      <c r="D24" s="13" t="s">
        <v>162</v>
      </c>
      <c r="E24" s="122"/>
      <c r="F24" s="13" t="s">
        <v>163</v>
      </c>
      <c r="G24" s="122"/>
      <c r="H24" s="13" t="s">
        <v>164</v>
      </c>
      <c r="I24" s="122"/>
      <c r="J24" s="13" t="s">
        <v>165</v>
      </c>
      <c r="K24" s="122"/>
      <c r="L24" s="13" t="s">
        <v>166</v>
      </c>
      <c r="M24" s="122"/>
      <c r="N24" s="13" t="s">
        <v>167</v>
      </c>
      <c r="O24" s="122"/>
      <c r="P24" s="13" t="s">
        <v>168</v>
      </c>
      <c r="Q24" s="122"/>
      <c r="R24" s="13" t="s">
        <v>169</v>
      </c>
      <c r="S24" s="122"/>
      <c r="T24" s="13" t="s">
        <v>170</v>
      </c>
      <c r="U24" s="122"/>
      <c r="V24" s="13" t="s">
        <v>171</v>
      </c>
      <c r="W24" s="122"/>
      <c r="X24" s="13" t="s">
        <v>172</v>
      </c>
      <c r="Y24" s="122"/>
      <c r="Z24" s="6" t="s">
        <v>232</v>
      </c>
    </row>
    <row r="25" spans="1:26" s="6" customFormat="1" ht="16" x14ac:dyDescent="0.2">
      <c r="A25" s="12" t="s">
        <v>110</v>
      </c>
      <c r="B25" s="19" t="s">
        <v>173</v>
      </c>
      <c r="C25" s="122"/>
      <c r="D25" s="19" t="s">
        <v>174</v>
      </c>
      <c r="E25" s="122"/>
      <c r="F25" s="18" t="s">
        <v>175</v>
      </c>
      <c r="G25" s="122"/>
      <c r="H25" s="19" t="s">
        <v>176</v>
      </c>
      <c r="I25" s="122"/>
      <c r="J25" s="18" t="s">
        <v>177</v>
      </c>
      <c r="K25" s="122"/>
      <c r="L25" s="21" t="s">
        <v>178</v>
      </c>
      <c r="M25" s="122"/>
      <c r="N25" s="19" t="s">
        <v>179</v>
      </c>
      <c r="O25" s="122"/>
      <c r="P25" s="18" t="s">
        <v>180</v>
      </c>
      <c r="Q25" s="122"/>
      <c r="R25" s="19" t="s">
        <v>181</v>
      </c>
      <c r="S25" s="122"/>
      <c r="T25" s="19" t="s">
        <v>182</v>
      </c>
      <c r="U25" s="122"/>
      <c r="V25" s="19" t="s">
        <v>183</v>
      </c>
      <c r="W25" s="122"/>
      <c r="X25" s="19" t="s">
        <v>184</v>
      </c>
      <c r="Y25" s="122"/>
      <c r="Z25" s="14" t="s">
        <v>233</v>
      </c>
    </row>
    <row r="26" spans="1:26" s="6" customFormat="1" ht="16" x14ac:dyDescent="0.2">
      <c r="A26" s="6" t="s">
        <v>111</v>
      </c>
      <c r="B26" s="19" t="s">
        <v>185</v>
      </c>
      <c r="C26" s="122"/>
      <c r="D26" s="19" t="s">
        <v>186</v>
      </c>
      <c r="E26" s="122"/>
      <c r="F26" s="13" t="s">
        <v>187</v>
      </c>
      <c r="G26" s="122"/>
      <c r="H26" s="13" t="s">
        <v>188</v>
      </c>
      <c r="I26" s="122"/>
      <c r="J26" s="13" t="s">
        <v>189</v>
      </c>
      <c r="K26" s="122"/>
      <c r="L26" s="13" t="s">
        <v>190</v>
      </c>
      <c r="M26" s="122"/>
      <c r="N26" s="13" t="s">
        <v>191</v>
      </c>
      <c r="O26" s="122"/>
      <c r="P26" s="13" t="s">
        <v>192</v>
      </c>
      <c r="Q26" s="122"/>
      <c r="R26" s="13" t="s">
        <v>193</v>
      </c>
      <c r="S26" s="122"/>
      <c r="T26" s="13" t="s">
        <v>194</v>
      </c>
      <c r="U26" s="122"/>
      <c r="V26" s="13" t="s">
        <v>195</v>
      </c>
      <c r="W26" s="122"/>
      <c r="X26" s="13" t="s">
        <v>196</v>
      </c>
      <c r="Y26" s="122"/>
      <c r="Z26" s="15" t="s">
        <v>234</v>
      </c>
    </row>
    <row r="27" spans="1:26" s="6" customFormat="1" ht="16" x14ac:dyDescent="0.2">
      <c r="A27" s="6" t="s">
        <v>112</v>
      </c>
      <c r="B27" s="13" t="s">
        <v>197</v>
      </c>
      <c r="C27" s="122"/>
      <c r="D27" s="13" t="s">
        <v>198</v>
      </c>
      <c r="E27" s="122"/>
      <c r="F27" s="13" t="s">
        <v>199</v>
      </c>
      <c r="G27" s="122"/>
      <c r="H27" s="13" t="s">
        <v>200</v>
      </c>
      <c r="I27" s="122"/>
      <c r="J27" s="13" t="s">
        <v>201</v>
      </c>
      <c r="K27" s="122"/>
      <c r="L27" s="13" t="s">
        <v>202</v>
      </c>
      <c r="M27" s="122"/>
      <c r="N27" s="13" t="s">
        <v>203</v>
      </c>
      <c r="O27" s="122"/>
      <c r="P27" s="13" t="s">
        <v>204</v>
      </c>
      <c r="Q27" s="122"/>
      <c r="R27" s="13" t="s">
        <v>205</v>
      </c>
      <c r="S27" s="122"/>
      <c r="T27" s="13" t="s">
        <v>206</v>
      </c>
      <c r="U27" s="122"/>
      <c r="V27" s="13" t="s">
        <v>207</v>
      </c>
      <c r="W27" s="122"/>
      <c r="X27" s="13" t="s">
        <v>208</v>
      </c>
      <c r="Y27" s="122"/>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355</v>
      </c>
      <c r="D29" s="34" t="s">
        <v>32</v>
      </c>
      <c r="E29" s="34" t="s">
        <v>355</v>
      </c>
      <c r="F29" s="34" t="s">
        <v>33</v>
      </c>
      <c r="G29" s="34" t="s">
        <v>355</v>
      </c>
      <c r="H29" s="34" t="s">
        <v>34</v>
      </c>
      <c r="I29" s="34" t="s">
        <v>355</v>
      </c>
      <c r="J29" s="34" t="s">
        <v>35</v>
      </c>
      <c r="K29" s="34" t="s">
        <v>355</v>
      </c>
      <c r="L29" s="34" t="s">
        <v>36</v>
      </c>
      <c r="M29" s="34" t="s">
        <v>355</v>
      </c>
      <c r="N29" s="34" t="s">
        <v>37</v>
      </c>
      <c r="O29" s="34" t="s">
        <v>355</v>
      </c>
      <c r="P29" s="34" t="s">
        <v>38</v>
      </c>
      <c r="Q29" s="34" t="s">
        <v>355</v>
      </c>
      <c r="R29" s="34" t="s">
        <v>39</v>
      </c>
      <c r="S29" s="34" t="s">
        <v>355</v>
      </c>
      <c r="T29" s="34" t="s">
        <v>40</v>
      </c>
      <c r="U29" s="34" t="s">
        <v>355</v>
      </c>
      <c r="V29" s="34" t="s">
        <v>41</v>
      </c>
      <c r="W29" s="34" t="s">
        <v>355</v>
      </c>
      <c r="X29" s="34" t="s">
        <v>42</v>
      </c>
      <c r="Y29" s="34" t="s">
        <v>355</v>
      </c>
    </row>
    <row r="30" spans="1:26" s="34" customFormat="1" x14ac:dyDescent="0.15">
      <c r="A30" s="35" t="s">
        <v>488</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489</v>
      </c>
      <c r="C33" s="121" t="s">
        <v>368</v>
      </c>
      <c r="D33" s="19" t="s">
        <v>50</v>
      </c>
      <c r="E33" s="121" t="s">
        <v>367</v>
      </c>
      <c r="F33" s="18" t="s">
        <v>55</v>
      </c>
      <c r="G33" s="121" t="s">
        <v>357</v>
      </c>
      <c r="H33" s="19" t="s">
        <v>60</v>
      </c>
      <c r="I33" s="121" t="s">
        <v>358</v>
      </c>
      <c r="J33" s="19" t="s">
        <v>65</v>
      </c>
      <c r="K33" s="121" t="s">
        <v>359</v>
      </c>
      <c r="L33" s="20" t="s">
        <v>70</v>
      </c>
      <c r="M33" s="121" t="s">
        <v>360</v>
      </c>
      <c r="N33" s="22" t="s">
        <v>75</v>
      </c>
      <c r="O33" s="121" t="s">
        <v>361</v>
      </c>
      <c r="P33" s="20" t="s">
        <v>80</v>
      </c>
      <c r="Q33" s="121" t="s">
        <v>362</v>
      </c>
      <c r="R33" s="22" t="s">
        <v>85</v>
      </c>
      <c r="S33" s="121" t="s">
        <v>364</v>
      </c>
      <c r="T33" s="20" t="s">
        <v>89</v>
      </c>
      <c r="U33" s="121" t="s">
        <v>365</v>
      </c>
      <c r="V33" s="22" t="s">
        <v>94</v>
      </c>
      <c r="W33" s="121" t="s">
        <v>366</v>
      </c>
      <c r="X33" s="22" t="s">
        <v>99</v>
      </c>
      <c r="Y33" s="121" t="s">
        <v>369</v>
      </c>
      <c r="Z33" s="2" t="s">
        <v>352</v>
      </c>
    </row>
    <row r="34" spans="1:26" s="6" customFormat="1" ht="16" x14ac:dyDescent="0.2">
      <c r="A34" s="6" t="s">
        <v>46</v>
      </c>
      <c r="B34" s="20" t="s">
        <v>490</v>
      </c>
      <c r="C34" s="122"/>
      <c r="D34" s="18" t="s">
        <v>51</v>
      </c>
      <c r="E34" s="122"/>
      <c r="F34" s="18" t="s">
        <v>56</v>
      </c>
      <c r="G34" s="122"/>
      <c r="H34" s="19" t="s">
        <v>61</v>
      </c>
      <c r="I34" s="122"/>
      <c r="J34" s="19" t="s">
        <v>66</v>
      </c>
      <c r="K34" s="122"/>
      <c r="L34" s="20" t="s">
        <v>71</v>
      </c>
      <c r="M34" s="122"/>
      <c r="N34" s="22" t="s">
        <v>76</v>
      </c>
      <c r="O34" s="122"/>
      <c r="P34" s="20" t="s">
        <v>81</v>
      </c>
      <c r="Q34" s="122"/>
      <c r="R34" s="22" t="s">
        <v>86</v>
      </c>
      <c r="S34" s="122"/>
      <c r="T34" s="20" t="s">
        <v>90</v>
      </c>
      <c r="U34" s="122"/>
      <c r="V34" s="22" t="s">
        <v>95</v>
      </c>
      <c r="W34" s="122"/>
      <c r="X34" s="20" t="s">
        <v>354</v>
      </c>
      <c r="Y34" s="122"/>
      <c r="Z34" s="2" t="s">
        <v>353</v>
      </c>
    </row>
    <row r="35" spans="1:26" s="6" customFormat="1" ht="16" x14ac:dyDescent="0.2">
      <c r="A35" s="6" t="s">
        <v>47</v>
      </c>
      <c r="B35" s="20" t="s">
        <v>491</v>
      </c>
      <c r="C35" s="122"/>
      <c r="D35" s="19" t="s">
        <v>52</v>
      </c>
      <c r="E35" s="122"/>
      <c r="F35" s="18" t="s">
        <v>57</v>
      </c>
      <c r="G35" s="122"/>
      <c r="H35" s="19" t="s">
        <v>62</v>
      </c>
      <c r="I35" s="122"/>
      <c r="J35" s="18" t="s">
        <v>67</v>
      </c>
      <c r="K35" s="122"/>
      <c r="L35" s="22" t="s">
        <v>72</v>
      </c>
      <c r="M35" s="122"/>
      <c r="N35" s="20" t="s">
        <v>77</v>
      </c>
      <c r="O35" s="122"/>
      <c r="P35" s="20" t="s">
        <v>82</v>
      </c>
      <c r="Q35" s="122"/>
      <c r="R35" s="22" t="s">
        <v>87</v>
      </c>
      <c r="S35" s="122"/>
      <c r="T35" s="20" t="s">
        <v>91</v>
      </c>
      <c r="U35" s="122"/>
      <c r="V35" s="22" t="s">
        <v>96</v>
      </c>
      <c r="W35" s="122"/>
      <c r="X35" s="20" t="s">
        <v>100</v>
      </c>
      <c r="Y35" s="122"/>
      <c r="Z35" s="2" t="s">
        <v>356</v>
      </c>
    </row>
    <row r="36" spans="1:26" s="6" customFormat="1" ht="16" x14ac:dyDescent="0.2">
      <c r="A36" s="6" t="s">
        <v>48</v>
      </c>
      <c r="B36" s="24" t="s">
        <v>492</v>
      </c>
      <c r="C36" s="122"/>
      <c r="D36" s="19" t="s">
        <v>53</v>
      </c>
      <c r="E36" s="122"/>
      <c r="F36" s="18" t="s">
        <v>58</v>
      </c>
      <c r="G36" s="122"/>
      <c r="H36" s="19" t="s">
        <v>63</v>
      </c>
      <c r="I36" s="122"/>
      <c r="J36" s="19" t="s">
        <v>68</v>
      </c>
      <c r="K36" s="122"/>
      <c r="L36" s="20" t="s">
        <v>73</v>
      </c>
      <c r="M36" s="122"/>
      <c r="N36" s="22" t="s">
        <v>78</v>
      </c>
      <c r="O36" s="122"/>
      <c r="P36" s="20" t="s">
        <v>83</v>
      </c>
      <c r="Q36" s="122"/>
      <c r="R36" s="22" t="s">
        <v>363</v>
      </c>
      <c r="S36" s="122"/>
      <c r="T36" s="20" t="s">
        <v>92</v>
      </c>
      <c r="U36" s="122"/>
      <c r="V36" s="24" t="s">
        <v>97</v>
      </c>
      <c r="W36" s="122"/>
      <c r="X36" s="24" t="s">
        <v>101</v>
      </c>
      <c r="Y36" s="122"/>
      <c r="Z36" s="2" t="s">
        <v>209</v>
      </c>
    </row>
    <row r="37" spans="1:26" s="6" customFormat="1" ht="16" x14ac:dyDescent="0.2">
      <c r="A37" s="6" t="s">
        <v>49</v>
      </c>
      <c r="B37" s="11" t="s">
        <v>493</v>
      </c>
      <c r="C37" s="122"/>
      <c r="D37" s="13" t="s">
        <v>54</v>
      </c>
      <c r="E37" s="122"/>
      <c r="F37" s="13" t="s">
        <v>59</v>
      </c>
      <c r="G37" s="122"/>
      <c r="H37" s="13" t="s">
        <v>64</v>
      </c>
      <c r="I37" s="122"/>
      <c r="J37" s="13" t="s">
        <v>69</v>
      </c>
      <c r="K37" s="122"/>
      <c r="L37" s="2" t="s">
        <v>74</v>
      </c>
      <c r="M37" s="122"/>
      <c r="N37" s="2" t="s">
        <v>79</v>
      </c>
      <c r="O37" s="122"/>
      <c r="P37" s="2" t="s">
        <v>84</v>
      </c>
      <c r="Q37" s="122"/>
      <c r="R37" s="2" t="s">
        <v>88</v>
      </c>
      <c r="S37" s="122"/>
      <c r="T37" s="2" t="s">
        <v>93</v>
      </c>
      <c r="U37" s="122"/>
      <c r="V37" s="2" t="s">
        <v>98</v>
      </c>
      <c r="W37" s="122"/>
      <c r="X37" s="11" t="s">
        <v>102</v>
      </c>
      <c r="Y37" s="122"/>
      <c r="Z37" s="2" t="s">
        <v>210</v>
      </c>
    </row>
    <row r="38" spans="1:26" s="6" customFormat="1" ht="16" x14ac:dyDescent="0.2">
      <c r="A38" s="6" t="s">
        <v>108</v>
      </c>
      <c r="B38" s="18" t="s">
        <v>494</v>
      </c>
      <c r="C38" s="122"/>
      <c r="D38" s="19" t="s">
        <v>114</v>
      </c>
      <c r="E38" s="122"/>
      <c r="F38" s="18" t="s">
        <v>115</v>
      </c>
      <c r="G38" s="122"/>
      <c r="H38" s="18" t="s">
        <v>116</v>
      </c>
      <c r="I38" s="122"/>
      <c r="J38" s="19" t="s">
        <v>117</v>
      </c>
      <c r="K38" s="122"/>
      <c r="L38" s="19" t="s">
        <v>118</v>
      </c>
      <c r="M38" s="122"/>
      <c r="N38" s="18" t="s">
        <v>119</v>
      </c>
      <c r="O38" s="122"/>
      <c r="P38" s="18" t="s">
        <v>120</v>
      </c>
      <c r="Q38" s="122"/>
      <c r="R38" s="18" t="s">
        <v>121</v>
      </c>
      <c r="S38" s="122"/>
      <c r="T38" s="19" t="s">
        <v>122</v>
      </c>
      <c r="U38" s="122"/>
      <c r="V38" s="18" t="s">
        <v>123</v>
      </c>
      <c r="W38" s="122"/>
      <c r="X38" s="18" t="s">
        <v>124</v>
      </c>
      <c r="Y38" s="122"/>
      <c r="Z38" s="11" t="s">
        <v>227</v>
      </c>
    </row>
    <row r="39" spans="1:26" s="6" customFormat="1" ht="16" x14ac:dyDescent="0.2">
      <c r="A39" s="12" t="s">
        <v>228</v>
      </c>
      <c r="B39" s="13" t="s">
        <v>495</v>
      </c>
      <c r="C39" s="122"/>
      <c r="D39" s="13" t="s">
        <v>126</v>
      </c>
      <c r="E39" s="122"/>
      <c r="F39" s="13" t="s">
        <v>127</v>
      </c>
      <c r="G39" s="122"/>
      <c r="H39" s="13" t="s">
        <v>128</v>
      </c>
      <c r="I39" s="122"/>
      <c r="J39" s="13" t="s">
        <v>129</v>
      </c>
      <c r="K39" s="122"/>
      <c r="L39" s="13" t="s">
        <v>130</v>
      </c>
      <c r="M39" s="122"/>
      <c r="N39" s="13" t="s">
        <v>131</v>
      </c>
      <c r="O39" s="122"/>
      <c r="P39" s="13" t="s">
        <v>132</v>
      </c>
      <c r="Q39" s="122"/>
      <c r="R39" s="13" t="s">
        <v>133</v>
      </c>
      <c r="S39" s="122"/>
      <c r="T39" s="13" t="s">
        <v>134</v>
      </c>
      <c r="U39" s="122"/>
      <c r="V39" s="13" t="s">
        <v>135</v>
      </c>
      <c r="W39" s="122"/>
      <c r="X39" s="13" t="s">
        <v>136</v>
      </c>
      <c r="Y39" s="122"/>
      <c r="Z39" s="11" t="s">
        <v>229</v>
      </c>
    </row>
    <row r="40" spans="1:26" s="6" customFormat="1" ht="16" x14ac:dyDescent="0.2">
      <c r="A40" s="12" t="s">
        <v>235</v>
      </c>
      <c r="B40" s="18" t="s">
        <v>496</v>
      </c>
      <c r="C40" s="122"/>
      <c r="D40" s="19" t="s">
        <v>138</v>
      </c>
      <c r="E40" s="122"/>
      <c r="F40" s="18" t="s">
        <v>139</v>
      </c>
      <c r="G40" s="122"/>
      <c r="H40" s="19" t="s">
        <v>140</v>
      </c>
      <c r="I40" s="122"/>
      <c r="J40" s="19" t="s">
        <v>141</v>
      </c>
      <c r="K40" s="122"/>
      <c r="L40" s="19" t="s">
        <v>142</v>
      </c>
      <c r="M40" s="122"/>
      <c r="N40" s="18" t="s">
        <v>143</v>
      </c>
      <c r="O40" s="122"/>
      <c r="P40" s="19" t="s">
        <v>144</v>
      </c>
      <c r="Q40" s="122"/>
      <c r="R40" s="18" t="s">
        <v>145</v>
      </c>
      <c r="S40" s="122"/>
      <c r="T40" s="19" t="s">
        <v>146</v>
      </c>
      <c r="U40" s="122"/>
      <c r="V40" s="18" t="s">
        <v>147</v>
      </c>
      <c r="W40" s="122"/>
      <c r="X40" s="18" t="s">
        <v>148</v>
      </c>
      <c r="Y40" s="122"/>
      <c r="Z40" s="11" t="s">
        <v>236</v>
      </c>
    </row>
    <row r="41" spans="1:26" s="6" customFormat="1" ht="16" x14ac:dyDescent="0.2">
      <c r="A41" s="6" t="s">
        <v>230</v>
      </c>
      <c r="B41" s="18" t="s">
        <v>497</v>
      </c>
      <c r="C41" s="122"/>
      <c r="D41" s="18" t="s">
        <v>150</v>
      </c>
      <c r="E41" s="122"/>
      <c r="F41" s="18" t="s">
        <v>151</v>
      </c>
      <c r="G41" s="122"/>
      <c r="H41" s="19" t="s">
        <v>152</v>
      </c>
      <c r="I41" s="122"/>
      <c r="J41" s="19" t="s">
        <v>153</v>
      </c>
      <c r="K41" s="122"/>
      <c r="L41" s="19" t="s">
        <v>154</v>
      </c>
      <c r="M41" s="122"/>
      <c r="N41" s="18" t="s">
        <v>155</v>
      </c>
      <c r="O41" s="122"/>
      <c r="P41" s="19" t="s">
        <v>156</v>
      </c>
      <c r="Q41" s="122"/>
      <c r="R41" s="18" t="s">
        <v>157</v>
      </c>
      <c r="S41" s="122"/>
      <c r="T41" s="19" t="s">
        <v>158</v>
      </c>
      <c r="U41" s="122"/>
      <c r="V41" s="19" t="s">
        <v>159</v>
      </c>
      <c r="W41" s="122"/>
      <c r="X41" s="18" t="s">
        <v>160</v>
      </c>
      <c r="Y41" s="122"/>
      <c r="Z41" s="11" t="s">
        <v>231</v>
      </c>
    </row>
    <row r="42" spans="1:26" s="6" customFormat="1" ht="16" x14ac:dyDescent="0.2">
      <c r="A42" s="6" t="s">
        <v>109</v>
      </c>
      <c r="B42" s="13" t="s">
        <v>498</v>
      </c>
      <c r="C42" s="122"/>
      <c r="D42" s="13" t="s">
        <v>162</v>
      </c>
      <c r="E42" s="122"/>
      <c r="F42" s="13" t="s">
        <v>163</v>
      </c>
      <c r="G42" s="122"/>
      <c r="H42" s="13" t="s">
        <v>164</v>
      </c>
      <c r="I42" s="122"/>
      <c r="J42" s="13" t="s">
        <v>165</v>
      </c>
      <c r="K42" s="122"/>
      <c r="L42" s="13" t="s">
        <v>166</v>
      </c>
      <c r="M42" s="122"/>
      <c r="N42" s="13" t="s">
        <v>167</v>
      </c>
      <c r="O42" s="122"/>
      <c r="P42" s="13" t="s">
        <v>168</v>
      </c>
      <c r="Q42" s="122"/>
      <c r="R42" s="13" t="s">
        <v>169</v>
      </c>
      <c r="S42" s="122"/>
      <c r="T42" s="13" t="s">
        <v>170</v>
      </c>
      <c r="U42" s="122"/>
      <c r="V42" s="13" t="s">
        <v>171</v>
      </c>
      <c r="W42" s="122"/>
      <c r="X42" s="13" t="s">
        <v>172</v>
      </c>
      <c r="Y42" s="122"/>
      <c r="Z42" s="6" t="s">
        <v>232</v>
      </c>
    </row>
    <row r="43" spans="1:26" s="6" customFormat="1" ht="16" x14ac:dyDescent="0.2">
      <c r="A43" s="12" t="s">
        <v>110</v>
      </c>
      <c r="B43" s="19" t="s">
        <v>499</v>
      </c>
      <c r="C43" s="122"/>
      <c r="D43" s="19" t="s">
        <v>174</v>
      </c>
      <c r="E43" s="122"/>
      <c r="F43" s="18" t="s">
        <v>175</v>
      </c>
      <c r="G43" s="122"/>
      <c r="H43" s="19" t="s">
        <v>176</v>
      </c>
      <c r="I43" s="122"/>
      <c r="J43" s="18" t="s">
        <v>177</v>
      </c>
      <c r="K43" s="122"/>
      <c r="L43" s="21" t="s">
        <v>178</v>
      </c>
      <c r="M43" s="122"/>
      <c r="N43" s="19" t="s">
        <v>179</v>
      </c>
      <c r="O43" s="122"/>
      <c r="P43" s="18" t="s">
        <v>180</v>
      </c>
      <c r="Q43" s="122"/>
      <c r="R43" s="19" t="s">
        <v>181</v>
      </c>
      <c r="S43" s="122"/>
      <c r="T43" s="19" t="s">
        <v>182</v>
      </c>
      <c r="U43" s="122"/>
      <c r="V43" s="19" t="s">
        <v>183</v>
      </c>
      <c r="W43" s="122"/>
      <c r="X43" s="19" t="s">
        <v>184</v>
      </c>
      <c r="Y43" s="122"/>
      <c r="Z43" s="14" t="s">
        <v>233</v>
      </c>
    </row>
    <row r="44" spans="1:26" s="6" customFormat="1" ht="16" x14ac:dyDescent="0.2">
      <c r="A44" s="6" t="s">
        <v>111</v>
      </c>
      <c r="B44" s="13" t="s">
        <v>500</v>
      </c>
      <c r="C44" s="122"/>
      <c r="D44" s="19" t="s">
        <v>186</v>
      </c>
      <c r="E44" s="122"/>
      <c r="F44" s="13" t="s">
        <v>187</v>
      </c>
      <c r="G44" s="122"/>
      <c r="H44" s="13" t="s">
        <v>188</v>
      </c>
      <c r="I44" s="122"/>
      <c r="J44" s="13" t="s">
        <v>189</v>
      </c>
      <c r="K44" s="122"/>
      <c r="L44" s="13" t="s">
        <v>190</v>
      </c>
      <c r="M44" s="122"/>
      <c r="N44" s="13" t="s">
        <v>191</v>
      </c>
      <c r="O44" s="122"/>
      <c r="P44" s="13" t="s">
        <v>192</v>
      </c>
      <c r="Q44" s="122"/>
      <c r="R44" s="13" t="s">
        <v>193</v>
      </c>
      <c r="S44" s="122"/>
      <c r="T44" s="13" t="s">
        <v>194</v>
      </c>
      <c r="U44" s="122"/>
      <c r="V44" s="13" t="s">
        <v>195</v>
      </c>
      <c r="W44" s="122"/>
      <c r="X44" s="13" t="s">
        <v>196</v>
      </c>
      <c r="Y44" s="122"/>
      <c r="Z44" s="15" t="s">
        <v>234</v>
      </c>
    </row>
    <row r="45" spans="1:26" s="6" customFormat="1" ht="16" x14ac:dyDescent="0.2">
      <c r="A45" s="6" t="s">
        <v>112</v>
      </c>
      <c r="B45" s="13" t="s">
        <v>501</v>
      </c>
      <c r="C45" s="122"/>
      <c r="D45" s="13" t="s">
        <v>198</v>
      </c>
      <c r="E45" s="122"/>
      <c r="F45" s="13" t="s">
        <v>199</v>
      </c>
      <c r="G45" s="122"/>
      <c r="H45" s="13" t="s">
        <v>200</v>
      </c>
      <c r="I45" s="122"/>
      <c r="J45" s="13" t="s">
        <v>201</v>
      </c>
      <c r="K45" s="122"/>
      <c r="L45" s="13" t="s">
        <v>202</v>
      </c>
      <c r="M45" s="122"/>
      <c r="N45" s="13" t="s">
        <v>203</v>
      </c>
      <c r="O45" s="122"/>
      <c r="P45" s="13" t="s">
        <v>204</v>
      </c>
      <c r="Q45" s="122"/>
      <c r="R45" s="13" t="s">
        <v>205</v>
      </c>
      <c r="S45" s="122"/>
      <c r="T45" s="13" t="s">
        <v>206</v>
      </c>
      <c r="U45" s="122"/>
      <c r="V45" s="13" t="s">
        <v>207</v>
      </c>
      <c r="W45" s="122"/>
      <c r="X45" s="13" t="s">
        <v>208</v>
      </c>
      <c r="Y45" s="122"/>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502</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376</v>
      </c>
      <c r="B57" s="123" t="s">
        <v>429</v>
      </c>
      <c r="C57" s="124"/>
      <c r="D57" s="124"/>
      <c r="E57" s="124"/>
      <c r="F57" s="124"/>
      <c r="G57" s="124"/>
      <c r="H57" s="124"/>
      <c r="I57" s="124"/>
      <c r="J57" s="124"/>
      <c r="K57" s="124"/>
      <c r="L57" s="124"/>
      <c r="M57" s="124"/>
      <c r="N57" s="124"/>
      <c r="O57" s="124"/>
      <c r="P57" s="124"/>
      <c r="Q57" s="26"/>
      <c r="R57" s="26"/>
    </row>
    <row r="58" spans="1:24" s="6" customFormat="1" ht="96" customHeight="1" x14ac:dyDescent="0.15">
      <c r="A58" s="28" t="s">
        <v>377</v>
      </c>
      <c r="B58" s="123" t="s">
        <v>378</v>
      </c>
      <c r="C58" s="124"/>
      <c r="D58" s="124"/>
      <c r="E58" s="124"/>
      <c r="F58" s="124"/>
      <c r="G58" s="124"/>
      <c r="H58" s="124"/>
      <c r="I58" s="124"/>
      <c r="J58" s="124"/>
      <c r="K58" s="124"/>
      <c r="L58" s="124"/>
      <c r="M58" s="124"/>
      <c r="N58" s="124"/>
      <c r="O58" s="124"/>
      <c r="P58" s="124"/>
      <c r="Q58" s="16"/>
      <c r="R58" s="16"/>
    </row>
    <row r="59" spans="1:24" s="6" customFormat="1" ht="44" customHeight="1" x14ac:dyDescent="0.15">
      <c r="A59" s="28" t="s">
        <v>384</v>
      </c>
      <c r="B59" s="127" t="s">
        <v>383</v>
      </c>
      <c r="C59" s="128"/>
      <c r="D59" s="128"/>
      <c r="E59" s="128"/>
      <c r="F59" s="128"/>
      <c r="G59" s="128"/>
      <c r="H59" s="128"/>
      <c r="I59" s="128"/>
      <c r="J59" s="128"/>
      <c r="K59" s="128"/>
      <c r="L59" s="128"/>
      <c r="M59" s="128"/>
      <c r="N59" s="128"/>
      <c r="O59" s="128"/>
      <c r="P59" s="128"/>
      <c r="Q59" s="16"/>
      <c r="R59" s="16"/>
    </row>
    <row r="60" spans="1:24" s="6" customFormat="1" ht="73" customHeight="1" x14ac:dyDescent="0.15">
      <c r="A60" s="31" t="s">
        <v>385</v>
      </c>
      <c r="B60" s="127" t="s">
        <v>386</v>
      </c>
      <c r="C60" s="128"/>
      <c r="D60" s="128"/>
      <c r="E60" s="128"/>
      <c r="F60" s="128"/>
      <c r="G60" s="128"/>
      <c r="H60" s="128"/>
      <c r="I60" s="128"/>
      <c r="J60" s="128"/>
      <c r="K60" s="128"/>
      <c r="L60" s="128"/>
      <c r="M60" s="128"/>
      <c r="N60" s="128"/>
      <c r="O60" s="128"/>
      <c r="P60" s="128"/>
      <c r="Q60" s="16"/>
      <c r="R60" s="16"/>
    </row>
    <row r="61" spans="1:24" s="6" customFormat="1" ht="79" customHeight="1" x14ac:dyDescent="0.15">
      <c r="A61" s="31" t="s">
        <v>387</v>
      </c>
      <c r="B61" s="127" t="s">
        <v>388</v>
      </c>
      <c r="C61" s="128"/>
      <c r="D61" s="128"/>
      <c r="E61" s="128"/>
      <c r="F61" s="128"/>
      <c r="G61" s="128"/>
      <c r="H61" s="128"/>
      <c r="I61" s="128"/>
      <c r="J61" s="128"/>
      <c r="K61" s="128"/>
      <c r="L61" s="128"/>
      <c r="M61" s="128"/>
      <c r="N61" s="128"/>
      <c r="O61" s="128"/>
      <c r="P61" s="128"/>
      <c r="Q61" s="16"/>
      <c r="R61" s="16"/>
    </row>
    <row r="62" spans="1:24" x14ac:dyDescent="0.15">
      <c r="A62" s="1" t="s">
        <v>515</v>
      </c>
      <c r="B62" t="s">
        <v>516</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372</v>
      </c>
      <c r="B68">
        <v>1.7</v>
      </c>
      <c r="D68">
        <v>1.5</v>
      </c>
      <c r="F68">
        <v>2.2999999999999998</v>
      </c>
      <c r="H68">
        <v>2.5</v>
      </c>
      <c r="J68">
        <v>2.7</v>
      </c>
      <c r="L68">
        <v>2.7</v>
      </c>
      <c r="N68">
        <v>2.8</v>
      </c>
      <c r="P68">
        <v>2.8</v>
      </c>
      <c r="R68">
        <v>3</v>
      </c>
      <c r="T68">
        <v>3.8</v>
      </c>
      <c r="V68">
        <v>4.5</v>
      </c>
      <c r="X68">
        <v>4.5</v>
      </c>
      <c r="Z68" s="128" t="s">
        <v>374</v>
      </c>
    </row>
    <row r="69" spans="1:26" x14ac:dyDescent="0.15">
      <c r="A69" s="1" t="s">
        <v>373</v>
      </c>
      <c r="B69">
        <v>0.1</v>
      </c>
      <c r="D69">
        <v>0.1</v>
      </c>
      <c r="F69">
        <v>0.4</v>
      </c>
      <c r="H69">
        <v>0.9</v>
      </c>
      <c r="J69">
        <v>0.6</v>
      </c>
      <c r="L69">
        <v>0</v>
      </c>
      <c r="N69">
        <v>-0.3</v>
      </c>
      <c r="P69">
        <v>-0.8</v>
      </c>
      <c r="R69">
        <v>-1.2</v>
      </c>
      <c r="T69">
        <v>-1.6</v>
      </c>
      <c r="V69">
        <v>-1.4</v>
      </c>
      <c r="X69">
        <v>-0.5</v>
      </c>
      <c r="Z69" s="128"/>
    </row>
    <row r="70" spans="1:26" x14ac:dyDescent="0.15">
      <c r="A70" s="1" t="s">
        <v>375</v>
      </c>
      <c r="B70" s="27">
        <v>-1.6</v>
      </c>
      <c r="C70" s="27"/>
      <c r="D70">
        <v>-1.4</v>
      </c>
      <c r="F70">
        <v>-1.9</v>
      </c>
      <c r="H70">
        <v>-1.6</v>
      </c>
      <c r="J70">
        <v>-2.1</v>
      </c>
      <c r="L70">
        <v>-2.7</v>
      </c>
      <c r="N70">
        <v>-3.1</v>
      </c>
      <c r="P70">
        <v>-3.6</v>
      </c>
      <c r="R70">
        <v>-4.2</v>
      </c>
      <c r="T70">
        <v>-5.4</v>
      </c>
      <c r="V70">
        <v>-5.9</v>
      </c>
      <c r="X70">
        <v>-5</v>
      </c>
      <c r="Z70" s="124"/>
    </row>
    <row r="71" spans="1:26" x14ac:dyDescent="0.15">
      <c r="Z71" s="124"/>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405</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406</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407</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408</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409</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410</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411</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412</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413</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414</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415</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416</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417</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418</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419</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420</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517</v>
      </c>
      <c r="B100">
        <v>4.1500000000000004</v>
      </c>
      <c r="D100">
        <v>4.05</v>
      </c>
      <c r="R100">
        <v>4.2</v>
      </c>
      <c r="T100">
        <v>4.2</v>
      </c>
      <c r="V100">
        <v>4.1500000000000004</v>
      </c>
      <c r="X100">
        <v>4.1500000000000004</v>
      </c>
    </row>
    <row r="101" spans="1:25" x14ac:dyDescent="0.15">
      <c r="A101" s="1" t="s">
        <v>518</v>
      </c>
      <c r="B101">
        <v>4.8</v>
      </c>
      <c r="D101">
        <v>4.75</v>
      </c>
      <c r="R101">
        <v>4.8499999999999996</v>
      </c>
      <c r="T101">
        <v>4.8499999999999996</v>
      </c>
      <c r="V101">
        <v>4.8</v>
      </c>
      <c r="X101">
        <v>4.8</v>
      </c>
    </row>
    <row r="102" spans="1:25" ht="33" x14ac:dyDescent="0.3">
      <c r="A102" s="33"/>
    </row>
    <row r="103" spans="1:25" s="34" customFormat="1" x14ac:dyDescent="0.15">
      <c r="A103" s="34" t="s">
        <v>421</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398</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399</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404</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393</v>
      </c>
      <c r="D108">
        <v>4.3</v>
      </c>
      <c r="F108">
        <v>7.1</v>
      </c>
      <c r="H108">
        <v>3.4</v>
      </c>
      <c r="J108">
        <v>3.5</v>
      </c>
      <c r="L108">
        <v>5.4</v>
      </c>
      <c r="N108" s="2">
        <v>3.8</v>
      </c>
      <c r="P108" s="2">
        <v>1.2</v>
      </c>
      <c r="R108" s="2">
        <v>3.3</v>
      </c>
      <c r="T108" s="2">
        <v>3</v>
      </c>
      <c r="V108" s="2">
        <v>7.9</v>
      </c>
      <c r="X108">
        <v>7.7</v>
      </c>
    </row>
    <row r="109" spans="1:25" ht="16" x14ac:dyDescent="0.2">
      <c r="A109" s="1" t="s">
        <v>400</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396</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394</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395</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424</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423</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397</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391</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422</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403</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390</v>
      </c>
      <c r="D119">
        <v>6</v>
      </c>
      <c r="F119">
        <v>10.199999999999999</v>
      </c>
      <c r="H119">
        <v>12.4</v>
      </c>
      <c r="J119">
        <v>10.6</v>
      </c>
      <c r="L119">
        <v>10.4</v>
      </c>
      <c r="N119">
        <v>6.1</v>
      </c>
      <c r="P119">
        <v>4.7</v>
      </c>
      <c r="R119">
        <v>11.4</v>
      </c>
      <c r="T119">
        <v>8.1999999999999993</v>
      </c>
      <c r="V119">
        <v>9.6999999999999993</v>
      </c>
      <c r="X119">
        <v>11.6</v>
      </c>
    </row>
    <row r="120" spans="1:25" ht="16" x14ac:dyDescent="0.2">
      <c r="A120" s="2" t="s">
        <v>402</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933</v>
      </c>
      <c r="B122" s="34">
        <v>1</v>
      </c>
      <c r="D122" s="34">
        <v>2</v>
      </c>
      <c r="F122" s="34">
        <v>3</v>
      </c>
      <c r="H122" s="34">
        <v>4</v>
      </c>
      <c r="J122" s="34">
        <v>5</v>
      </c>
      <c r="L122" s="34">
        <v>6</v>
      </c>
      <c r="N122" s="34">
        <v>7</v>
      </c>
      <c r="P122" s="34">
        <v>8</v>
      </c>
      <c r="R122" s="34">
        <v>9</v>
      </c>
      <c r="T122" s="34">
        <v>10</v>
      </c>
      <c r="V122" s="34">
        <v>11</v>
      </c>
      <c r="X122" s="34">
        <v>12</v>
      </c>
    </row>
    <row r="123" spans="1:25" ht="16" x14ac:dyDescent="0.2">
      <c r="A123" s="12" t="s">
        <v>934</v>
      </c>
      <c r="B123">
        <f>SUM(D123:X123)</f>
        <v>232236</v>
      </c>
      <c r="D123" s="13">
        <v>21181</v>
      </c>
      <c r="E123" s="2"/>
      <c r="F123" s="2">
        <v>17971</v>
      </c>
      <c r="G123" s="2"/>
      <c r="H123" s="2">
        <v>21345</v>
      </c>
      <c r="I123" s="2"/>
      <c r="J123" s="13">
        <v>22696</v>
      </c>
      <c r="K123" s="2"/>
      <c r="L123" s="2">
        <v>20986</v>
      </c>
      <c r="M123" s="2"/>
      <c r="N123" s="2">
        <v>21003</v>
      </c>
      <c r="O123" s="2"/>
      <c r="P123" s="2">
        <v>21018</v>
      </c>
      <c r="Q123" s="2"/>
      <c r="R123" s="2">
        <v>21765</v>
      </c>
      <c r="S123" s="2"/>
      <c r="T123" s="2">
        <v>21849</v>
      </c>
      <c r="U123" s="2"/>
      <c r="V123" s="2">
        <v>22487</v>
      </c>
      <c r="W123" s="2"/>
      <c r="X123" s="2">
        <v>19935</v>
      </c>
      <c r="Y123" s="2"/>
    </row>
    <row r="124" spans="1:25" ht="16" x14ac:dyDescent="0.2">
      <c r="A124" s="12" t="s">
        <v>935</v>
      </c>
      <c r="B124">
        <f t="shared" ref="B124:B132" si="0">SUM(D124:X124)</f>
        <v>167918</v>
      </c>
      <c r="D124" s="13">
        <v>20041</v>
      </c>
      <c r="E124" s="2"/>
      <c r="F124" s="2">
        <v>13696</v>
      </c>
      <c r="G124" s="2"/>
      <c r="H124" s="13">
        <v>12917</v>
      </c>
      <c r="I124" s="1"/>
      <c r="J124" s="13">
        <v>13317</v>
      </c>
      <c r="K124" s="2"/>
      <c r="L124" s="2">
        <v>13680</v>
      </c>
      <c r="M124" s="2"/>
      <c r="N124" s="13">
        <v>15478</v>
      </c>
      <c r="O124" s="2"/>
      <c r="P124" s="2">
        <v>14600</v>
      </c>
      <c r="Q124" s="2"/>
      <c r="R124" s="13">
        <v>13726</v>
      </c>
      <c r="S124" s="2"/>
      <c r="T124" s="2">
        <v>14369</v>
      </c>
      <c r="U124" s="2"/>
      <c r="V124" s="2">
        <v>16080</v>
      </c>
      <c r="W124" s="2"/>
      <c r="X124" s="2">
        <v>20014</v>
      </c>
      <c r="Y124" s="2"/>
    </row>
    <row r="125" spans="1:25" ht="16" x14ac:dyDescent="0.2">
      <c r="A125" s="12" t="s">
        <v>936</v>
      </c>
      <c r="B125">
        <f t="shared" si="0"/>
        <v>2580.4000000000005</v>
      </c>
      <c r="D125" s="13">
        <v>372</v>
      </c>
      <c r="E125" s="2"/>
      <c r="F125" s="2">
        <v>258.7</v>
      </c>
      <c r="G125" s="2"/>
      <c r="H125" s="2">
        <v>202</v>
      </c>
      <c r="I125" s="2"/>
      <c r="J125" s="13">
        <v>185.1</v>
      </c>
      <c r="K125" s="2"/>
      <c r="L125" s="2">
        <v>196</v>
      </c>
      <c r="M125" s="2"/>
      <c r="N125" s="2">
        <v>185.4</v>
      </c>
      <c r="O125" s="2"/>
      <c r="P125" s="2">
        <v>200</v>
      </c>
      <c r="Q125" s="2"/>
      <c r="R125" s="2">
        <v>222</v>
      </c>
      <c r="S125" s="2"/>
      <c r="T125" s="2">
        <v>227.9</v>
      </c>
      <c r="U125" s="2"/>
      <c r="V125" s="2">
        <v>260.8</v>
      </c>
      <c r="W125" s="2"/>
      <c r="X125" s="2">
        <v>270.5</v>
      </c>
      <c r="Y125" s="2"/>
    </row>
    <row r="126" spans="1:25" ht="16" x14ac:dyDescent="0.2">
      <c r="A126" s="12" t="s">
        <v>937</v>
      </c>
      <c r="B126">
        <f t="shared" si="0"/>
        <v>1016.4999999999999</v>
      </c>
      <c r="D126" s="13">
        <v>145.80000000000001</v>
      </c>
      <c r="E126" s="2"/>
      <c r="F126" s="2">
        <v>98.8</v>
      </c>
      <c r="G126" s="2"/>
      <c r="H126" s="2">
        <v>79.7</v>
      </c>
      <c r="I126" s="2"/>
      <c r="J126" s="13">
        <v>77.3</v>
      </c>
      <c r="K126" s="2"/>
      <c r="L126" s="2">
        <v>81.900000000000006</v>
      </c>
      <c r="M126" s="2"/>
      <c r="N126" s="2">
        <v>74.599999999999994</v>
      </c>
      <c r="O126" s="2"/>
      <c r="P126" s="2">
        <v>80.900000000000006</v>
      </c>
      <c r="Q126" s="2"/>
      <c r="R126" s="2">
        <v>89.8</v>
      </c>
      <c r="S126" s="2"/>
      <c r="T126" s="2">
        <v>89.9</v>
      </c>
      <c r="U126" s="2"/>
      <c r="V126" s="2">
        <v>100.5</v>
      </c>
      <c r="W126" s="2"/>
      <c r="X126" s="2">
        <v>97.3</v>
      </c>
      <c r="Y126" s="2"/>
    </row>
    <row r="127" spans="1:25" ht="16" x14ac:dyDescent="0.2">
      <c r="A127" s="13" t="s">
        <v>938</v>
      </c>
      <c r="B127">
        <f t="shared" si="0"/>
        <v>873.00000000000011</v>
      </c>
      <c r="D127" s="13">
        <v>123</v>
      </c>
      <c r="E127" s="2"/>
      <c r="F127" s="2">
        <v>85.7</v>
      </c>
      <c r="G127" s="2"/>
      <c r="H127" s="2">
        <v>62.4</v>
      </c>
      <c r="I127" s="2"/>
      <c r="J127" s="13">
        <v>54.1</v>
      </c>
      <c r="K127" s="2"/>
      <c r="L127" s="2">
        <v>63.1</v>
      </c>
      <c r="M127" s="2"/>
      <c r="N127" s="2">
        <v>61.6</v>
      </c>
      <c r="O127" s="2"/>
      <c r="P127" s="2">
        <v>69.5</v>
      </c>
      <c r="Q127" s="2"/>
      <c r="R127" s="2">
        <v>76.099999999999994</v>
      </c>
      <c r="S127" s="2"/>
      <c r="T127" s="2">
        <v>81.400000000000006</v>
      </c>
      <c r="U127" s="2"/>
      <c r="V127" s="2">
        <v>95</v>
      </c>
      <c r="W127" s="2"/>
      <c r="X127" s="2">
        <v>101.1</v>
      </c>
      <c r="Y127" s="2"/>
    </row>
    <row r="128" spans="1:25" ht="16" x14ac:dyDescent="0.2">
      <c r="A128" s="12" t="s">
        <v>939</v>
      </c>
      <c r="B128">
        <f t="shared" si="0"/>
        <v>118.10000000000001</v>
      </c>
      <c r="D128" s="13">
        <v>13.8</v>
      </c>
      <c r="E128" s="2"/>
      <c r="F128" s="2">
        <v>10.9</v>
      </c>
      <c r="G128" s="2"/>
      <c r="H128" s="2">
        <v>8.9</v>
      </c>
      <c r="I128" s="2"/>
      <c r="J128" s="13">
        <v>10.9</v>
      </c>
      <c r="K128" s="2"/>
      <c r="L128" s="2">
        <v>14.3</v>
      </c>
      <c r="M128" s="2"/>
      <c r="N128" s="2">
        <v>8.4</v>
      </c>
      <c r="O128" s="2"/>
      <c r="P128" s="2">
        <v>10</v>
      </c>
      <c r="Q128" s="2"/>
      <c r="R128" s="2">
        <v>9.4</v>
      </c>
      <c r="S128" s="2"/>
      <c r="T128" s="2">
        <v>8.5</v>
      </c>
      <c r="U128" s="2"/>
      <c r="V128" s="2">
        <v>9.5</v>
      </c>
      <c r="W128" s="2"/>
      <c r="X128" s="2">
        <v>13.5</v>
      </c>
      <c r="Y128" s="2"/>
    </row>
    <row r="129" spans="1:25" ht="16" x14ac:dyDescent="0.2">
      <c r="A129" s="12" t="s">
        <v>940</v>
      </c>
      <c r="B129">
        <f t="shared" si="0"/>
        <v>9707</v>
      </c>
      <c r="D129" s="13">
        <v>1117</v>
      </c>
      <c r="E129" s="2"/>
      <c r="F129" s="2">
        <v>795</v>
      </c>
      <c r="G129" s="2"/>
      <c r="H129" s="2">
        <v>545</v>
      </c>
      <c r="I129" s="2"/>
      <c r="J129" s="13">
        <v>842</v>
      </c>
      <c r="K129" s="2"/>
      <c r="L129" s="2">
        <v>1129</v>
      </c>
      <c r="M129" s="2"/>
      <c r="N129" s="2">
        <v>704</v>
      </c>
      <c r="O129" s="2"/>
      <c r="P129" s="2">
        <v>822</v>
      </c>
      <c r="Q129" s="2"/>
      <c r="R129" s="2">
        <v>950</v>
      </c>
      <c r="S129" s="2"/>
      <c r="T129" s="2">
        <v>734</v>
      </c>
      <c r="U129" s="2"/>
      <c r="V129" s="2">
        <v>1034</v>
      </c>
      <c r="W129" s="2"/>
      <c r="X129" s="2">
        <v>1035</v>
      </c>
      <c r="Y129" s="2"/>
    </row>
    <row r="130" spans="1:25" ht="16" x14ac:dyDescent="0.2">
      <c r="A130" s="12" t="s">
        <v>941</v>
      </c>
      <c r="B130">
        <f t="shared" si="0"/>
        <v>45524</v>
      </c>
      <c r="D130" s="13">
        <v>3782</v>
      </c>
      <c r="E130" s="2"/>
      <c r="F130" s="2">
        <v>14530</v>
      </c>
      <c r="G130" s="2"/>
      <c r="H130" s="2">
        <v>2400</v>
      </c>
      <c r="I130" s="2"/>
      <c r="J130" s="13">
        <v>2633</v>
      </c>
      <c r="K130" s="2"/>
      <c r="L130" s="2">
        <v>3155</v>
      </c>
      <c r="M130" s="2"/>
      <c r="N130" s="2">
        <v>2779</v>
      </c>
      <c r="O130" s="2"/>
      <c r="P130" s="2">
        <v>3043</v>
      </c>
      <c r="Q130" s="2"/>
      <c r="R130" s="2">
        <v>3655</v>
      </c>
      <c r="S130" s="2"/>
      <c r="T130" s="2">
        <v>3157</v>
      </c>
      <c r="U130" s="2"/>
      <c r="V130" s="2">
        <v>3201</v>
      </c>
      <c r="W130" s="2"/>
      <c r="X130" s="2">
        <v>3189</v>
      </c>
      <c r="Y130" s="2"/>
    </row>
    <row r="131" spans="1:25" ht="16" x14ac:dyDescent="0.2">
      <c r="A131" s="12" t="s">
        <v>942</v>
      </c>
      <c r="B131">
        <f t="shared" si="0"/>
        <v>128666</v>
      </c>
      <c r="D131" s="13">
        <v>17166</v>
      </c>
      <c r="E131" s="2"/>
      <c r="F131" s="2">
        <v>10599</v>
      </c>
      <c r="G131" s="2"/>
      <c r="H131" s="2">
        <v>10788</v>
      </c>
      <c r="I131" s="2"/>
      <c r="J131" s="13">
        <v>10961</v>
      </c>
      <c r="K131" s="2"/>
      <c r="L131" s="2">
        <v>10674</v>
      </c>
      <c r="M131" s="2"/>
      <c r="N131" s="2">
        <v>9881</v>
      </c>
      <c r="O131" s="2"/>
      <c r="P131" s="2">
        <v>10083</v>
      </c>
      <c r="Q131" s="2"/>
      <c r="R131" s="2">
        <v>12065</v>
      </c>
      <c r="S131" s="2"/>
      <c r="T131" s="2">
        <v>11547</v>
      </c>
      <c r="U131" s="2"/>
      <c r="V131" s="2">
        <v>13047</v>
      </c>
      <c r="W131" s="2"/>
      <c r="X131" s="2">
        <v>11855</v>
      </c>
      <c r="Y131" s="2"/>
    </row>
    <row r="132" spans="1:25" ht="16" x14ac:dyDescent="0.2">
      <c r="A132" s="12" t="s">
        <v>943</v>
      </c>
      <c r="B132">
        <f t="shared" si="0"/>
        <v>1926</v>
      </c>
      <c r="D132" s="13">
        <v>230</v>
      </c>
      <c r="E132" s="2"/>
      <c r="F132" s="2">
        <v>138</v>
      </c>
      <c r="G132" s="2"/>
      <c r="H132" s="2">
        <v>141</v>
      </c>
      <c r="I132" s="2"/>
      <c r="J132" s="13">
        <v>165</v>
      </c>
      <c r="K132" s="2"/>
      <c r="L132" s="2">
        <v>149</v>
      </c>
      <c r="M132" s="2"/>
      <c r="N132" s="2">
        <v>172</v>
      </c>
      <c r="O132" s="2"/>
      <c r="P132" s="2">
        <v>180</v>
      </c>
      <c r="Q132" s="2"/>
      <c r="R132" s="2">
        <v>183</v>
      </c>
      <c r="S132" s="2"/>
      <c r="T132" s="2">
        <v>180</v>
      </c>
      <c r="U132" s="2"/>
      <c r="V132" s="2">
        <v>186</v>
      </c>
      <c r="W132" s="2"/>
      <c r="X132" s="2">
        <v>202</v>
      </c>
      <c r="Y132" s="2"/>
    </row>
    <row r="133" spans="1:25" ht="16" x14ac:dyDescent="0.2">
      <c r="A133" s="1"/>
      <c r="D133" s="2"/>
      <c r="E133" s="2"/>
      <c r="F133" s="2"/>
      <c r="G133" s="2"/>
      <c r="H133" s="2"/>
      <c r="I133" s="2"/>
      <c r="K133" s="2"/>
      <c r="M133" s="2"/>
      <c r="N133" s="2"/>
      <c r="O133" s="2"/>
      <c r="P133" s="2"/>
      <c r="Q133" s="2"/>
      <c r="R133" s="2"/>
      <c r="S133" s="2"/>
      <c r="T133" s="2"/>
      <c r="U133" s="2"/>
      <c r="V133" s="2"/>
      <c r="W133" s="2"/>
      <c r="Y133" s="2"/>
    </row>
    <row r="134" spans="1:25" s="34" customFormat="1" x14ac:dyDescent="0.15">
      <c r="A134" s="34" t="s">
        <v>215</v>
      </c>
      <c r="B134" s="34" t="s">
        <v>31</v>
      </c>
      <c r="D134" s="34" t="s">
        <v>32</v>
      </c>
      <c r="F134" s="34" t="s">
        <v>33</v>
      </c>
      <c r="H134" s="34" t="s">
        <v>34</v>
      </c>
      <c r="J134" s="34" t="s">
        <v>35</v>
      </c>
      <c r="L134" s="34" t="s">
        <v>36</v>
      </c>
      <c r="N134" s="34" t="s">
        <v>37</v>
      </c>
      <c r="P134" s="34" t="s">
        <v>38</v>
      </c>
      <c r="R134" s="34" t="s">
        <v>39</v>
      </c>
      <c r="T134" s="34" t="s">
        <v>40</v>
      </c>
      <c r="V134" s="34" t="s">
        <v>41</v>
      </c>
      <c r="X134" s="34" t="s">
        <v>42</v>
      </c>
    </row>
    <row r="135" spans="1:25" s="34" customFormat="1" x14ac:dyDescent="0.15">
      <c r="A135" s="35" t="s">
        <v>211</v>
      </c>
      <c r="D135" s="34">
        <v>100</v>
      </c>
      <c r="F135" s="34">
        <v>200</v>
      </c>
      <c r="H135" s="34">
        <v>300</v>
      </c>
      <c r="J135" s="34">
        <v>400</v>
      </c>
      <c r="L135" s="34">
        <v>500</v>
      </c>
      <c r="N135" s="34">
        <v>600</v>
      </c>
      <c r="P135" s="34">
        <v>700</v>
      </c>
      <c r="R135" s="34">
        <v>800</v>
      </c>
      <c r="T135" s="34">
        <v>900</v>
      </c>
      <c r="V135" s="34">
        <v>1000</v>
      </c>
      <c r="X135" s="34">
        <v>1100</v>
      </c>
    </row>
    <row r="136" spans="1:25" s="34" customFormat="1" x14ac:dyDescent="0.15">
      <c r="A136" s="34" t="s">
        <v>238</v>
      </c>
      <c r="D136" s="34">
        <v>-14</v>
      </c>
      <c r="F136" s="34">
        <v>13.9</v>
      </c>
      <c r="H136" s="34">
        <v>-3.7</v>
      </c>
      <c r="J136" s="34">
        <v>1.1000000000000001</v>
      </c>
      <c r="L136" s="34">
        <v>-3.1</v>
      </c>
      <c r="N136" s="34">
        <v>2.6</v>
      </c>
      <c r="P136" s="34">
        <v>-2</v>
      </c>
      <c r="R136" s="34">
        <v>-5.3</v>
      </c>
      <c r="T136" s="34">
        <v>-9.9</v>
      </c>
      <c r="V136" s="34">
        <v>5.4</v>
      </c>
      <c r="X136" s="34">
        <v>-6.3</v>
      </c>
    </row>
    <row r="137" spans="1:25" ht="16" x14ac:dyDescent="0.2">
      <c r="A137" s="1" t="s">
        <v>503</v>
      </c>
      <c r="D137">
        <v>-21.6</v>
      </c>
      <c r="F137">
        <v>-7</v>
      </c>
      <c r="H137">
        <v>-15.3</v>
      </c>
      <c r="J137">
        <v>-13</v>
      </c>
      <c r="L137">
        <v>-7.9</v>
      </c>
      <c r="N137">
        <v>-6.3</v>
      </c>
      <c r="P137">
        <v>-2.7</v>
      </c>
      <c r="R137">
        <v>3.6</v>
      </c>
      <c r="T137">
        <v>6</v>
      </c>
      <c r="V137">
        <v>4.0999999999999996</v>
      </c>
      <c r="X137" s="6">
        <v>3.1</v>
      </c>
    </row>
    <row r="138" spans="1:25" x14ac:dyDescent="0.15">
      <c r="A138" s="1" t="s">
        <v>16</v>
      </c>
      <c r="D138">
        <v>78.400000000000006</v>
      </c>
      <c r="F138">
        <v>186</v>
      </c>
      <c r="H138">
        <v>254.1</v>
      </c>
      <c r="J138">
        <v>348</v>
      </c>
      <c r="L138">
        <v>460.5</v>
      </c>
      <c r="N138">
        <v>562.20000000000005</v>
      </c>
      <c r="P138">
        <v>681.1</v>
      </c>
      <c r="R138">
        <v>828.8</v>
      </c>
      <c r="T138">
        <v>954</v>
      </c>
      <c r="V138">
        <v>1041</v>
      </c>
      <c r="X138">
        <f>X135*(100+X137)/100</f>
        <v>1134.0999999999999</v>
      </c>
    </row>
    <row r="139" spans="1:25" x14ac:dyDescent="0.15">
      <c r="A139" t="s">
        <v>237</v>
      </c>
      <c r="D139">
        <v>78.400000000000006</v>
      </c>
      <c r="F139">
        <v>107.6</v>
      </c>
      <c r="H139">
        <v>68.099999999999994</v>
      </c>
      <c r="J139">
        <v>93.9</v>
      </c>
      <c r="L139">
        <v>112.5</v>
      </c>
      <c r="N139">
        <v>101.7</v>
      </c>
      <c r="P139">
        <v>118.9</v>
      </c>
      <c r="R139">
        <v>147.69999999999999</v>
      </c>
      <c r="T139">
        <v>125.2</v>
      </c>
      <c r="V139">
        <v>87</v>
      </c>
      <c r="X139">
        <f>X138-V138</f>
        <v>93.099999999999909</v>
      </c>
    </row>
    <row r="141" spans="1:25" ht="17" customHeight="1" x14ac:dyDescent="0.15">
      <c r="A141" s="1" t="s">
        <v>253</v>
      </c>
      <c r="D141" s="16">
        <v>5.2</v>
      </c>
      <c r="E141" s="16"/>
      <c r="F141" s="16">
        <v>8.6999999999999993</v>
      </c>
      <c r="G141" s="16"/>
      <c r="H141" s="16">
        <v>14.3</v>
      </c>
      <c r="I141" s="16"/>
      <c r="J141" s="16">
        <v>11.8</v>
      </c>
      <c r="K141" s="16"/>
      <c r="L141" s="16">
        <v>10.8</v>
      </c>
      <c r="M141" s="16"/>
      <c r="N141" s="16">
        <v>0.3</v>
      </c>
      <c r="O141" s="16"/>
      <c r="P141" s="16">
        <v>-2.7</v>
      </c>
      <c r="Q141" s="16"/>
      <c r="R141" s="16">
        <v>8</v>
      </c>
      <c r="S141" s="16"/>
      <c r="T141" s="16">
        <v>2.2000000000000002</v>
      </c>
      <c r="U141" s="16"/>
      <c r="V141" s="16">
        <v>5.4</v>
      </c>
      <c r="W141" s="16"/>
      <c r="X141">
        <v>9.4</v>
      </c>
      <c r="Y141" s="16"/>
    </row>
    <row r="142" spans="1:25" x14ac:dyDescent="0.15">
      <c r="A142" s="1" t="s">
        <v>254</v>
      </c>
      <c r="D142">
        <v>4.5999999999999996</v>
      </c>
      <c r="F142">
        <v>7</v>
      </c>
      <c r="H142">
        <v>8.6999999999999993</v>
      </c>
      <c r="J142">
        <v>8.8000000000000007</v>
      </c>
      <c r="L142">
        <v>7.3</v>
      </c>
      <c r="N142">
        <v>6.8</v>
      </c>
      <c r="P142">
        <v>5.6</v>
      </c>
      <c r="R142">
        <v>5.6</v>
      </c>
      <c r="T142">
        <v>4.9000000000000004</v>
      </c>
      <c r="V142">
        <v>4.5</v>
      </c>
      <c r="X142">
        <v>4.3</v>
      </c>
    </row>
    <row r="143" spans="1:25" x14ac:dyDescent="0.15">
      <c r="A143" t="s">
        <v>255</v>
      </c>
      <c r="D143" t="s">
        <v>272</v>
      </c>
      <c r="F143" t="s">
        <v>305</v>
      </c>
      <c r="H143" t="s">
        <v>275</v>
      </c>
      <c r="J143" t="s">
        <v>349</v>
      </c>
      <c r="L143" t="s">
        <v>306</v>
      </c>
      <c r="N143" t="s">
        <v>283</v>
      </c>
      <c r="P143" t="s">
        <v>284</v>
      </c>
      <c r="R143" t="s">
        <v>285</v>
      </c>
      <c r="T143" t="s">
        <v>286</v>
      </c>
      <c r="V143" t="s">
        <v>287</v>
      </c>
      <c r="X143" t="s">
        <v>536</v>
      </c>
    </row>
    <row r="144" spans="1:25" x14ac:dyDescent="0.15">
      <c r="A144" t="s">
        <v>270</v>
      </c>
      <c r="D144" t="s">
        <v>271</v>
      </c>
      <c r="F144" t="s">
        <v>273</v>
      </c>
      <c r="H144" t="s">
        <v>276</v>
      </c>
      <c r="J144" t="s">
        <v>277</v>
      </c>
      <c r="L144" t="s">
        <v>278</v>
      </c>
      <c r="N144" t="s">
        <v>279</v>
      </c>
      <c r="P144" t="s">
        <v>280</v>
      </c>
      <c r="R144" t="s">
        <v>281</v>
      </c>
      <c r="T144" t="s">
        <v>282</v>
      </c>
      <c r="V144" t="s">
        <v>537</v>
      </c>
    </row>
    <row r="146" spans="1:25" x14ac:dyDescent="0.15">
      <c r="A146" s="1" t="s">
        <v>256</v>
      </c>
      <c r="D146" s="16">
        <v>6.5</v>
      </c>
      <c r="E146" s="16"/>
      <c r="F146" s="16">
        <v>19.600000000000001</v>
      </c>
      <c r="G146" s="16"/>
      <c r="H146" s="16">
        <v>17.3</v>
      </c>
      <c r="I146" s="16"/>
      <c r="J146" s="16">
        <v>16.5</v>
      </c>
      <c r="K146" s="16"/>
      <c r="L146" s="16">
        <v>14.6</v>
      </c>
      <c r="M146" s="16"/>
      <c r="N146" s="16">
        <v>14.4</v>
      </c>
      <c r="O146" s="16"/>
      <c r="P146" s="16">
        <v>14.3</v>
      </c>
      <c r="Q146" s="16"/>
      <c r="R146" s="16">
        <v>21</v>
      </c>
      <c r="S146" s="16"/>
      <c r="T146" s="16">
        <v>19.2</v>
      </c>
      <c r="U146" s="16"/>
      <c r="V146" s="16">
        <v>22.6</v>
      </c>
      <c r="W146" s="16"/>
      <c r="X146">
        <v>20.7</v>
      </c>
      <c r="Y146" s="16"/>
    </row>
    <row r="147" spans="1:25" x14ac:dyDescent="0.15">
      <c r="A147" s="1" t="s">
        <v>257</v>
      </c>
      <c r="D147">
        <v>5.6</v>
      </c>
      <c r="F147">
        <v>0.5</v>
      </c>
      <c r="H147">
        <v>-0.4</v>
      </c>
      <c r="J147">
        <v>1</v>
      </c>
      <c r="L147">
        <v>1.4</v>
      </c>
      <c r="N147">
        <v>1.6</v>
      </c>
      <c r="P147">
        <v>1.1000000000000001</v>
      </c>
      <c r="R147">
        <v>1.3</v>
      </c>
      <c r="T147" s="16">
        <v>1</v>
      </c>
      <c r="V147">
        <v>1</v>
      </c>
      <c r="X147">
        <v>0.3</v>
      </c>
    </row>
    <row r="148" spans="1:25" x14ac:dyDescent="0.15">
      <c r="A148" t="s">
        <v>258</v>
      </c>
      <c r="D148" t="s">
        <v>289</v>
      </c>
      <c r="F148" t="s">
        <v>307</v>
      </c>
      <c r="H148" t="s">
        <v>301</v>
      </c>
      <c r="J148" t="s">
        <v>308</v>
      </c>
      <c r="L148" t="s">
        <v>309</v>
      </c>
      <c r="N148" t="s">
        <v>310</v>
      </c>
      <c r="P148" t="s">
        <v>306</v>
      </c>
      <c r="R148" t="s">
        <v>302</v>
      </c>
      <c r="T148" t="s">
        <v>303</v>
      </c>
      <c r="V148" t="s">
        <v>304</v>
      </c>
      <c r="X148">
        <v>-2.1</v>
      </c>
    </row>
    <row r="149" spans="1:25" x14ac:dyDescent="0.15">
      <c r="A149" t="s">
        <v>299</v>
      </c>
      <c r="D149" t="s">
        <v>288</v>
      </c>
      <c r="F149" t="s">
        <v>290</v>
      </c>
      <c r="H149" t="s">
        <v>291</v>
      </c>
      <c r="J149" t="s">
        <v>292</v>
      </c>
      <c r="L149" t="s">
        <v>293</v>
      </c>
      <c r="N149" t="s">
        <v>294</v>
      </c>
      <c r="P149" t="s">
        <v>295</v>
      </c>
      <c r="R149" t="s">
        <v>296</v>
      </c>
      <c r="T149" t="s">
        <v>297</v>
      </c>
      <c r="V149" t="s">
        <v>298</v>
      </c>
    </row>
    <row r="151" spans="1:25" x14ac:dyDescent="0.15">
      <c r="A151" s="1" t="s">
        <v>259</v>
      </c>
      <c r="D151" s="16">
        <v>10.8</v>
      </c>
      <c r="E151" s="16"/>
      <c r="F151" s="16">
        <v>6.4</v>
      </c>
      <c r="G151" s="16"/>
      <c r="H151" s="16">
        <v>8.1</v>
      </c>
      <c r="I151" s="16"/>
      <c r="J151" s="16">
        <v>7.9</v>
      </c>
      <c r="K151" s="16"/>
      <c r="L151" s="16">
        <v>7</v>
      </c>
      <c r="M151" s="16"/>
      <c r="N151" s="16">
        <v>5.8</v>
      </c>
      <c r="O151" s="16"/>
      <c r="P151" s="16">
        <v>4.8</v>
      </c>
      <c r="Q151" s="16"/>
      <c r="R151" s="16">
        <v>7.6</v>
      </c>
      <c r="S151" s="16"/>
      <c r="T151" s="16">
        <v>6.5</v>
      </c>
      <c r="U151" s="16"/>
      <c r="V151" s="16">
        <v>11.4</v>
      </c>
      <c r="W151" s="16"/>
      <c r="X151">
        <v>8.3000000000000007</v>
      </c>
      <c r="Y151" s="16"/>
    </row>
    <row r="152" spans="1:25" x14ac:dyDescent="0.15">
      <c r="A152" s="1" t="s">
        <v>260</v>
      </c>
      <c r="D152">
        <v>8.8000000000000007</v>
      </c>
      <c r="F152">
        <v>11.8</v>
      </c>
      <c r="H152">
        <v>10.6</v>
      </c>
      <c r="J152">
        <v>11.5</v>
      </c>
      <c r="L152">
        <v>10.7</v>
      </c>
      <c r="N152">
        <v>10.199999999999999</v>
      </c>
      <c r="P152">
        <v>9.8000000000000007</v>
      </c>
      <c r="R152">
        <v>9.5</v>
      </c>
      <c r="T152" s="16">
        <v>8.3000000000000007</v>
      </c>
      <c r="V152">
        <v>9.1999999999999993</v>
      </c>
      <c r="X152">
        <v>9.4</v>
      </c>
    </row>
    <row r="153" spans="1:25" x14ac:dyDescent="0.15">
      <c r="A153" t="s">
        <v>261</v>
      </c>
      <c r="D153" t="s">
        <v>311</v>
      </c>
      <c r="F153" t="s">
        <v>312</v>
      </c>
      <c r="H153" t="s">
        <v>313</v>
      </c>
      <c r="J153" t="s">
        <v>274</v>
      </c>
      <c r="L153" t="s">
        <v>314</v>
      </c>
      <c r="N153" t="s">
        <v>315</v>
      </c>
      <c r="P153" t="s">
        <v>316</v>
      </c>
      <c r="R153" t="s">
        <v>317</v>
      </c>
      <c r="T153" t="s">
        <v>318</v>
      </c>
      <c r="V153" t="s">
        <v>319</v>
      </c>
      <c r="X153">
        <v>-21.6</v>
      </c>
    </row>
    <row r="154" spans="1:25" x14ac:dyDescent="0.15">
      <c r="A154" t="s">
        <v>300</v>
      </c>
      <c r="D154" t="s">
        <v>320</v>
      </c>
      <c r="F154" t="s">
        <v>321</v>
      </c>
      <c r="H154" t="s">
        <v>322</v>
      </c>
      <c r="J154" t="s">
        <v>323</v>
      </c>
      <c r="L154" t="s">
        <v>324</v>
      </c>
      <c r="N154" t="s">
        <v>325</v>
      </c>
      <c r="P154" t="s">
        <v>326</v>
      </c>
      <c r="R154" t="s">
        <v>327</v>
      </c>
      <c r="T154" t="s">
        <v>328</v>
      </c>
      <c r="V154" t="s">
        <v>329</v>
      </c>
    </row>
    <row r="156" spans="1:25" x14ac:dyDescent="0.15">
      <c r="A156" s="1" t="s">
        <v>262</v>
      </c>
      <c r="D156" s="16">
        <v>2.4</v>
      </c>
      <c r="E156" s="16"/>
      <c r="F156" s="16">
        <v>2.2000000000000002</v>
      </c>
      <c r="G156" s="16"/>
      <c r="H156" s="16">
        <v>8.6</v>
      </c>
      <c r="I156" s="16"/>
      <c r="J156" s="16">
        <v>1.2</v>
      </c>
      <c r="K156" s="16"/>
      <c r="L156" s="16">
        <v>2.2999999999999998</v>
      </c>
      <c r="M156" s="16"/>
      <c r="N156" s="16">
        <v>2.2999999999999998</v>
      </c>
      <c r="O156" s="16"/>
      <c r="P156" s="16">
        <v>3.9</v>
      </c>
      <c r="Q156" s="16"/>
      <c r="R156" s="16">
        <v>5.3</v>
      </c>
      <c r="S156" s="16"/>
      <c r="T156" s="16">
        <v>7.8</v>
      </c>
      <c r="U156" s="16"/>
      <c r="V156" s="16">
        <v>2.1</v>
      </c>
      <c r="W156" s="16"/>
      <c r="X156">
        <v>9.1999999999999993</v>
      </c>
      <c r="Y156" s="16"/>
    </row>
    <row r="157" spans="1:25" x14ac:dyDescent="0.15">
      <c r="A157" s="1" t="s">
        <v>263</v>
      </c>
      <c r="D157">
        <v>5.3</v>
      </c>
      <c r="F157">
        <v>6.3</v>
      </c>
      <c r="H157">
        <v>5.6</v>
      </c>
      <c r="J157">
        <v>5.0999999999999996</v>
      </c>
      <c r="L157">
        <v>4.5999999999999996</v>
      </c>
      <c r="N157">
        <v>4.9000000000000004</v>
      </c>
      <c r="P157">
        <v>5.3</v>
      </c>
      <c r="R157">
        <v>4.8</v>
      </c>
      <c r="T157" s="16">
        <v>4.4000000000000004</v>
      </c>
      <c r="V157">
        <v>4</v>
      </c>
      <c r="X157">
        <v>3.9</v>
      </c>
    </row>
    <row r="158" spans="1:25" x14ac:dyDescent="0.15">
      <c r="A158" t="s">
        <v>264</v>
      </c>
      <c r="D158" t="s">
        <v>331</v>
      </c>
      <c r="F158" t="s">
        <v>335</v>
      </c>
      <c r="H158" t="s">
        <v>339</v>
      </c>
      <c r="J158" t="s">
        <v>337</v>
      </c>
      <c r="L158" t="s">
        <v>342</v>
      </c>
      <c r="N158" t="s">
        <v>341</v>
      </c>
      <c r="P158" t="s">
        <v>344</v>
      </c>
      <c r="R158" t="s">
        <v>345</v>
      </c>
      <c r="T158" t="s">
        <v>350</v>
      </c>
      <c r="V158" t="s">
        <v>351</v>
      </c>
      <c r="X158">
        <v>2.6</v>
      </c>
    </row>
    <row r="159" spans="1:25" x14ac:dyDescent="0.15">
      <c r="A159" t="s">
        <v>330</v>
      </c>
      <c r="D159" t="s">
        <v>332</v>
      </c>
      <c r="F159" t="s">
        <v>333</v>
      </c>
      <c r="H159" t="s">
        <v>334</v>
      </c>
      <c r="J159" t="s">
        <v>336</v>
      </c>
      <c r="L159" t="s">
        <v>338</v>
      </c>
      <c r="N159" t="s">
        <v>340</v>
      </c>
      <c r="P159" t="s">
        <v>343</v>
      </c>
      <c r="R159" t="s">
        <v>346</v>
      </c>
      <c r="T159" t="s">
        <v>347</v>
      </c>
      <c r="V159" t="s">
        <v>348</v>
      </c>
    </row>
    <row r="160" spans="1:25" x14ac:dyDescent="0.15">
      <c r="A160" s="1"/>
      <c r="D160" s="16"/>
      <c r="E160" s="16"/>
      <c r="F160" s="16"/>
      <c r="G160" s="16"/>
      <c r="H160" s="16"/>
      <c r="I160" s="16"/>
      <c r="J160" s="16"/>
      <c r="K160" s="16"/>
      <c r="L160" s="16"/>
      <c r="M160" s="16"/>
      <c r="N160" s="16"/>
      <c r="O160" s="16"/>
      <c r="P160" s="16"/>
      <c r="Q160" s="16"/>
      <c r="R160" s="16"/>
      <c r="S160" s="16"/>
      <c r="T160" s="16"/>
      <c r="U160" s="16"/>
      <c r="V160" s="16"/>
      <c r="W160" s="16"/>
      <c r="Y160" s="16"/>
    </row>
    <row r="161" spans="1:25" x14ac:dyDescent="0.15">
      <c r="A161" s="1" t="s">
        <v>266</v>
      </c>
      <c r="D161">
        <v>13.6</v>
      </c>
      <c r="F161">
        <v>14.4</v>
      </c>
      <c r="H161">
        <v>14.8</v>
      </c>
      <c r="J161">
        <v>14.7</v>
      </c>
      <c r="L161">
        <v>15</v>
      </c>
      <c r="N161">
        <v>15.1</v>
      </c>
      <c r="P161">
        <v>14.9</v>
      </c>
      <c r="R161">
        <v>15.2</v>
      </c>
      <c r="T161" s="16">
        <v>15.2</v>
      </c>
      <c r="V161">
        <v>15.5</v>
      </c>
    </row>
    <row r="162" spans="1:25" x14ac:dyDescent="0.15">
      <c r="A162" t="s">
        <v>267</v>
      </c>
      <c r="D162">
        <v>7</v>
      </c>
      <c r="F162">
        <v>13.3</v>
      </c>
      <c r="H162">
        <v>8.6999999999999993</v>
      </c>
      <c r="J162">
        <v>10.5</v>
      </c>
      <c r="L162">
        <v>9.9</v>
      </c>
      <c r="N162">
        <v>9.8000000000000007</v>
      </c>
      <c r="P162">
        <v>9.4</v>
      </c>
      <c r="R162">
        <v>10.8</v>
      </c>
      <c r="T162">
        <v>11.9</v>
      </c>
      <c r="V162">
        <v>11</v>
      </c>
    </row>
    <row r="163" spans="1:25" s="7" customFormat="1" x14ac:dyDescent="0.15">
      <c r="A163" s="7" t="s">
        <v>265</v>
      </c>
      <c r="F163" s="7" t="s">
        <v>0</v>
      </c>
      <c r="H163" s="7" t="s">
        <v>0</v>
      </c>
      <c r="J163" s="7" t="s">
        <v>0</v>
      </c>
      <c r="L163" s="7" t="s">
        <v>0</v>
      </c>
      <c r="N163" s="7" t="s">
        <v>1</v>
      </c>
      <c r="P163" s="7" t="s">
        <v>0</v>
      </c>
      <c r="R163" s="7" t="s">
        <v>0</v>
      </c>
      <c r="T163" s="7" t="s">
        <v>0</v>
      </c>
      <c r="V163" s="7" t="s">
        <v>0</v>
      </c>
      <c r="X163" s="7" t="s">
        <v>0</v>
      </c>
    </row>
    <row r="164" spans="1:25" x14ac:dyDescent="0.15">
      <c r="A164" s="1" t="s">
        <v>268</v>
      </c>
      <c r="D164">
        <v>13.6</v>
      </c>
      <c r="F164">
        <v>14.4</v>
      </c>
      <c r="H164">
        <v>14.8</v>
      </c>
      <c r="J164">
        <v>14.7</v>
      </c>
      <c r="L164">
        <v>15</v>
      </c>
      <c r="N164">
        <v>15.1</v>
      </c>
      <c r="P164">
        <v>14.9</v>
      </c>
      <c r="R164">
        <v>15.2</v>
      </c>
      <c r="T164" s="16">
        <v>15.2</v>
      </c>
      <c r="V164">
        <v>15.5</v>
      </c>
    </row>
    <row r="165" spans="1:25" x14ac:dyDescent="0.15">
      <c r="A165" t="s">
        <v>269</v>
      </c>
      <c r="D165">
        <v>7</v>
      </c>
      <c r="F165">
        <v>13.3</v>
      </c>
      <c r="H165">
        <v>8.6999999999999993</v>
      </c>
      <c r="J165">
        <v>10.5</v>
      </c>
      <c r="L165">
        <v>9.9</v>
      </c>
      <c r="N165">
        <v>9.8000000000000007</v>
      </c>
      <c r="P165">
        <v>9.4</v>
      </c>
      <c r="R165">
        <v>10.8</v>
      </c>
      <c r="T165">
        <v>11.9</v>
      </c>
      <c r="V165">
        <v>11</v>
      </c>
    </row>
    <row r="166" spans="1:25" s="7" customFormat="1" x14ac:dyDescent="0.15">
      <c r="A166" s="7" t="s">
        <v>265</v>
      </c>
      <c r="F166" s="7" t="s">
        <v>0</v>
      </c>
      <c r="H166" s="7" t="s">
        <v>0</v>
      </c>
      <c r="J166" s="7" t="s">
        <v>0</v>
      </c>
      <c r="L166" s="7" t="s">
        <v>0</v>
      </c>
      <c r="N166" s="7" t="s">
        <v>1</v>
      </c>
      <c r="P166" s="7" t="s">
        <v>0</v>
      </c>
      <c r="R166" s="7" t="s">
        <v>0</v>
      </c>
      <c r="T166" s="7" t="s">
        <v>0</v>
      </c>
      <c r="V166" s="7" t="s">
        <v>0</v>
      </c>
      <c r="X166" s="7" t="s">
        <v>0</v>
      </c>
    </row>
    <row r="167" spans="1:25" ht="17" x14ac:dyDescent="0.15">
      <c r="A167" s="17"/>
    </row>
    <row r="168" spans="1:25" ht="16" x14ac:dyDescent="0.2">
      <c r="A168" s="1" t="s">
        <v>370</v>
      </c>
      <c r="D168" s="2">
        <v>259.3</v>
      </c>
      <c r="E168" s="2"/>
      <c r="F168" s="2">
        <v>-25</v>
      </c>
      <c r="G168" s="2"/>
      <c r="H168" s="2">
        <v>-25.9</v>
      </c>
      <c r="I168" s="2"/>
      <c r="J168">
        <v>-27.2</v>
      </c>
      <c r="K168" s="2"/>
      <c r="L168">
        <v>-24.9</v>
      </c>
      <c r="M168" s="2"/>
      <c r="N168" s="2">
        <v>-23.2</v>
      </c>
      <c r="O168" s="2"/>
      <c r="P168" s="2">
        <v>-19</v>
      </c>
      <c r="Q168" s="2"/>
      <c r="R168" s="2">
        <v>-16.600000000000001</v>
      </c>
      <c r="S168" s="2"/>
      <c r="T168" s="2">
        <v>-14.7</v>
      </c>
      <c r="U168" s="2"/>
      <c r="V168" s="2">
        <v>13</v>
      </c>
      <c r="W168" s="2"/>
      <c r="Y168" s="2"/>
    </row>
    <row r="169" spans="1:25" ht="16" x14ac:dyDescent="0.2">
      <c r="A169" s="1" t="s">
        <v>371</v>
      </c>
      <c r="D169" s="2">
        <v>-42</v>
      </c>
      <c r="E169" s="2"/>
      <c r="F169" s="2">
        <v>-25</v>
      </c>
      <c r="G169" s="2"/>
      <c r="H169" s="2">
        <v>-25.9</v>
      </c>
      <c r="I169" s="2"/>
      <c r="J169">
        <v>-27.2</v>
      </c>
      <c r="K169" s="2"/>
      <c r="L169">
        <v>-24.9</v>
      </c>
      <c r="M169" s="2"/>
      <c r="N169" s="2">
        <v>-23.2</v>
      </c>
      <c r="O169" s="2"/>
      <c r="P169" s="2">
        <v>-19</v>
      </c>
      <c r="Q169" s="2"/>
      <c r="R169" s="2">
        <v>-16.600000000000001</v>
      </c>
      <c r="S169" s="2"/>
      <c r="T169" s="2">
        <v>-14.7</v>
      </c>
      <c r="U169" s="2"/>
      <c r="V169" s="2">
        <v>7.6</v>
      </c>
      <c r="W169" s="2"/>
      <c r="Y169" s="2"/>
    </row>
    <row r="171" spans="1:25" ht="16" x14ac:dyDescent="0.2">
      <c r="A171" s="1" t="s">
        <v>6</v>
      </c>
      <c r="D171" s="2">
        <v>-42</v>
      </c>
      <c r="E171" s="2"/>
      <c r="F171" s="2">
        <v>-25</v>
      </c>
      <c r="G171" s="2"/>
      <c r="H171" s="2">
        <v>-25.9</v>
      </c>
      <c r="I171" s="2"/>
      <c r="J171">
        <v>-27.2</v>
      </c>
      <c r="K171" s="2"/>
      <c r="L171">
        <v>-24.9</v>
      </c>
      <c r="M171" s="2"/>
      <c r="N171" s="2">
        <v>-23.2</v>
      </c>
      <c r="O171" s="2"/>
      <c r="P171" s="2">
        <v>-19</v>
      </c>
      <c r="Q171" s="2"/>
      <c r="R171" s="2">
        <v>-16.600000000000001</v>
      </c>
      <c r="S171" s="2"/>
      <c r="T171" s="2">
        <v>-14.7</v>
      </c>
      <c r="U171" s="2"/>
      <c r="V171" s="2">
        <v>-13.9</v>
      </c>
      <c r="W171" s="2"/>
      <c r="X171">
        <v>-15.9</v>
      </c>
      <c r="Y171" s="2"/>
    </row>
    <row r="172" spans="1:25" x14ac:dyDescent="0.15">
      <c r="A172" s="1" t="s">
        <v>7</v>
      </c>
      <c r="D172">
        <v>58</v>
      </c>
      <c r="F172">
        <v>150</v>
      </c>
      <c r="H172">
        <v>222.3</v>
      </c>
      <c r="J172">
        <v>291.2</v>
      </c>
      <c r="L172">
        <v>375.5</v>
      </c>
      <c r="N172">
        <v>460.8</v>
      </c>
      <c r="P172">
        <v>567</v>
      </c>
      <c r="R172">
        <v>667.2</v>
      </c>
      <c r="T172">
        <v>767.7</v>
      </c>
      <c r="V172">
        <v>861</v>
      </c>
      <c r="X172">
        <f>X135*(100+X171)/100</f>
        <v>925.1</v>
      </c>
    </row>
    <row r="173" spans="1:25" x14ac:dyDescent="0.15">
      <c r="A173" t="s">
        <v>237</v>
      </c>
      <c r="D173">
        <v>58</v>
      </c>
      <c r="F173">
        <v>92</v>
      </c>
      <c r="H173">
        <v>72.3</v>
      </c>
      <c r="J173">
        <v>68.900000000000006</v>
      </c>
      <c r="L173">
        <v>84.3</v>
      </c>
      <c r="N173">
        <v>85.3</v>
      </c>
      <c r="P173">
        <v>106.2</v>
      </c>
      <c r="R173">
        <v>100.2</v>
      </c>
      <c r="T173">
        <v>100.5</v>
      </c>
      <c r="V173">
        <v>93.3</v>
      </c>
      <c r="X173">
        <f>X172-V172</f>
        <v>64.100000000000023</v>
      </c>
    </row>
    <row r="174" spans="1:25" s="5" customFormat="1" x14ac:dyDescent="0.15">
      <c r="A174" s="5" t="s">
        <v>252</v>
      </c>
      <c r="F174" s="5" t="s">
        <v>0</v>
      </c>
      <c r="H174" s="5" t="s">
        <v>0</v>
      </c>
      <c r="J174" s="5" t="s">
        <v>0</v>
      </c>
      <c r="L174" s="5" t="s">
        <v>0</v>
      </c>
      <c r="N174" s="5" t="s">
        <v>1</v>
      </c>
      <c r="P174" s="5" t="s">
        <v>0</v>
      </c>
      <c r="R174" s="5" t="s">
        <v>0</v>
      </c>
      <c r="T174" s="5" t="s">
        <v>0</v>
      </c>
      <c r="V174" s="5" t="s">
        <v>0</v>
      </c>
      <c r="X174" s="5" t="s">
        <v>0</v>
      </c>
    </row>
    <row r="177" spans="1:25" ht="16" x14ac:dyDescent="0.2">
      <c r="A177" s="1" t="s">
        <v>392</v>
      </c>
      <c r="D177">
        <v>-27.3</v>
      </c>
      <c r="F177">
        <v>-17.8</v>
      </c>
      <c r="H177">
        <v>-16</v>
      </c>
      <c r="J177">
        <v>-13.6</v>
      </c>
      <c r="L177">
        <v>-13.8</v>
      </c>
      <c r="N177" s="2">
        <v>-11.6</v>
      </c>
      <c r="P177" s="2">
        <v>-13.1</v>
      </c>
      <c r="R177" s="2">
        <v>-13</v>
      </c>
      <c r="T177" s="2">
        <v>-25.3</v>
      </c>
      <c r="V177" s="2">
        <v>-23.3</v>
      </c>
      <c r="X177">
        <v>-25.6</v>
      </c>
    </row>
    <row r="178" spans="1:25" x14ac:dyDescent="0.15">
      <c r="A178" s="1" t="s">
        <v>17</v>
      </c>
      <c r="D178">
        <v>72.7</v>
      </c>
      <c r="F178">
        <v>164.4</v>
      </c>
      <c r="H178">
        <v>252</v>
      </c>
      <c r="J178">
        <v>345.6</v>
      </c>
      <c r="L178">
        <v>431</v>
      </c>
      <c r="N178">
        <v>536.4</v>
      </c>
      <c r="P178">
        <v>608.29999999999995</v>
      </c>
      <c r="R178">
        <v>696</v>
      </c>
      <c r="T178">
        <v>672.3</v>
      </c>
      <c r="V178">
        <v>767</v>
      </c>
      <c r="X178">
        <f>X135*(100+X177)/100</f>
        <v>818.4</v>
      </c>
    </row>
    <row r="179" spans="1:25" x14ac:dyDescent="0.15">
      <c r="A179" t="s">
        <v>2</v>
      </c>
      <c r="D179">
        <v>72.7</v>
      </c>
      <c r="F179">
        <v>91.7</v>
      </c>
      <c r="H179">
        <v>87.6</v>
      </c>
      <c r="J179">
        <v>93.6</v>
      </c>
      <c r="L179">
        <v>85.4</v>
      </c>
      <c r="N179">
        <v>105.4</v>
      </c>
      <c r="P179">
        <v>71.900000000000006</v>
      </c>
      <c r="R179">
        <v>87.7</v>
      </c>
      <c r="T179">
        <v>-23.7</v>
      </c>
      <c r="V179">
        <v>94.7</v>
      </c>
      <c r="X179">
        <f>X178-V178</f>
        <v>51.399999999999977</v>
      </c>
    </row>
    <row r="180" spans="1:25" s="3" customFormat="1" x14ac:dyDescent="0.15">
      <c r="A180" s="3" t="s">
        <v>4</v>
      </c>
      <c r="F180" s="3" t="s">
        <v>0</v>
      </c>
      <c r="H180" s="3" t="s">
        <v>0</v>
      </c>
      <c r="J180" s="3" t="s">
        <v>0</v>
      </c>
      <c r="L180" s="3" t="s">
        <v>0</v>
      </c>
      <c r="N180" s="3" t="s">
        <v>0</v>
      </c>
      <c r="P180" s="3" t="s">
        <v>0</v>
      </c>
      <c r="R180" s="3" t="s">
        <v>1</v>
      </c>
      <c r="T180" s="3" t="s">
        <v>0</v>
      </c>
      <c r="V180" s="3" t="s">
        <v>1</v>
      </c>
      <c r="X180" s="3" t="s">
        <v>0</v>
      </c>
    </row>
    <row r="181" spans="1:25" ht="16" x14ac:dyDescent="0.2">
      <c r="A181" s="8"/>
    </row>
    <row r="183" spans="1:25" ht="16" x14ac:dyDescent="0.2">
      <c r="A183" s="1" t="s">
        <v>504</v>
      </c>
      <c r="D183" s="2">
        <v>-59</v>
      </c>
      <c r="E183" s="2"/>
      <c r="F183" s="2">
        <v>-44.5</v>
      </c>
      <c r="G183" s="2"/>
      <c r="H183" s="2">
        <v>-28.1</v>
      </c>
      <c r="I183" s="2"/>
      <c r="J183">
        <v>-22.4</v>
      </c>
      <c r="K183" s="2"/>
      <c r="L183">
        <v>-21.8</v>
      </c>
      <c r="M183" s="2"/>
      <c r="N183" s="2">
        <v>-25.1</v>
      </c>
      <c r="O183" s="2"/>
      <c r="P183" s="2">
        <v>-31.3</v>
      </c>
      <c r="Q183" s="2"/>
      <c r="R183" s="2">
        <v>-41.8</v>
      </c>
      <c r="S183" s="2"/>
      <c r="T183" s="2">
        <v>-44.2</v>
      </c>
      <c r="U183" s="2"/>
      <c r="V183" s="2">
        <v>-42.3</v>
      </c>
      <c r="W183" s="2"/>
      <c r="X183">
        <v>-37.6</v>
      </c>
      <c r="Y183" s="2"/>
    </row>
    <row r="184" spans="1:25" x14ac:dyDescent="0.15">
      <c r="A184" s="1" t="s">
        <v>18</v>
      </c>
      <c r="D184">
        <v>41</v>
      </c>
      <c r="F184">
        <v>109</v>
      </c>
      <c r="H184">
        <v>215.7</v>
      </c>
      <c r="J184">
        <v>310.39999999999998</v>
      </c>
      <c r="L184">
        <v>391</v>
      </c>
      <c r="N184">
        <v>449.4</v>
      </c>
      <c r="P184">
        <v>480.9</v>
      </c>
      <c r="R184">
        <v>465.6</v>
      </c>
      <c r="T184">
        <v>502.2</v>
      </c>
      <c r="V184">
        <v>577</v>
      </c>
      <c r="X184">
        <f>X135*(100+X183)/100</f>
        <v>686.4</v>
      </c>
    </row>
    <row r="185" spans="1:25" x14ac:dyDescent="0.15">
      <c r="A185" t="s">
        <v>2</v>
      </c>
      <c r="D185">
        <v>41</v>
      </c>
      <c r="F185">
        <v>68</v>
      </c>
      <c r="H185">
        <v>106.7</v>
      </c>
      <c r="J185">
        <v>94.7</v>
      </c>
      <c r="L185">
        <v>80.599999999999994</v>
      </c>
      <c r="N185">
        <v>58</v>
      </c>
      <c r="P185">
        <v>31</v>
      </c>
      <c r="R185">
        <v>-15</v>
      </c>
      <c r="T185">
        <v>37</v>
      </c>
      <c r="V185">
        <v>75</v>
      </c>
      <c r="X185">
        <f>X184-V184</f>
        <v>109.39999999999998</v>
      </c>
    </row>
    <row r="186" spans="1:25" s="5" customFormat="1" x14ac:dyDescent="0.15">
      <c r="A186" s="5" t="s">
        <v>8</v>
      </c>
      <c r="F186" s="5" t="s">
        <v>0</v>
      </c>
      <c r="H186" s="5" t="s">
        <v>1</v>
      </c>
      <c r="J186" s="5" t="s">
        <v>0</v>
      </c>
      <c r="L186" s="5" t="s">
        <v>1</v>
      </c>
      <c r="N186" s="5" t="s">
        <v>1</v>
      </c>
      <c r="P186" s="5" t="s">
        <v>0</v>
      </c>
      <c r="R186" s="5" t="s">
        <v>1</v>
      </c>
      <c r="T186" s="5" t="s">
        <v>0</v>
      </c>
      <c r="V186" s="5" t="s">
        <v>1</v>
      </c>
      <c r="X186" s="5" t="s">
        <v>0</v>
      </c>
    </row>
    <row r="189" spans="1:25" ht="16" x14ac:dyDescent="0.2">
      <c r="A189" s="1" t="s">
        <v>505</v>
      </c>
      <c r="D189" s="2">
        <v>-34.5</v>
      </c>
      <c r="E189" s="2"/>
      <c r="F189" s="2">
        <v>-12.6</v>
      </c>
      <c r="G189" s="2"/>
      <c r="H189" s="2">
        <v>-6.6</v>
      </c>
      <c r="I189" s="2"/>
      <c r="J189" s="2">
        <v>2.6</v>
      </c>
      <c r="K189" s="2"/>
      <c r="L189" s="2">
        <v>3.1</v>
      </c>
      <c r="M189" s="2"/>
      <c r="N189" s="2">
        <v>6</v>
      </c>
      <c r="O189" s="2"/>
      <c r="P189" s="2">
        <v>9.6999999999999993</v>
      </c>
      <c r="Q189" s="2"/>
      <c r="R189" s="2">
        <v>8.1</v>
      </c>
      <c r="S189" s="2"/>
      <c r="T189" s="2">
        <v>5.4</v>
      </c>
      <c r="U189" s="2"/>
      <c r="V189" s="2">
        <v>8.6999999999999993</v>
      </c>
      <c r="W189" s="2"/>
      <c r="X189">
        <v>1.2</v>
      </c>
      <c r="Y189" s="2"/>
    </row>
    <row r="190" spans="1:25" x14ac:dyDescent="0.15">
      <c r="A190" s="1" t="s">
        <v>13</v>
      </c>
      <c r="D190">
        <v>65.5</v>
      </c>
      <c r="F190">
        <v>174.8</v>
      </c>
      <c r="H190">
        <v>280.2</v>
      </c>
      <c r="J190">
        <v>410.4</v>
      </c>
      <c r="L190">
        <v>515.5</v>
      </c>
      <c r="N190">
        <v>636</v>
      </c>
      <c r="P190">
        <v>768.6</v>
      </c>
      <c r="R190">
        <v>840.8</v>
      </c>
      <c r="T190">
        <v>948.6</v>
      </c>
      <c r="V190">
        <v>1087</v>
      </c>
      <c r="X190">
        <f>X135*(100+X189)/100</f>
        <v>1113.2</v>
      </c>
    </row>
    <row r="191" spans="1:25" x14ac:dyDescent="0.15">
      <c r="A191" t="s">
        <v>2</v>
      </c>
      <c r="D191">
        <v>65.5</v>
      </c>
      <c r="F191">
        <v>109.3</v>
      </c>
      <c r="H191">
        <v>105.4</v>
      </c>
      <c r="J191">
        <v>130.19999999999999</v>
      </c>
      <c r="L191">
        <v>105.1</v>
      </c>
      <c r="N191">
        <v>120.5</v>
      </c>
      <c r="P191">
        <v>132.6</v>
      </c>
      <c r="R191">
        <v>72.2</v>
      </c>
      <c r="T191">
        <v>107.8</v>
      </c>
      <c r="V191">
        <v>138.4</v>
      </c>
      <c r="X191">
        <f>X190-V190</f>
        <v>26.200000000000045</v>
      </c>
    </row>
    <row r="192" spans="1:25" s="4" customFormat="1" x14ac:dyDescent="0.15">
      <c r="A192" s="4" t="s">
        <v>14</v>
      </c>
      <c r="F192" s="4" t="s">
        <v>0</v>
      </c>
      <c r="H192" s="4" t="s">
        <v>1</v>
      </c>
      <c r="J192" s="4" t="s">
        <v>0</v>
      </c>
      <c r="L192" s="4" t="s">
        <v>1</v>
      </c>
      <c r="N192" s="4" t="s">
        <v>1</v>
      </c>
      <c r="P192" s="4" t="s">
        <v>0</v>
      </c>
      <c r="R192" s="4" t="s">
        <v>1</v>
      </c>
      <c r="T192" s="4" t="s">
        <v>0</v>
      </c>
      <c r="V192" s="4" t="s">
        <v>1</v>
      </c>
      <c r="X192" s="4" t="s">
        <v>0</v>
      </c>
    </row>
    <row r="195" spans="1:25" ht="16" x14ac:dyDescent="0.2">
      <c r="A195" s="1" t="s">
        <v>506</v>
      </c>
      <c r="D195" s="2">
        <v>3.1</v>
      </c>
      <c r="E195" s="2"/>
      <c r="F195" s="2">
        <v>13.6</v>
      </c>
      <c r="G195" s="2"/>
      <c r="H195" s="2">
        <v>12.6</v>
      </c>
      <c r="I195" s="2"/>
      <c r="J195">
        <v>12.9</v>
      </c>
      <c r="K195" s="2"/>
      <c r="L195">
        <v>11.9</v>
      </c>
      <c r="M195" s="2"/>
      <c r="N195" s="2">
        <v>10.8</v>
      </c>
      <c r="O195" s="2"/>
      <c r="P195" s="2">
        <v>11.1</v>
      </c>
      <c r="Q195" s="2"/>
      <c r="R195" s="2">
        <v>11.8</v>
      </c>
      <c r="S195" s="2"/>
      <c r="T195" s="2">
        <v>10.9</v>
      </c>
      <c r="U195" s="2"/>
      <c r="V195" s="2">
        <v>10.7</v>
      </c>
      <c r="W195" s="2"/>
      <c r="X195">
        <v>7.5</v>
      </c>
      <c r="Y195" s="2"/>
    </row>
    <row r="196" spans="1:25" x14ac:dyDescent="0.15">
      <c r="A196" s="1" t="s">
        <v>19</v>
      </c>
      <c r="D196">
        <v>103.1</v>
      </c>
      <c r="F196" s="1">
        <v>227.2</v>
      </c>
      <c r="H196">
        <v>337.8</v>
      </c>
      <c r="J196">
        <v>471.6</v>
      </c>
      <c r="L196">
        <v>584.5</v>
      </c>
      <c r="N196">
        <v>705</v>
      </c>
      <c r="P196">
        <v>823.2</v>
      </c>
      <c r="R196">
        <v>937.6</v>
      </c>
      <c r="T196">
        <v>1058.4000000000001</v>
      </c>
      <c r="V196">
        <v>1174</v>
      </c>
      <c r="X196">
        <f>X135*(100+X195)/100</f>
        <v>1182.5</v>
      </c>
    </row>
    <row r="197" spans="1:25" x14ac:dyDescent="0.15">
      <c r="A197" t="s">
        <v>2</v>
      </c>
      <c r="D197">
        <v>103.1</v>
      </c>
      <c r="F197">
        <v>124.1</v>
      </c>
      <c r="H197">
        <v>110.6</v>
      </c>
      <c r="J197">
        <v>117.3</v>
      </c>
      <c r="L197">
        <v>112.9</v>
      </c>
      <c r="N197">
        <v>120.5</v>
      </c>
      <c r="P197">
        <v>118.2</v>
      </c>
      <c r="R197">
        <v>114.4</v>
      </c>
      <c r="T197">
        <v>120.8</v>
      </c>
      <c r="V197">
        <v>115.6</v>
      </c>
      <c r="X197">
        <f>X196-V196</f>
        <v>8.5</v>
      </c>
    </row>
    <row r="198" spans="1:25" s="5" customFormat="1" x14ac:dyDescent="0.15">
      <c r="A198" s="5" t="s">
        <v>11</v>
      </c>
      <c r="F198" s="5" t="s">
        <v>0</v>
      </c>
      <c r="H198" s="5" t="s">
        <v>0</v>
      </c>
      <c r="J198" s="5" t="s">
        <v>0</v>
      </c>
      <c r="L198" s="5" t="s">
        <v>10</v>
      </c>
      <c r="N198" s="5" t="s">
        <v>1</v>
      </c>
      <c r="P198" s="5" t="s">
        <v>0</v>
      </c>
      <c r="R198" s="5" t="s">
        <v>1</v>
      </c>
      <c r="T198" s="5" t="s">
        <v>1</v>
      </c>
      <c r="V198" s="5" t="s">
        <v>1</v>
      </c>
      <c r="X198" s="5" t="s">
        <v>1</v>
      </c>
    </row>
    <row r="201" spans="1:25" ht="16" x14ac:dyDescent="0.2">
      <c r="A201" s="1" t="s">
        <v>20</v>
      </c>
      <c r="D201" s="2">
        <v>14</v>
      </c>
      <c r="E201" s="2"/>
      <c r="F201">
        <v>32.799999999999997</v>
      </c>
      <c r="G201" s="2"/>
      <c r="H201">
        <v>17.899999999999999</v>
      </c>
      <c r="I201" s="2"/>
      <c r="J201">
        <v>17.7</v>
      </c>
      <c r="K201" s="2"/>
      <c r="L201">
        <v>16.600000000000001</v>
      </c>
      <c r="M201" s="2"/>
      <c r="N201">
        <v>14.3</v>
      </c>
      <c r="O201" s="2"/>
      <c r="P201">
        <v>13.3</v>
      </c>
      <c r="Q201" s="2"/>
      <c r="R201">
        <v>12.9</v>
      </c>
      <c r="S201" s="2"/>
      <c r="T201">
        <v>12</v>
      </c>
      <c r="U201" s="2"/>
      <c r="V201">
        <v>13.6</v>
      </c>
      <c r="W201" s="2"/>
      <c r="X201">
        <v>12.9</v>
      </c>
      <c r="Y201" s="2"/>
    </row>
    <row r="202" spans="1:25" x14ac:dyDescent="0.15">
      <c r="A202" s="1" t="s">
        <v>20</v>
      </c>
      <c r="D202">
        <v>114</v>
      </c>
      <c r="F202">
        <v>265.60000000000002</v>
      </c>
      <c r="H202">
        <v>353.7</v>
      </c>
      <c r="J202">
        <v>468.4</v>
      </c>
      <c r="L202">
        <v>583</v>
      </c>
      <c r="N202">
        <v>685.8</v>
      </c>
      <c r="P202">
        <v>793.1</v>
      </c>
      <c r="R202">
        <v>903.2</v>
      </c>
      <c r="T202">
        <v>1008</v>
      </c>
      <c r="V202">
        <v>1136</v>
      </c>
      <c r="X202">
        <f>X135*(100+X201)/100</f>
        <v>1241.9000000000001</v>
      </c>
    </row>
    <row r="203" spans="1:25" x14ac:dyDescent="0.15">
      <c r="A203" t="s">
        <v>2</v>
      </c>
      <c r="D203">
        <v>114</v>
      </c>
      <c r="F203">
        <v>151.6</v>
      </c>
      <c r="H203">
        <v>88.1</v>
      </c>
      <c r="J203">
        <v>114.7</v>
      </c>
      <c r="L203">
        <v>114.6</v>
      </c>
      <c r="N203">
        <v>102.8</v>
      </c>
      <c r="P203">
        <v>107.3</v>
      </c>
      <c r="R203">
        <v>110.1</v>
      </c>
      <c r="T203">
        <v>104.8</v>
      </c>
      <c r="V203">
        <v>128</v>
      </c>
      <c r="X203">
        <f>X202-V202</f>
        <v>105.90000000000009</v>
      </c>
    </row>
    <row r="204" spans="1:25" s="4" customFormat="1" x14ac:dyDescent="0.15">
      <c r="A204" s="4" t="s">
        <v>5</v>
      </c>
      <c r="F204" s="4" t="s">
        <v>0</v>
      </c>
      <c r="H204" s="4" t="s">
        <v>0</v>
      </c>
      <c r="J204" s="4" t="s">
        <v>0</v>
      </c>
      <c r="L204" s="4" t="s">
        <v>0</v>
      </c>
      <c r="N204" s="4" t="s">
        <v>1</v>
      </c>
      <c r="P204" s="4" t="s">
        <v>0</v>
      </c>
      <c r="R204" s="4" t="s">
        <v>0</v>
      </c>
      <c r="T204" s="4" t="s">
        <v>1</v>
      </c>
      <c r="V204" s="4" t="s">
        <v>1</v>
      </c>
      <c r="X204" s="4" t="s">
        <v>0</v>
      </c>
    </row>
    <row r="210" spans="1:25" s="34" customFormat="1" x14ac:dyDescent="0.15">
      <c r="A210" s="34" t="s">
        <v>215</v>
      </c>
      <c r="B210" s="34" t="s">
        <v>31</v>
      </c>
      <c r="D210" s="34" t="s">
        <v>32</v>
      </c>
      <c r="F210" s="34" t="s">
        <v>33</v>
      </c>
      <c r="H210" s="34" t="s">
        <v>34</v>
      </c>
      <c r="J210" s="34" t="s">
        <v>35</v>
      </c>
      <c r="L210" s="34" t="s">
        <v>36</v>
      </c>
      <c r="N210" s="34" t="s">
        <v>37</v>
      </c>
      <c r="P210" s="34" t="s">
        <v>38</v>
      </c>
      <c r="R210" s="34" t="s">
        <v>39</v>
      </c>
      <c r="T210" s="34" t="s">
        <v>40</v>
      </c>
      <c r="V210" s="34" t="s">
        <v>41</v>
      </c>
      <c r="X210" s="34" t="s">
        <v>42</v>
      </c>
    </row>
    <row r="211" spans="1:25" s="34" customFormat="1" x14ac:dyDescent="0.15">
      <c r="A211" s="35" t="s">
        <v>211</v>
      </c>
      <c r="D211" s="34">
        <v>100</v>
      </c>
      <c r="F211" s="34">
        <v>200</v>
      </c>
      <c r="H211" s="34">
        <v>300</v>
      </c>
      <c r="J211" s="34">
        <v>400</v>
      </c>
      <c r="L211" s="34">
        <v>500</v>
      </c>
      <c r="N211" s="34">
        <v>600</v>
      </c>
      <c r="P211" s="34">
        <v>700</v>
      </c>
      <c r="R211" s="34">
        <v>800</v>
      </c>
      <c r="T211" s="34">
        <v>900</v>
      </c>
      <c r="V211" s="34">
        <v>1000</v>
      </c>
      <c r="X211" s="34">
        <v>1100</v>
      </c>
    </row>
    <row r="212" spans="1:25" s="34" customFormat="1" x14ac:dyDescent="0.15">
      <c r="A212" s="34" t="s">
        <v>238</v>
      </c>
      <c r="D212" s="34">
        <v>-14</v>
      </c>
      <c r="F212" s="34">
        <v>13.9</v>
      </c>
      <c r="H212" s="34">
        <v>-3.7</v>
      </c>
      <c r="J212" s="34">
        <v>1.1000000000000001</v>
      </c>
      <c r="L212" s="34">
        <v>-3.1</v>
      </c>
      <c r="N212" s="34">
        <v>2.6</v>
      </c>
      <c r="P212" s="34">
        <v>-2</v>
      </c>
      <c r="R212" s="34">
        <v>-5.3</v>
      </c>
      <c r="T212" s="34">
        <v>-9.9</v>
      </c>
      <c r="V212" s="34">
        <v>5.4</v>
      </c>
    </row>
    <row r="213" spans="1:25" x14ac:dyDescent="0.15">
      <c r="A213" s="1"/>
    </row>
    <row r="215" spans="1:25" ht="16" x14ac:dyDescent="0.2">
      <c r="A215" s="1" t="s">
        <v>507</v>
      </c>
      <c r="D215" s="2">
        <v>-5.5</v>
      </c>
      <c r="E215" s="2"/>
      <c r="F215" s="2">
        <v>-4.7</v>
      </c>
      <c r="G215" s="2"/>
      <c r="H215" s="2">
        <v>-4.9000000000000004</v>
      </c>
      <c r="I215" s="2"/>
      <c r="J215">
        <v>-3.7</v>
      </c>
      <c r="K215" s="2"/>
      <c r="L215">
        <v>-2</v>
      </c>
      <c r="M215" s="2"/>
      <c r="N215" s="2">
        <v>0.9</v>
      </c>
      <c r="O215" s="2"/>
      <c r="P215" s="2">
        <v>2.5</v>
      </c>
      <c r="Q215" s="2"/>
      <c r="R215" s="2">
        <v>3.5</v>
      </c>
      <c r="S215" s="2"/>
      <c r="T215" s="2">
        <v>5.0999999999999996</v>
      </c>
      <c r="U215" s="2"/>
      <c r="V215" s="2">
        <v>8.3000000000000007</v>
      </c>
      <c r="W215" s="2"/>
      <c r="X215">
        <v>3.9</v>
      </c>
      <c r="Y215" s="2"/>
    </row>
    <row r="216" spans="1:25" x14ac:dyDescent="0.15">
      <c r="A216" s="1" t="s">
        <v>26</v>
      </c>
      <c r="D216">
        <v>94.5</v>
      </c>
      <c r="F216" s="1">
        <v>190.6</v>
      </c>
      <c r="H216">
        <v>285.3</v>
      </c>
      <c r="J216">
        <v>385.2</v>
      </c>
      <c r="L216">
        <v>490</v>
      </c>
      <c r="N216">
        <v>605.4</v>
      </c>
      <c r="P216">
        <v>717.5</v>
      </c>
      <c r="R216">
        <v>828</v>
      </c>
      <c r="T216">
        <v>945.9</v>
      </c>
      <c r="V216">
        <v>1083</v>
      </c>
      <c r="X216">
        <f>X211*(100+X215)/100</f>
        <v>1142.9000000000001</v>
      </c>
    </row>
    <row r="217" spans="1:25" x14ac:dyDescent="0.15">
      <c r="A217" t="s">
        <v>2</v>
      </c>
      <c r="D217">
        <v>94.5</v>
      </c>
      <c r="F217">
        <v>96.1</v>
      </c>
      <c r="H217">
        <v>94.7</v>
      </c>
      <c r="J217">
        <v>99.9</v>
      </c>
      <c r="L217">
        <v>104.8</v>
      </c>
      <c r="N217">
        <v>115.5</v>
      </c>
      <c r="P217">
        <v>112.1</v>
      </c>
      <c r="R217">
        <v>110.5</v>
      </c>
      <c r="T217">
        <v>117.9</v>
      </c>
      <c r="V217">
        <v>131.1</v>
      </c>
      <c r="X217">
        <f>X216-V216</f>
        <v>59.900000000000091</v>
      </c>
    </row>
    <row r="218" spans="1:25" s="5" customFormat="1" x14ac:dyDescent="0.15">
      <c r="A218" s="5" t="s">
        <v>27</v>
      </c>
      <c r="F218" s="5" t="s">
        <v>0</v>
      </c>
      <c r="H218" s="5" t="s">
        <v>0</v>
      </c>
      <c r="J218" s="5" t="s">
        <v>0</v>
      </c>
      <c r="L218" s="5" t="s">
        <v>10</v>
      </c>
      <c r="N218" s="5" t="s">
        <v>1</v>
      </c>
      <c r="P218" s="5" t="s">
        <v>1</v>
      </c>
      <c r="R218" s="5" t="s">
        <v>0</v>
      </c>
      <c r="T218" s="5" t="s">
        <v>1</v>
      </c>
      <c r="V218" s="5" t="s">
        <v>1</v>
      </c>
      <c r="X218" s="5" t="s">
        <v>0</v>
      </c>
    </row>
    <row r="219" spans="1:25" x14ac:dyDescent="0.15">
      <c r="A219" s="1"/>
    </row>
    <row r="221" spans="1:25" ht="16" x14ac:dyDescent="0.2">
      <c r="A221" s="1" t="s">
        <v>508</v>
      </c>
      <c r="D221" s="2">
        <v>11.2</v>
      </c>
      <c r="E221" s="2"/>
      <c r="F221" s="2">
        <v>18.899999999999999</v>
      </c>
      <c r="G221" s="2"/>
      <c r="H221" s="2">
        <v>17.7</v>
      </c>
      <c r="I221" s="2"/>
      <c r="J221">
        <v>17.3</v>
      </c>
      <c r="K221" s="2"/>
      <c r="L221">
        <v>13.5</v>
      </c>
      <c r="M221" s="2"/>
      <c r="N221" s="2">
        <v>14.6</v>
      </c>
      <c r="O221" s="2"/>
      <c r="P221" s="2">
        <v>12.5</v>
      </c>
      <c r="Q221" s="2"/>
      <c r="R221" s="2">
        <v>11.5</v>
      </c>
      <c r="S221" s="2"/>
      <c r="T221" s="2">
        <v>8.6999999999999993</v>
      </c>
      <c r="U221" s="2"/>
      <c r="V221" s="2">
        <v>11.1</v>
      </c>
      <c r="W221" s="2"/>
      <c r="X221">
        <v>9.1</v>
      </c>
      <c r="Y221" s="2"/>
    </row>
    <row r="222" spans="1:25" x14ac:dyDescent="0.15">
      <c r="A222" s="1" t="s">
        <v>24</v>
      </c>
      <c r="D222">
        <v>111.2</v>
      </c>
      <c r="F222" s="1">
        <v>237.8</v>
      </c>
      <c r="H222">
        <v>353.1</v>
      </c>
      <c r="J222">
        <v>469.2</v>
      </c>
      <c r="L222">
        <v>567.5</v>
      </c>
      <c r="N222">
        <v>687.6</v>
      </c>
      <c r="P222">
        <v>787.5</v>
      </c>
      <c r="R222">
        <v>892</v>
      </c>
      <c r="T222">
        <v>978.3</v>
      </c>
      <c r="V222">
        <v>1110</v>
      </c>
      <c r="X222">
        <f>X211*(100+X221)/100</f>
        <v>1200.0999999999999</v>
      </c>
    </row>
    <row r="223" spans="1:25" x14ac:dyDescent="0.15">
      <c r="A223" t="s">
        <v>2</v>
      </c>
      <c r="D223">
        <v>111.2</v>
      </c>
      <c r="F223">
        <v>125.6</v>
      </c>
      <c r="H223">
        <v>115.3</v>
      </c>
      <c r="J223">
        <v>116.1</v>
      </c>
      <c r="L223">
        <v>98.3</v>
      </c>
      <c r="N223">
        <v>120.1</v>
      </c>
      <c r="P223">
        <v>99.9</v>
      </c>
      <c r="R223">
        <v>104.5</v>
      </c>
      <c r="T223">
        <v>86.3</v>
      </c>
      <c r="V223">
        <v>131.69999999999999</v>
      </c>
      <c r="X223">
        <f>X222-V222</f>
        <v>90.099999999999909</v>
      </c>
    </row>
    <row r="224" spans="1:25" s="4" customFormat="1" x14ac:dyDescent="0.15">
      <c r="A224" s="4" t="s">
        <v>25</v>
      </c>
      <c r="F224" s="4" t="s">
        <v>0</v>
      </c>
      <c r="H224" s="4" t="s">
        <v>0</v>
      </c>
      <c r="J224" s="4" t="s">
        <v>0</v>
      </c>
      <c r="L224" s="4" t="s">
        <v>10</v>
      </c>
      <c r="N224" s="4" t="s">
        <v>0</v>
      </c>
      <c r="P224" s="4" t="s">
        <v>0</v>
      </c>
      <c r="R224" s="4" t="s">
        <v>0</v>
      </c>
      <c r="T224" s="4" t="s">
        <v>1</v>
      </c>
      <c r="V224" s="4" t="s">
        <v>1</v>
      </c>
      <c r="X224" s="4" t="s">
        <v>0</v>
      </c>
    </row>
    <row r="225" spans="1:25" x14ac:dyDescent="0.15">
      <c r="A225" s="1"/>
    </row>
    <row r="226" spans="1:25" ht="16" x14ac:dyDescent="0.2">
      <c r="A226" s="1" t="s">
        <v>509</v>
      </c>
      <c r="D226" s="2">
        <v>23.3</v>
      </c>
      <c r="E226" s="2"/>
      <c r="F226" s="2">
        <v>20.7</v>
      </c>
      <c r="G226" s="2"/>
      <c r="H226" s="2">
        <v>18.100000000000001</v>
      </c>
      <c r="I226" s="2"/>
      <c r="J226">
        <v>17.899999999999999</v>
      </c>
      <c r="K226" s="2"/>
      <c r="L226">
        <v>16.899999999999999</v>
      </c>
      <c r="M226" s="2"/>
      <c r="N226" s="2">
        <v>17.5</v>
      </c>
      <c r="O226" s="2"/>
      <c r="P226" s="2">
        <v>17.600000000000001</v>
      </c>
      <c r="Q226" s="2"/>
      <c r="R226" s="2">
        <v>17.2</v>
      </c>
      <c r="S226" s="2"/>
      <c r="T226" s="2">
        <v>17.600000000000001</v>
      </c>
      <c r="U226" s="2"/>
      <c r="V226" s="2">
        <v>17.399999999999999</v>
      </c>
      <c r="W226" s="2"/>
      <c r="X226">
        <v>10.199999999999999</v>
      </c>
      <c r="Y226" s="2"/>
    </row>
    <row r="227" spans="1:25" x14ac:dyDescent="0.15">
      <c r="A227" s="1" t="s">
        <v>21</v>
      </c>
      <c r="D227">
        <v>123.3</v>
      </c>
      <c r="F227" s="1">
        <v>240</v>
      </c>
      <c r="H227">
        <v>354.3</v>
      </c>
      <c r="J227">
        <v>471.6</v>
      </c>
      <c r="L227">
        <v>584.5</v>
      </c>
      <c r="N227">
        <v>705</v>
      </c>
      <c r="P227">
        <v>823.2</v>
      </c>
      <c r="R227">
        <v>937.6</v>
      </c>
      <c r="T227">
        <v>1058.4000000000001</v>
      </c>
      <c r="V227">
        <v>1174</v>
      </c>
      <c r="X227">
        <f>X211*(100+X226)/100</f>
        <v>1212.2</v>
      </c>
    </row>
    <row r="228" spans="1:25" x14ac:dyDescent="0.15">
      <c r="A228" t="s">
        <v>2</v>
      </c>
      <c r="D228">
        <v>123.3</v>
      </c>
      <c r="F228">
        <v>116.7</v>
      </c>
      <c r="H228">
        <v>114.3</v>
      </c>
      <c r="J228">
        <v>117.3</v>
      </c>
      <c r="L228">
        <v>112.9</v>
      </c>
      <c r="N228">
        <v>120.5</v>
      </c>
      <c r="P228">
        <v>118.2</v>
      </c>
      <c r="R228">
        <v>114.4</v>
      </c>
      <c r="T228">
        <v>120.8</v>
      </c>
      <c r="V228">
        <v>115.6</v>
      </c>
      <c r="X228">
        <f>X227-V227</f>
        <v>38.200000000000045</v>
      </c>
    </row>
    <row r="229" spans="1:25" s="5" customFormat="1" x14ac:dyDescent="0.15">
      <c r="A229" s="5" t="s">
        <v>9</v>
      </c>
      <c r="F229" s="5" t="s">
        <v>0</v>
      </c>
      <c r="H229" s="5" t="s">
        <v>0</v>
      </c>
      <c r="J229" s="5" t="s">
        <v>0</v>
      </c>
      <c r="L229" s="5" t="s">
        <v>10</v>
      </c>
      <c r="N229" s="5" t="s">
        <v>0</v>
      </c>
      <c r="P229" s="5" t="s">
        <v>0</v>
      </c>
      <c r="R229" s="5" t="s">
        <v>0</v>
      </c>
      <c r="T229" s="5" t="s">
        <v>0</v>
      </c>
      <c r="V229" s="5" t="s">
        <v>0</v>
      </c>
      <c r="X229" s="5" t="s">
        <v>0</v>
      </c>
    </row>
    <row r="230" spans="1:25" s="6" customFormat="1" x14ac:dyDescent="0.15">
      <c r="A230" s="1"/>
    </row>
    <row r="232" spans="1:25" ht="16" x14ac:dyDescent="0.2">
      <c r="A232" s="1" t="s">
        <v>401</v>
      </c>
      <c r="D232" s="2">
        <v>4.2</v>
      </c>
      <c r="E232" s="2"/>
      <c r="F232" s="2">
        <v>7.6</v>
      </c>
      <c r="G232" s="2"/>
      <c r="H232" s="2">
        <v>9.6999999999999993</v>
      </c>
      <c r="I232" s="2"/>
      <c r="J232">
        <v>10.9</v>
      </c>
      <c r="K232" s="2"/>
      <c r="L232">
        <v>9.4</v>
      </c>
      <c r="M232" s="2"/>
      <c r="N232" s="2">
        <v>9.3000000000000007</v>
      </c>
      <c r="O232" s="2"/>
      <c r="P232" s="2">
        <v>9.5</v>
      </c>
      <c r="Q232" s="2"/>
      <c r="R232" s="2">
        <v>10</v>
      </c>
      <c r="S232" s="2"/>
      <c r="T232" s="2">
        <v>10.6</v>
      </c>
      <c r="U232" s="2"/>
      <c r="V232" s="2">
        <v>10</v>
      </c>
      <c r="W232" s="2"/>
      <c r="X232">
        <v>5.9</v>
      </c>
      <c r="Y232" s="2"/>
    </row>
    <row r="233" spans="1:25" x14ac:dyDescent="0.15">
      <c r="A233" s="1" t="s">
        <v>22</v>
      </c>
      <c r="D233">
        <v>104.2</v>
      </c>
      <c r="F233" s="1">
        <v>215.2</v>
      </c>
      <c r="H233">
        <v>329.1</v>
      </c>
      <c r="J233">
        <v>443.6</v>
      </c>
      <c r="L233">
        <v>547</v>
      </c>
      <c r="N233">
        <v>655.8</v>
      </c>
      <c r="P233">
        <v>766.5</v>
      </c>
      <c r="R233" s="1">
        <v>880</v>
      </c>
      <c r="T233">
        <v>995.4</v>
      </c>
      <c r="V233" s="1">
        <v>1100</v>
      </c>
      <c r="X233">
        <f>X211*(100+X232)/100</f>
        <v>1164.9000000000001</v>
      </c>
    </row>
    <row r="234" spans="1:25" x14ac:dyDescent="0.15">
      <c r="A234" t="s">
        <v>2</v>
      </c>
      <c r="D234">
        <v>104.2</v>
      </c>
      <c r="F234">
        <v>111</v>
      </c>
      <c r="H234">
        <v>113.9</v>
      </c>
      <c r="J234">
        <v>114.5</v>
      </c>
      <c r="L234">
        <v>103.4</v>
      </c>
      <c r="N234">
        <v>108.8</v>
      </c>
      <c r="P234">
        <v>110.7</v>
      </c>
      <c r="R234">
        <v>113.5</v>
      </c>
      <c r="T234">
        <v>115.4</v>
      </c>
      <c r="V234">
        <v>104.6</v>
      </c>
      <c r="X234">
        <f>X233-V233</f>
        <v>64.900000000000091</v>
      </c>
    </row>
    <row r="235" spans="1:25" s="5" customFormat="1" x14ac:dyDescent="0.15">
      <c r="A235" s="5" t="s">
        <v>15</v>
      </c>
      <c r="F235" s="5" t="s">
        <v>0</v>
      </c>
      <c r="H235" s="5" t="s">
        <v>0</v>
      </c>
      <c r="J235" s="5" t="s">
        <v>0</v>
      </c>
      <c r="L235" s="5" t="s">
        <v>10</v>
      </c>
      <c r="N235" s="5" t="s">
        <v>1</v>
      </c>
      <c r="P235" s="5" t="s">
        <v>0</v>
      </c>
      <c r="R235" s="5" t="s">
        <v>1</v>
      </c>
      <c r="T235" s="5" t="s">
        <v>0</v>
      </c>
      <c r="V235" s="5" t="s">
        <v>0</v>
      </c>
      <c r="X235" s="5" t="s">
        <v>1</v>
      </c>
    </row>
    <row r="237" spans="1:25" ht="16" x14ac:dyDescent="0.2">
      <c r="A237" s="1" t="s">
        <v>510</v>
      </c>
      <c r="D237" s="2">
        <v>16</v>
      </c>
      <c r="E237" s="2"/>
      <c r="F237" s="2">
        <v>22</v>
      </c>
      <c r="G237" s="2"/>
      <c r="H237" s="2">
        <v>29.4</v>
      </c>
      <c r="I237" s="2"/>
      <c r="J237">
        <v>28.3</v>
      </c>
      <c r="K237" s="2"/>
      <c r="L237">
        <v>21.7</v>
      </c>
      <c r="M237" s="2"/>
      <c r="N237" s="2">
        <v>17.3</v>
      </c>
      <c r="O237" s="2"/>
      <c r="P237" s="2">
        <v>17.399999999999999</v>
      </c>
      <c r="Q237" s="2"/>
      <c r="R237" s="2">
        <v>12</v>
      </c>
      <c r="S237" s="2"/>
      <c r="T237" s="2">
        <v>10.8</v>
      </c>
      <c r="U237" s="2"/>
      <c r="V237" s="2">
        <v>13.8</v>
      </c>
      <c r="W237" s="2"/>
      <c r="X237">
        <v>9.9</v>
      </c>
      <c r="Y237" s="2"/>
    </row>
    <row r="238" spans="1:25" x14ac:dyDescent="0.15">
      <c r="A238" s="1" t="s">
        <v>23</v>
      </c>
      <c r="D238">
        <v>116</v>
      </c>
      <c r="F238" s="1">
        <v>244</v>
      </c>
      <c r="H238">
        <v>388.2</v>
      </c>
      <c r="J238">
        <v>513.20000000000005</v>
      </c>
      <c r="L238">
        <v>608.5</v>
      </c>
      <c r="N238">
        <v>703.8</v>
      </c>
      <c r="P238">
        <v>821.8</v>
      </c>
      <c r="R238" s="1">
        <v>896</v>
      </c>
      <c r="T238">
        <v>972</v>
      </c>
      <c r="V238" s="1">
        <v>1138</v>
      </c>
      <c r="X238">
        <f>X211*(100+X237)/100</f>
        <v>1208.9000000000001</v>
      </c>
    </row>
    <row r="239" spans="1:25" x14ac:dyDescent="0.15">
      <c r="A239" t="s">
        <v>2</v>
      </c>
      <c r="D239">
        <v>116</v>
      </c>
      <c r="F239">
        <v>128</v>
      </c>
      <c r="H239">
        <v>144.19999999999999</v>
      </c>
      <c r="J239">
        <v>125</v>
      </c>
      <c r="L239">
        <v>95.3</v>
      </c>
      <c r="N239">
        <v>95.3</v>
      </c>
      <c r="P239">
        <v>118</v>
      </c>
      <c r="R239">
        <v>72.8</v>
      </c>
      <c r="T239">
        <v>76</v>
      </c>
      <c r="V239">
        <v>166</v>
      </c>
      <c r="X239">
        <f>X238-V238</f>
        <v>70.900000000000091</v>
      </c>
    </row>
    <row r="240" spans="1:25" s="4" customFormat="1" x14ac:dyDescent="0.15">
      <c r="A240" s="4" t="s">
        <v>12</v>
      </c>
      <c r="F240" s="4" t="s">
        <v>0</v>
      </c>
      <c r="H240" s="4" t="s">
        <v>0</v>
      </c>
      <c r="J240" s="4" t="s">
        <v>0</v>
      </c>
      <c r="L240" s="4" t="s">
        <v>10</v>
      </c>
      <c r="N240" s="4" t="s">
        <v>1</v>
      </c>
      <c r="P240" s="4" t="s">
        <v>1</v>
      </c>
      <c r="R240" s="4" t="s">
        <v>1</v>
      </c>
      <c r="T240" s="4" t="s">
        <v>1</v>
      </c>
      <c r="V240" s="4" t="s">
        <v>1</v>
      </c>
      <c r="X240" s="4" t="s">
        <v>1</v>
      </c>
    </row>
    <row r="241" spans="1:25" x14ac:dyDescent="0.15">
      <c r="A241" s="1"/>
    </row>
    <row r="243" spans="1:25" ht="16" x14ac:dyDescent="0.2">
      <c r="A243" s="2" t="s">
        <v>239</v>
      </c>
      <c r="D243" s="2">
        <v>4.2</v>
      </c>
      <c r="E243" s="2"/>
      <c r="F243" s="2">
        <v>11.4</v>
      </c>
      <c r="G243" s="2"/>
      <c r="H243" s="2">
        <v>12.3</v>
      </c>
      <c r="I243" s="2"/>
      <c r="J243">
        <v>13.7</v>
      </c>
      <c r="K243" s="2"/>
      <c r="L243">
        <v>11.5</v>
      </c>
      <c r="M243" s="2"/>
      <c r="N243" s="2">
        <v>12.2</v>
      </c>
      <c r="O243" s="2"/>
      <c r="P243" s="2">
        <v>12.4</v>
      </c>
      <c r="Q243" s="2"/>
      <c r="R243" s="2">
        <v>13.7</v>
      </c>
      <c r="S243" s="2"/>
      <c r="T243" s="2">
        <v>16.2</v>
      </c>
      <c r="U243" s="2"/>
      <c r="V243" s="2">
        <v>20.6</v>
      </c>
      <c r="W243" s="2"/>
      <c r="X243">
        <v>19</v>
      </c>
      <c r="Y243" s="2"/>
    </row>
    <row r="244" spans="1:25" ht="16" x14ac:dyDescent="0.2">
      <c r="A244" s="2" t="s">
        <v>239</v>
      </c>
      <c r="D244">
        <v>104.2</v>
      </c>
      <c r="F244" s="1">
        <v>222.8</v>
      </c>
      <c r="H244">
        <v>336.9</v>
      </c>
      <c r="J244">
        <v>454.8</v>
      </c>
      <c r="L244">
        <v>557.5</v>
      </c>
      <c r="N244">
        <v>673.2</v>
      </c>
      <c r="P244">
        <v>786.8</v>
      </c>
      <c r="R244" s="1">
        <v>909.6</v>
      </c>
      <c r="T244">
        <v>1045.8</v>
      </c>
      <c r="V244" s="1">
        <v>1206</v>
      </c>
      <c r="X244">
        <f>X211*(100+X243)/100</f>
        <v>1309</v>
      </c>
    </row>
    <row r="245" spans="1:25" x14ac:dyDescent="0.15">
      <c r="A245" t="s">
        <v>2</v>
      </c>
      <c r="D245">
        <v>104.2</v>
      </c>
      <c r="F245">
        <v>118.6</v>
      </c>
      <c r="H245">
        <v>114.1</v>
      </c>
      <c r="J245">
        <v>117.9</v>
      </c>
      <c r="L245">
        <v>102.7</v>
      </c>
      <c r="N245">
        <v>115.7</v>
      </c>
      <c r="P245">
        <v>113.6</v>
      </c>
      <c r="R245">
        <v>123.6</v>
      </c>
      <c r="T245">
        <v>136.19999999999999</v>
      </c>
      <c r="V245">
        <v>160.19999999999999</v>
      </c>
      <c r="X245">
        <f>X244-V244</f>
        <v>103</v>
      </c>
    </row>
    <row r="246" spans="1:25" s="4" customFormat="1" x14ac:dyDescent="0.15">
      <c r="A246" s="4" t="s">
        <v>240</v>
      </c>
      <c r="F246" s="4" t="s">
        <v>0</v>
      </c>
      <c r="H246" s="4" t="s">
        <v>0</v>
      </c>
      <c r="J246" s="4" t="s">
        <v>0</v>
      </c>
      <c r="L246" s="4" t="s">
        <v>10</v>
      </c>
      <c r="N246" s="4" t="s">
        <v>1</v>
      </c>
      <c r="P246" s="4" t="s">
        <v>1</v>
      </c>
      <c r="R246" s="4" t="s">
        <v>1</v>
      </c>
      <c r="T246" s="4" t="s">
        <v>1</v>
      </c>
      <c r="V246" s="4" t="s">
        <v>1</v>
      </c>
      <c r="X246" s="4" t="s">
        <v>1</v>
      </c>
    </row>
    <row r="249" spans="1:25" ht="16" x14ac:dyDescent="0.2">
      <c r="A249" s="1" t="s">
        <v>511</v>
      </c>
      <c r="D249" s="2">
        <v>10.9</v>
      </c>
      <c r="E249" s="2"/>
      <c r="F249" s="2">
        <v>21.2</v>
      </c>
      <c r="G249" s="2"/>
      <c r="H249" s="2">
        <v>14.5</v>
      </c>
      <c r="I249" s="2"/>
      <c r="J249">
        <v>15.9</v>
      </c>
      <c r="K249" s="2"/>
      <c r="L249">
        <v>13</v>
      </c>
      <c r="M249" s="2"/>
      <c r="N249" s="2">
        <v>15.6</v>
      </c>
      <c r="O249" s="2"/>
      <c r="P249" s="2">
        <v>15.8</v>
      </c>
      <c r="Q249" s="2"/>
      <c r="R249" s="2">
        <v>13.5</v>
      </c>
      <c r="S249" s="2"/>
      <c r="T249" s="2">
        <v>15</v>
      </c>
      <c r="U249" s="2"/>
      <c r="V249" s="2">
        <v>13.3</v>
      </c>
      <c r="W249" s="2"/>
      <c r="X249">
        <v>10.8</v>
      </c>
      <c r="Y249" s="2"/>
    </row>
    <row r="250" spans="1:25" x14ac:dyDescent="0.15">
      <c r="A250" s="1" t="s">
        <v>241</v>
      </c>
      <c r="D250">
        <v>104.2</v>
      </c>
      <c r="F250" s="1">
        <v>222.8</v>
      </c>
      <c r="H250">
        <v>336.9</v>
      </c>
      <c r="J250">
        <v>454.8</v>
      </c>
      <c r="L250">
        <v>557.5</v>
      </c>
      <c r="N250">
        <v>673.2</v>
      </c>
      <c r="P250">
        <v>786.8</v>
      </c>
      <c r="R250" s="1">
        <v>909.6</v>
      </c>
      <c r="T250">
        <v>1045.8</v>
      </c>
      <c r="V250" s="1">
        <v>1206</v>
      </c>
      <c r="X250">
        <f>X211*(100+X249)/100</f>
        <v>1218.8</v>
      </c>
    </row>
    <row r="251" spans="1:25" x14ac:dyDescent="0.15">
      <c r="A251" t="s">
        <v>2</v>
      </c>
      <c r="D251">
        <v>104.2</v>
      </c>
      <c r="F251">
        <v>118.6</v>
      </c>
      <c r="H251">
        <v>114.1</v>
      </c>
      <c r="J251">
        <v>117.9</v>
      </c>
      <c r="L251">
        <v>102.7</v>
      </c>
      <c r="N251">
        <v>115.7</v>
      </c>
      <c r="P251">
        <v>113.6</v>
      </c>
      <c r="R251">
        <v>123.6</v>
      </c>
      <c r="T251">
        <v>136.19999999999999</v>
      </c>
      <c r="V251">
        <v>160.19999999999999</v>
      </c>
      <c r="X251">
        <f>X250-V250</f>
        <v>12.799999999999955</v>
      </c>
    </row>
    <row r="252" spans="1:25" s="4" customFormat="1" x14ac:dyDescent="0.15">
      <c r="A252" s="4" t="s">
        <v>242</v>
      </c>
    </row>
    <row r="258" spans="1:25" s="34" customFormat="1" x14ac:dyDescent="0.15">
      <c r="A258" s="34" t="s">
        <v>215</v>
      </c>
      <c r="B258" s="34" t="s">
        <v>31</v>
      </c>
      <c r="D258" s="34" t="s">
        <v>32</v>
      </c>
      <c r="F258" s="34" t="s">
        <v>33</v>
      </c>
      <c r="H258" s="34" t="s">
        <v>34</v>
      </c>
      <c r="J258" s="34" t="s">
        <v>35</v>
      </c>
      <c r="L258" s="34" t="s">
        <v>36</v>
      </c>
      <c r="N258" s="34" t="s">
        <v>37</v>
      </c>
      <c r="P258" s="34" t="s">
        <v>38</v>
      </c>
      <c r="R258" s="34" t="s">
        <v>39</v>
      </c>
      <c r="T258" s="34" t="s">
        <v>40</v>
      </c>
      <c r="V258" s="34" t="s">
        <v>41</v>
      </c>
      <c r="X258" s="34" t="s">
        <v>42</v>
      </c>
    </row>
    <row r="259" spans="1:25" s="34" customFormat="1" x14ac:dyDescent="0.15">
      <c r="A259" s="35" t="s">
        <v>211</v>
      </c>
      <c r="D259" s="34">
        <v>100</v>
      </c>
      <c r="F259" s="34">
        <v>200</v>
      </c>
      <c r="H259" s="34">
        <v>300</v>
      </c>
      <c r="J259" s="34">
        <v>400</v>
      </c>
      <c r="L259" s="34">
        <v>500</v>
      </c>
      <c r="N259" s="34">
        <v>600</v>
      </c>
      <c r="P259" s="34">
        <v>700</v>
      </c>
      <c r="R259" s="34">
        <v>800</v>
      </c>
      <c r="T259" s="34">
        <v>900</v>
      </c>
      <c r="V259" s="34">
        <v>1000</v>
      </c>
      <c r="X259" s="34">
        <v>1100</v>
      </c>
    </row>
    <row r="260" spans="1:25" s="34" customFormat="1" x14ac:dyDescent="0.15">
      <c r="A260" s="34" t="s">
        <v>238</v>
      </c>
      <c r="D260" s="34">
        <v>-14</v>
      </c>
      <c r="F260" s="34">
        <v>13.9</v>
      </c>
      <c r="H260" s="34">
        <v>-3.7</v>
      </c>
      <c r="J260" s="34">
        <v>1.1000000000000001</v>
      </c>
      <c r="L260" s="34">
        <v>-3.1</v>
      </c>
      <c r="N260" s="34">
        <v>2.6</v>
      </c>
      <c r="P260" s="34">
        <v>-2</v>
      </c>
      <c r="R260" s="34">
        <v>-5.3</v>
      </c>
      <c r="T260" s="34">
        <v>-9.9</v>
      </c>
      <c r="V260" s="34">
        <v>5.4</v>
      </c>
    </row>
    <row r="261" spans="1:25" x14ac:dyDescent="0.15">
      <c r="A261" s="1"/>
    </row>
    <row r="262" spans="1:25" ht="16" x14ac:dyDescent="0.2">
      <c r="A262" s="1" t="s">
        <v>512</v>
      </c>
      <c r="D262" s="2">
        <v>-70.400000000000006</v>
      </c>
      <c r="E262" s="2"/>
      <c r="F262" s="2">
        <v>-54.5</v>
      </c>
      <c r="G262" s="2"/>
      <c r="H262" s="2">
        <v>-50.2</v>
      </c>
      <c r="I262" s="2"/>
      <c r="J262">
        <v>-51.3</v>
      </c>
      <c r="K262" s="2"/>
      <c r="L262">
        <v>-53.6</v>
      </c>
      <c r="M262" s="2"/>
      <c r="N262" s="2">
        <v>-50.6</v>
      </c>
      <c r="O262" s="2"/>
      <c r="P262" s="2">
        <v>-53.1</v>
      </c>
      <c r="Q262" s="2"/>
      <c r="R262" s="2">
        <v>-53.5</v>
      </c>
      <c r="S262" s="2"/>
      <c r="T262" s="2">
        <v>-51.2</v>
      </c>
      <c r="U262" s="2"/>
      <c r="V262" s="2">
        <v>-47.2</v>
      </c>
      <c r="W262" s="2"/>
      <c r="X262">
        <v>-42.5</v>
      </c>
      <c r="Y262" s="2"/>
    </row>
    <row r="263" spans="1:25" x14ac:dyDescent="0.15">
      <c r="A263" s="1" t="s">
        <v>243</v>
      </c>
      <c r="D263">
        <v>29.4</v>
      </c>
      <c r="F263" s="1">
        <v>91</v>
      </c>
      <c r="H263">
        <v>149.4</v>
      </c>
      <c r="J263">
        <v>194.8</v>
      </c>
      <c r="L263">
        <v>232</v>
      </c>
      <c r="N263">
        <v>296.39999999999998</v>
      </c>
      <c r="P263">
        <v>328.3</v>
      </c>
      <c r="R263">
        <v>372</v>
      </c>
      <c r="T263">
        <v>448.2</v>
      </c>
      <c r="V263">
        <v>528</v>
      </c>
      <c r="X263">
        <f>X259*(100+X262)/100</f>
        <v>632.5</v>
      </c>
    </row>
    <row r="264" spans="1:25" x14ac:dyDescent="0.15">
      <c r="A264" t="s">
        <v>2</v>
      </c>
      <c r="D264">
        <v>29.4</v>
      </c>
      <c r="F264">
        <v>61.6</v>
      </c>
      <c r="H264">
        <v>58.4</v>
      </c>
      <c r="J264">
        <v>45.4</v>
      </c>
      <c r="L264">
        <v>37.200000000000003</v>
      </c>
      <c r="N264">
        <v>64.400000000000006</v>
      </c>
      <c r="P264">
        <v>31.9</v>
      </c>
      <c r="R264">
        <v>43.7</v>
      </c>
      <c r="T264">
        <v>76.2</v>
      </c>
      <c r="V264">
        <v>79.8</v>
      </c>
      <c r="X264">
        <f>X263-V263</f>
        <v>104.5</v>
      </c>
    </row>
    <row r="265" spans="1:25" s="5" customFormat="1" x14ac:dyDescent="0.15">
      <c r="A265" s="5" t="s">
        <v>244</v>
      </c>
    </row>
    <row r="267" spans="1:25" ht="16" x14ac:dyDescent="0.2">
      <c r="A267" s="1" t="s">
        <v>513</v>
      </c>
      <c r="D267" s="2">
        <v>-23.2</v>
      </c>
      <c r="E267" s="2"/>
      <c r="F267" s="2">
        <v>-18</v>
      </c>
      <c r="G267" s="2"/>
      <c r="H267" s="2">
        <v>-16.5</v>
      </c>
      <c r="I267" s="2"/>
      <c r="J267">
        <v>-9.4</v>
      </c>
      <c r="K267" s="2"/>
      <c r="L267">
        <v>-7.1</v>
      </c>
      <c r="M267" s="2"/>
      <c r="N267" s="2">
        <v>-3.8</v>
      </c>
      <c r="O267" s="2"/>
      <c r="P267" s="2">
        <v>-4.3</v>
      </c>
      <c r="Q267" s="2"/>
      <c r="R267" s="2">
        <v>-3.2</v>
      </c>
      <c r="S267" s="2"/>
      <c r="T267" s="2">
        <v>-2.1</v>
      </c>
      <c r="U267" s="2"/>
      <c r="V267" s="2">
        <v>-1.7</v>
      </c>
      <c r="W267" s="2"/>
      <c r="X267">
        <v>-2.4</v>
      </c>
      <c r="Y267" s="2"/>
    </row>
    <row r="268" spans="1:25" x14ac:dyDescent="0.15">
      <c r="A268" s="1" t="s">
        <v>245</v>
      </c>
      <c r="D268">
        <v>76.8</v>
      </c>
      <c r="F268" s="1">
        <v>164</v>
      </c>
      <c r="H268">
        <v>250.5</v>
      </c>
      <c r="J268">
        <v>366.4</v>
      </c>
      <c r="L268">
        <v>464.5</v>
      </c>
      <c r="N268">
        <v>577.20000000000005</v>
      </c>
      <c r="P268">
        <v>669.9</v>
      </c>
      <c r="R268">
        <v>774.4</v>
      </c>
      <c r="T268">
        <v>881.1</v>
      </c>
      <c r="V268">
        <v>983</v>
      </c>
      <c r="X268">
        <f>X259*(100+X267)/100</f>
        <v>1073.5999999999999</v>
      </c>
    </row>
    <row r="269" spans="1:25" x14ac:dyDescent="0.15">
      <c r="A269" t="s">
        <v>2</v>
      </c>
      <c r="D269">
        <v>76.8</v>
      </c>
      <c r="F269">
        <v>87.2</v>
      </c>
      <c r="H269">
        <v>86.5</v>
      </c>
      <c r="J269">
        <v>115.9</v>
      </c>
      <c r="L269">
        <v>98.1</v>
      </c>
      <c r="N269">
        <v>112.7</v>
      </c>
      <c r="P269">
        <v>92.7</v>
      </c>
      <c r="R269">
        <v>104.5</v>
      </c>
      <c r="T269">
        <v>106.7</v>
      </c>
      <c r="V269">
        <v>101.9</v>
      </c>
      <c r="X269">
        <f>X268-V268</f>
        <v>90.599999999999909</v>
      </c>
    </row>
    <row r="270" spans="1:25" s="5" customFormat="1" x14ac:dyDescent="0.15">
      <c r="A270" s="5" t="s">
        <v>246</v>
      </c>
    </row>
    <row r="272" spans="1:25" ht="16" x14ac:dyDescent="0.2">
      <c r="A272" s="1" t="s">
        <v>514</v>
      </c>
      <c r="D272" s="2">
        <v>-5.7</v>
      </c>
      <c r="E272" s="2"/>
      <c r="F272" s="2">
        <v>10.3</v>
      </c>
      <c r="G272" s="2"/>
      <c r="H272" s="2">
        <v>19.7</v>
      </c>
      <c r="I272" s="2"/>
      <c r="J272">
        <v>24</v>
      </c>
      <c r="K272" s="2"/>
      <c r="L272">
        <v>17.8</v>
      </c>
      <c r="M272" s="2"/>
      <c r="N272" s="2">
        <v>12.9</v>
      </c>
      <c r="O272" s="2"/>
      <c r="P272" s="2">
        <v>7.3</v>
      </c>
      <c r="Q272" s="2"/>
      <c r="R272" s="2">
        <v>7.9</v>
      </c>
      <c r="S272" s="2"/>
      <c r="T272" s="2">
        <v>3.4</v>
      </c>
      <c r="U272" s="2"/>
      <c r="V272" s="2">
        <v>-0.4</v>
      </c>
      <c r="W272" s="2"/>
      <c r="X272">
        <v>1.8</v>
      </c>
      <c r="Y272" s="2"/>
    </row>
    <row r="273" spans="1:25" x14ac:dyDescent="0.15">
      <c r="A273" s="1" t="s">
        <v>247</v>
      </c>
      <c r="D273">
        <v>94.3</v>
      </c>
      <c r="F273" s="1">
        <v>220.6</v>
      </c>
      <c r="H273">
        <v>359.1</v>
      </c>
      <c r="J273">
        <v>496</v>
      </c>
      <c r="L273">
        <v>589</v>
      </c>
      <c r="N273">
        <v>677.4</v>
      </c>
      <c r="P273">
        <v>751.1</v>
      </c>
      <c r="R273">
        <v>863.2</v>
      </c>
      <c r="T273">
        <v>930.6</v>
      </c>
      <c r="V273">
        <v>996</v>
      </c>
      <c r="X273">
        <f>X259*(100+X272)/100</f>
        <v>1119.8</v>
      </c>
    </row>
    <row r="274" spans="1:25" x14ac:dyDescent="0.15">
      <c r="A274" t="s">
        <v>2</v>
      </c>
      <c r="D274">
        <v>94.3</v>
      </c>
      <c r="F274">
        <v>126.3</v>
      </c>
      <c r="H274">
        <v>138.5</v>
      </c>
      <c r="J274">
        <v>136.9</v>
      </c>
      <c r="L274">
        <v>93</v>
      </c>
      <c r="N274">
        <v>88.4</v>
      </c>
      <c r="P274">
        <v>73.7</v>
      </c>
      <c r="R274">
        <v>112.1</v>
      </c>
      <c r="T274">
        <v>67.400000000000006</v>
      </c>
      <c r="V274">
        <v>60</v>
      </c>
      <c r="X274">
        <f>X273-V273</f>
        <v>123.79999999999995</v>
      </c>
    </row>
    <row r="275" spans="1:25" s="5" customFormat="1" x14ac:dyDescent="0.15">
      <c r="A275" s="5" t="s">
        <v>248</v>
      </c>
    </row>
    <row r="278" spans="1:25" ht="16" x14ac:dyDescent="0.2">
      <c r="A278" s="1" t="s">
        <v>249</v>
      </c>
      <c r="D278" s="2">
        <v>-11.3</v>
      </c>
      <c r="E278" s="2"/>
      <c r="F278" s="2">
        <v>3.6</v>
      </c>
      <c r="G278" s="2"/>
      <c r="H278" s="2">
        <v>3.7</v>
      </c>
      <c r="I278" s="2"/>
      <c r="J278">
        <v>3.2</v>
      </c>
      <c r="K278" s="2"/>
      <c r="L278">
        <v>-0.1</v>
      </c>
      <c r="M278" s="2"/>
      <c r="N278" s="2">
        <v>0.1</v>
      </c>
      <c r="O278" s="2"/>
      <c r="P278" s="2">
        <v>-3.4</v>
      </c>
      <c r="Q278" s="2"/>
      <c r="R278" s="2">
        <v>-4.3</v>
      </c>
      <c r="S278" s="2"/>
      <c r="T278" s="2">
        <v>-6.4</v>
      </c>
      <c r="U278" s="2"/>
      <c r="V278" s="2">
        <v>-7</v>
      </c>
      <c r="W278" s="2"/>
      <c r="X278">
        <v>-10.9</v>
      </c>
      <c r="Y278" s="2"/>
    </row>
    <row r="279" spans="1:25" x14ac:dyDescent="0.15">
      <c r="A279" s="1" t="s">
        <v>250</v>
      </c>
      <c r="D279">
        <v>89.7</v>
      </c>
      <c r="F279" s="1">
        <v>207.2</v>
      </c>
      <c r="H279">
        <v>311.10000000000002</v>
      </c>
      <c r="J279">
        <v>412.8</v>
      </c>
      <c r="L279">
        <v>499.5</v>
      </c>
      <c r="N279">
        <v>606</v>
      </c>
      <c r="P279">
        <v>674.8</v>
      </c>
      <c r="R279">
        <v>765.6</v>
      </c>
      <c r="T279">
        <v>860.4</v>
      </c>
      <c r="V279">
        <v>930</v>
      </c>
      <c r="X279">
        <f>X259*(100+X278)/100</f>
        <v>980.1</v>
      </c>
    </row>
    <row r="280" spans="1:25" x14ac:dyDescent="0.15">
      <c r="A280" t="s">
        <v>2</v>
      </c>
      <c r="D280">
        <v>89.7</v>
      </c>
      <c r="F280">
        <v>117.5</v>
      </c>
      <c r="H280">
        <v>103.9</v>
      </c>
      <c r="J280">
        <v>101.7</v>
      </c>
      <c r="L280">
        <v>86.7</v>
      </c>
      <c r="N280">
        <v>106.5</v>
      </c>
      <c r="P280">
        <v>68.8</v>
      </c>
      <c r="R280">
        <v>90.8</v>
      </c>
      <c r="T280">
        <v>94.8</v>
      </c>
      <c r="V280">
        <v>69.599999999999994</v>
      </c>
      <c r="X280">
        <f>X279-V279</f>
        <v>50.100000000000023</v>
      </c>
    </row>
    <row r="281" spans="1:25" s="5" customFormat="1" x14ac:dyDescent="0.15">
      <c r="A281"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7" sqref="A17:K17"/>
    </sheetView>
  </sheetViews>
  <sheetFormatPr baseColWidth="10" defaultRowHeight="15" x14ac:dyDescent="0.15"/>
  <cols>
    <col min="2" max="2" width="18.5" bestFit="1" customWidth="1"/>
    <col min="3" max="3" width="12.5" bestFit="1" customWidth="1"/>
    <col min="5" max="5" width="13.5" bestFit="1" customWidth="1"/>
    <col min="9" max="9" width="17.5" bestFit="1" customWidth="1"/>
  </cols>
  <sheetData>
    <row r="1" spans="1:16" ht="31" customHeight="1" x14ac:dyDescent="0.15">
      <c r="A1" s="63" t="s">
        <v>711</v>
      </c>
    </row>
    <row r="2" spans="1:16" x14ac:dyDescent="0.15">
      <c r="A2" s="43" t="s">
        <v>758</v>
      </c>
      <c r="B2" s="132" t="s">
        <v>759</v>
      </c>
      <c r="C2" s="133"/>
      <c r="D2" s="133"/>
      <c r="E2" s="133"/>
      <c r="F2" s="133"/>
      <c r="G2" s="133"/>
      <c r="H2" s="133"/>
      <c r="I2" s="132"/>
      <c r="J2" s="133"/>
    </row>
    <row r="3" spans="1:16" ht="28" x14ac:dyDescent="0.15">
      <c r="A3" s="43" t="s">
        <v>760</v>
      </c>
      <c r="B3" s="132" t="s">
        <v>761</v>
      </c>
      <c r="C3" s="133"/>
      <c r="D3" s="133"/>
      <c r="E3" s="133"/>
      <c r="F3" s="133"/>
      <c r="G3" s="133"/>
      <c r="H3" s="133"/>
      <c r="I3" s="69"/>
      <c r="J3" s="69"/>
    </row>
    <row r="4" spans="1:16" ht="28" x14ac:dyDescent="0.15">
      <c r="A4" s="43" t="s">
        <v>762</v>
      </c>
      <c r="B4" s="148" t="s">
        <v>763</v>
      </c>
      <c r="C4" s="124"/>
      <c r="D4" s="124"/>
      <c r="E4" s="124"/>
      <c r="F4" s="124"/>
      <c r="G4" s="124"/>
      <c r="H4" s="124"/>
      <c r="I4" s="124"/>
      <c r="J4" s="124"/>
      <c r="K4" s="124"/>
      <c r="L4" s="124"/>
    </row>
    <row r="5" spans="1:16" x14ac:dyDescent="0.15">
      <c r="A5" s="43" t="s">
        <v>774</v>
      </c>
      <c r="B5" s="132" t="s">
        <v>764</v>
      </c>
      <c r="C5" s="133"/>
      <c r="D5" s="133"/>
      <c r="E5" s="133"/>
      <c r="F5" s="68"/>
      <c r="G5" s="68"/>
      <c r="H5" s="68"/>
      <c r="I5" s="68"/>
      <c r="J5" s="68"/>
      <c r="K5" s="68"/>
      <c r="L5" s="68"/>
    </row>
    <row r="6" spans="1:16" x14ac:dyDescent="0.15">
      <c r="A6" s="43" t="s">
        <v>775</v>
      </c>
      <c r="B6" s="132" t="s">
        <v>765</v>
      </c>
      <c r="C6" s="133"/>
      <c r="D6" s="133"/>
      <c r="E6" s="133"/>
      <c r="F6" s="133"/>
      <c r="G6" s="133"/>
      <c r="H6" s="133"/>
      <c r="I6" s="133"/>
      <c r="J6" s="133"/>
      <c r="K6" s="133"/>
      <c r="L6" s="133"/>
      <c r="M6" s="133"/>
      <c r="N6" s="133"/>
    </row>
    <row r="7" spans="1:16" x14ac:dyDescent="0.15">
      <c r="A7" s="43" t="s">
        <v>776</v>
      </c>
      <c r="B7" s="132" t="s">
        <v>766</v>
      </c>
      <c r="C7" s="133"/>
      <c r="D7" s="133"/>
      <c r="E7" s="133"/>
      <c r="F7" s="133"/>
      <c r="G7" s="133"/>
      <c r="H7" s="133"/>
      <c r="I7" s="133"/>
      <c r="J7" s="71"/>
      <c r="K7" s="71"/>
      <c r="L7" s="71"/>
      <c r="M7" s="71"/>
      <c r="N7" s="71"/>
    </row>
    <row r="8" spans="1:16" x14ac:dyDescent="0.15">
      <c r="A8" s="43" t="s">
        <v>777</v>
      </c>
      <c r="B8" s="132" t="s">
        <v>767</v>
      </c>
      <c r="C8" s="133"/>
      <c r="D8" s="133"/>
      <c r="E8" s="71"/>
      <c r="F8" s="71"/>
      <c r="G8" s="71"/>
      <c r="H8" s="71"/>
      <c r="I8" s="71"/>
      <c r="J8" s="71"/>
      <c r="K8" s="71"/>
      <c r="L8" s="71"/>
      <c r="M8" s="71"/>
      <c r="N8" s="71"/>
    </row>
    <row r="9" spans="1:16" x14ac:dyDescent="0.15">
      <c r="A9" s="43" t="s">
        <v>778</v>
      </c>
      <c r="B9" s="132" t="s">
        <v>768</v>
      </c>
      <c r="C9" s="133"/>
      <c r="D9" s="133"/>
      <c r="E9" s="133"/>
      <c r="F9" s="71"/>
      <c r="G9" s="71"/>
      <c r="H9" s="71"/>
      <c r="I9" s="71"/>
      <c r="J9" s="71"/>
      <c r="K9" s="71"/>
      <c r="L9" s="71"/>
      <c r="M9" s="71"/>
      <c r="N9" s="71"/>
    </row>
    <row r="10" spans="1:16" x14ac:dyDescent="0.15">
      <c r="A10" s="43" t="s">
        <v>779</v>
      </c>
      <c r="B10" s="132" t="s">
        <v>769</v>
      </c>
      <c r="C10" s="133"/>
      <c r="D10" s="133"/>
      <c r="E10" s="133"/>
      <c r="F10" s="133"/>
      <c r="G10" s="71"/>
      <c r="H10" s="71"/>
      <c r="I10" s="71"/>
      <c r="J10" s="71"/>
      <c r="K10" s="71"/>
      <c r="L10" s="71"/>
      <c r="M10" s="71"/>
      <c r="N10" s="71"/>
    </row>
    <row r="11" spans="1:16" x14ac:dyDescent="0.15">
      <c r="A11" s="43" t="s">
        <v>780</v>
      </c>
      <c r="B11" s="132" t="s">
        <v>770</v>
      </c>
      <c r="C11" s="133"/>
      <c r="D11" s="133"/>
      <c r="E11" s="133"/>
      <c r="F11" s="133"/>
      <c r="G11" s="133"/>
      <c r="H11" s="133"/>
      <c r="I11" s="133"/>
      <c r="J11" s="133"/>
      <c r="K11" s="133"/>
      <c r="L11" s="133"/>
      <c r="M11" s="133"/>
      <c r="N11" s="133"/>
      <c r="O11" s="133"/>
      <c r="P11" s="133"/>
    </row>
    <row r="12" spans="1:16" x14ac:dyDescent="0.15">
      <c r="A12" s="43" t="s">
        <v>781</v>
      </c>
      <c r="B12" s="132" t="s">
        <v>771</v>
      </c>
      <c r="C12" s="133"/>
      <c r="D12" s="133"/>
      <c r="E12" s="133"/>
      <c r="F12" s="133"/>
      <c r="G12" s="133"/>
      <c r="H12" s="133"/>
      <c r="I12" s="133"/>
      <c r="J12" s="133"/>
      <c r="K12" s="71"/>
      <c r="L12" s="71"/>
      <c r="M12" s="71"/>
      <c r="N12" s="71"/>
      <c r="O12" s="71"/>
      <c r="P12" s="71"/>
    </row>
    <row r="13" spans="1:16" x14ac:dyDescent="0.15">
      <c r="A13" s="43" t="s">
        <v>782</v>
      </c>
      <c r="B13" s="132" t="s">
        <v>772</v>
      </c>
      <c r="C13" s="133"/>
      <c r="D13" s="133"/>
      <c r="E13" s="133"/>
      <c r="F13" s="133"/>
      <c r="G13" s="133"/>
      <c r="H13" s="133"/>
      <c r="I13" s="133"/>
      <c r="J13" s="133"/>
      <c r="K13" s="133"/>
      <c r="L13" s="133"/>
      <c r="M13" s="133"/>
      <c r="N13" s="71"/>
      <c r="O13" s="71"/>
      <c r="P13" s="71"/>
    </row>
    <row r="14" spans="1:16" x14ac:dyDescent="0.15">
      <c r="A14" s="43" t="s">
        <v>783</v>
      </c>
      <c r="B14" s="132" t="s">
        <v>773</v>
      </c>
      <c r="C14" s="133"/>
      <c r="D14" s="133"/>
      <c r="E14" s="133"/>
      <c r="F14" s="133"/>
      <c r="G14" s="133"/>
      <c r="H14" s="133"/>
      <c r="I14" s="71"/>
      <c r="J14" s="78"/>
      <c r="K14" s="71"/>
      <c r="L14" s="71"/>
      <c r="M14" s="71"/>
      <c r="N14" s="71"/>
      <c r="O14" s="71"/>
      <c r="P14" s="71"/>
    </row>
    <row r="15" spans="1:16" x14ac:dyDescent="0.15">
      <c r="A15" s="43"/>
      <c r="B15" s="72"/>
      <c r="C15" s="71"/>
      <c r="D15" s="71"/>
      <c r="E15" s="71"/>
      <c r="F15" s="71"/>
      <c r="G15" s="71"/>
      <c r="H15" s="71"/>
      <c r="I15" s="71"/>
      <c r="J15" s="78"/>
      <c r="K15" s="71"/>
      <c r="L15" s="71"/>
      <c r="M15" s="71"/>
      <c r="N15" s="71"/>
      <c r="O15" s="71"/>
      <c r="P15" s="71"/>
    </row>
    <row r="16" spans="1:16" x14ac:dyDescent="0.15">
      <c r="A16" s="43"/>
      <c r="B16" s="72"/>
      <c r="C16" s="71"/>
      <c r="D16" s="71"/>
      <c r="E16" s="71"/>
      <c r="F16" s="71"/>
      <c r="G16" s="71"/>
      <c r="H16" s="71"/>
      <c r="I16" s="71"/>
      <c r="J16" s="78"/>
      <c r="K16" s="71"/>
      <c r="L16" s="71"/>
      <c r="M16" s="71"/>
      <c r="N16" s="71"/>
      <c r="O16" s="71"/>
      <c r="P16" s="71"/>
    </row>
    <row r="17" spans="1:11" x14ac:dyDescent="0.15">
      <c r="A17" s="122" t="s">
        <v>784</v>
      </c>
      <c r="B17" s="122"/>
      <c r="C17" s="122"/>
      <c r="D17" s="122"/>
      <c r="E17" s="122"/>
      <c r="F17" s="122"/>
      <c r="G17" s="122"/>
      <c r="H17" s="122"/>
      <c r="I17" s="122"/>
      <c r="J17" s="122"/>
      <c r="K17" s="122"/>
    </row>
    <row r="18" spans="1:11" x14ac:dyDescent="0.15">
      <c r="I18" s="78"/>
      <c r="J18" s="78"/>
    </row>
    <row r="23" spans="1:11" ht="15" customHeight="1" x14ac:dyDescent="0.15"/>
    <row r="31" spans="1:11" ht="15" customHeight="1" x14ac:dyDescent="0.15"/>
    <row r="43" ht="15" customHeight="1" x14ac:dyDescent="0.15"/>
  </sheetData>
  <mergeCells count="15">
    <mergeCell ref="A17:K17"/>
    <mergeCell ref="B14:H14"/>
    <mergeCell ref="B2:H2"/>
    <mergeCell ref="I2:J2"/>
    <mergeCell ref="B9:E9"/>
    <mergeCell ref="B10:F10"/>
    <mergeCell ref="B13:M13"/>
    <mergeCell ref="B8:D8"/>
    <mergeCell ref="B11:P11"/>
    <mergeCell ref="B12:J12"/>
    <mergeCell ref="B3:H3"/>
    <mergeCell ref="B4:L4"/>
    <mergeCell ref="B5:E5"/>
    <mergeCell ref="B6:N6"/>
    <mergeCell ref="B7:I7"/>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sqref="A1:P8"/>
    </sheetView>
  </sheetViews>
  <sheetFormatPr baseColWidth="10" defaultRowHeight="15" x14ac:dyDescent="0.15"/>
  <sheetData>
    <row r="1" spans="1:16" ht="26" x14ac:dyDescent="0.15">
      <c r="A1" s="63" t="s">
        <v>711</v>
      </c>
    </row>
    <row r="2" spans="1:16" x14ac:dyDescent="0.15">
      <c r="A2" s="43" t="s">
        <v>834</v>
      </c>
      <c r="B2" s="132" t="s">
        <v>835</v>
      </c>
      <c r="C2" s="133"/>
      <c r="D2" s="133"/>
      <c r="E2" s="133"/>
      <c r="F2" s="133"/>
      <c r="G2" s="133"/>
      <c r="H2" s="133"/>
      <c r="I2" s="133"/>
      <c r="J2" s="133"/>
      <c r="K2" s="133"/>
      <c r="L2" s="133"/>
      <c r="M2" s="133"/>
      <c r="N2" s="133"/>
      <c r="O2" s="133"/>
      <c r="P2" s="133"/>
    </row>
    <row r="3" spans="1:16" ht="31" customHeight="1" x14ac:dyDescent="0.15">
      <c r="A3" s="43" t="s">
        <v>836</v>
      </c>
      <c r="B3" s="148" t="s">
        <v>837</v>
      </c>
      <c r="C3" s="124"/>
      <c r="D3" s="124"/>
      <c r="E3" s="124"/>
      <c r="F3" s="124"/>
      <c r="G3" s="124"/>
      <c r="H3" s="124"/>
      <c r="I3" s="124"/>
      <c r="J3" s="124"/>
      <c r="K3" s="124"/>
      <c r="L3" s="124"/>
      <c r="M3" s="124"/>
      <c r="N3" s="124"/>
      <c r="O3" s="124"/>
    </row>
    <row r="4" spans="1:16" ht="30" x14ac:dyDescent="0.15">
      <c r="A4" s="43" t="s">
        <v>838</v>
      </c>
      <c r="B4" s="148" t="s">
        <v>839</v>
      </c>
      <c r="C4" s="124"/>
      <c r="D4" s="124"/>
      <c r="E4" s="124"/>
      <c r="F4" s="124"/>
      <c r="G4" s="124"/>
      <c r="H4" s="124"/>
      <c r="I4" s="124"/>
      <c r="J4" s="124"/>
      <c r="K4" s="124"/>
      <c r="L4" s="124"/>
    </row>
    <row r="5" spans="1:16" x14ac:dyDescent="0.15">
      <c r="A5" s="43" t="s">
        <v>840</v>
      </c>
      <c r="B5" s="132" t="s">
        <v>841</v>
      </c>
      <c r="C5" s="133"/>
      <c r="D5" s="133"/>
      <c r="E5" s="133"/>
      <c r="F5" s="133"/>
      <c r="G5" s="133"/>
      <c r="H5" s="133"/>
      <c r="I5" s="68"/>
      <c r="J5" s="68"/>
      <c r="K5" s="68"/>
      <c r="L5" s="68"/>
    </row>
    <row r="6" spans="1:16" x14ac:dyDescent="0.15">
      <c r="A6" s="43" t="s">
        <v>843</v>
      </c>
      <c r="B6" s="132" t="s">
        <v>842</v>
      </c>
      <c r="C6" s="133"/>
      <c r="D6" s="133"/>
      <c r="E6" s="133"/>
      <c r="F6" s="133"/>
      <c r="G6" s="133"/>
      <c r="H6" s="133"/>
      <c r="I6" s="133"/>
      <c r="J6" s="133"/>
      <c r="K6" s="133"/>
      <c r="L6" s="133"/>
      <c r="M6" s="133"/>
      <c r="N6" s="133"/>
    </row>
    <row r="7" spans="1:16" x14ac:dyDescent="0.15">
      <c r="A7" s="43"/>
      <c r="B7" s="72"/>
      <c r="C7" s="71"/>
      <c r="D7" s="71"/>
      <c r="E7" s="71"/>
      <c r="F7" s="71"/>
      <c r="G7" s="71"/>
      <c r="H7" s="71"/>
      <c r="I7" s="71"/>
      <c r="J7" s="78"/>
      <c r="K7" s="71"/>
      <c r="L7" s="71"/>
      <c r="M7" s="71"/>
      <c r="N7" s="71"/>
      <c r="O7" s="71"/>
      <c r="P7" s="71"/>
    </row>
    <row r="8" spans="1:16" x14ac:dyDescent="0.15">
      <c r="A8" s="43"/>
      <c r="B8" s="72"/>
      <c r="C8" s="71"/>
      <c r="D8" s="71"/>
      <c r="E8" s="71"/>
      <c r="F8" s="71"/>
      <c r="G8" s="71"/>
      <c r="H8" s="71"/>
      <c r="I8" s="71"/>
      <c r="J8" s="78"/>
      <c r="K8" s="71"/>
      <c r="L8" s="71"/>
      <c r="M8" s="71"/>
      <c r="N8" s="71"/>
      <c r="O8" s="71"/>
      <c r="P8" s="71"/>
    </row>
    <row r="11" spans="1:16" x14ac:dyDescent="0.15">
      <c r="A11" s="122" t="s">
        <v>844</v>
      </c>
      <c r="B11" s="122"/>
      <c r="C11" s="122"/>
      <c r="D11" s="122"/>
      <c r="E11" s="122"/>
      <c r="F11" s="122"/>
      <c r="G11" s="122"/>
      <c r="H11" s="122"/>
      <c r="I11" s="122"/>
      <c r="J11" s="122"/>
      <c r="K11" s="122"/>
    </row>
    <row r="12" spans="1:16" x14ac:dyDescent="0.15">
      <c r="B12" t="s">
        <v>538</v>
      </c>
      <c r="C12" t="s">
        <v>847</v>
      </c>
    </row>
    <row r="13" spans="1:16" x14ac:dyDescent="0.15">
      <c r="A13" t="s">
        <v>845</v>
      </c>
    </row>
    <row r="14" spans="1:16" ht="45" x14ac:dyDescent="0.15">
      <c r="A14" s="68" t="s">
        <v>846</v>
      </c>
      <c r="B14" s="85">
        <f>4191*7</f>
        <v>29337</v>
      </c>
      <c r="C14" s="85">
        <f>3458*7</f>
        <v>24206</v>
      </c>
    </row>
    <row r="15" spans="1:16" ht="45" x14ac:dyDescent="0.15">
      <c r="A15" s="68" t="s">
        <v>848</v>
      </c>
      <c r="B15" s="85">
        <v>7562.3</v>
      </c>
      <c r="C15" s="85"/>
    </row>
    <row r="16" spans="1:16" ht="45" x14ac:dyDescent="0.15">
      <c r="A16" s="68" t="s">
        <v>849</v>
      </c>
      <c r="B16" s="85">
        <v>2349.6999999999998</v>
      </c>
      <c r="C16" s="85"/>
    </row>
    <row r="17" spans="1:5" x14ac:dyDescent="0.15">
      <c r="A17" s="61"/>
    </row>
    <row r="22" spans="1:5" x14ac:dyDescent="0.15">
      <c r="E22" s="47"/>
    </row>
  </sheetData>
  <mergeCells count="6">
    <mergeCell ref="B2:P2"/>
    <mergeCell ref="B3:O3"/>
    <mergeCell ref="B5:H5"/>
    <mergeCell ref="A11:K11"/>
    <mergeCell ref="B4:L4"/>
    <mergeCell ref="B6:N6"/>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R46" sqref="R46"/>
    </sheetView>
  </sheetViews>
  <sheetFormatPr baseColWidth="10" defaultRowHeight="15" x14ac:dyDescent="0.15"/>
  <cols>
    <col min="10" max="10" width="11.5" bestFit="1" customWidth="1"/>
  </cols>
  <sheetData>
    <row r="1" spans="1:13" s="34" customFormat="1" x14ac:dyDescent="0.15">
      <c r="A1" s="34" t="s">
        <v>451</v>
      </c>
      <c r="B1" s="36" t="s">
        <v>31</v>
      </c>
      <c r="C1" s="36" t="s">
        <v>433</v>
      </c>
      <c r="D1" s="36" t="s">
        <v>434</v>
      </c>
      <c r="E1" s="36" t="s">
        <v>435</v>
      </c>
      <c r="F1" s="36" t="s">
        <v>436</v>
      </c>
      <c r="G1" s="36" t="s">
        <v>437</v>
      </c>
      <c r="H1" s="36" t="s">
        <v>438</v>
      </c>
      <c r="I1" s="36" t="s">
        <v>439</v>
      </c>
      <c r="J1" s="36" t="s">
        <v>440</v>
      </c>
      <c r="K1" s="36" t="s">
        <v>441</v>
      </c>
      <c r="L1" s="36" t="s">
        <v>442</v>
      </c>
      <c r="M1" s="36" t="s">
        <v>443</v>
      </c>
    </row>
    <row r="2" spans="1:13" x14ac:dyDescent="0.15">
      <c r="A2" s="34" t="s">
        <v>452</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453</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454</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455</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456</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457</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458</v>
      </c>
      <c r="B9" s="36" t="s">
        <v>31</v>
      </c>
      <c r="C9" s="36" t="s">
        <v>433</v>
      </c>
      <c r="D9" s="36" t="s">
        <v>434</v>
      </c>
      <c r="E9" s="36" t="s">
        <v>435</v>
      </c>
      <c r="F9" s="36" t="s">
        <v>436</v>
      </c>
      <c r="G9" s="36" t="s">
        <v>437</v>
      </c>
      <c r="H9" s="36" t="s">
        <v>438</v>
      </c>
      <c r="I9" s="36" t="s">
        <v>439</v>
      </c>
      <c r="J9" s="36" t="s">
        <v>440</v>
      </c>
      <c r="K9" s="36" t="s">
        <v>441</v>
      </c>
      <c r="L9" s="36" t="s">
        <v>442</v>
      </c>
      <c r="M9" s="36" t="s">
        <v>443</v>
      </c>
    </row>
    <row r="10" spans="1:13" x14ac:dyDescent="0.15">
      <c r="A10" s="34" t="s">
        <v>459</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460</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461</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464</v>
      </c>
      <c r="B14" s="36" t="s">
        <v>31</v>
      </c>
      <c r="C14" s="36" t="s">
        <v>433</v>
      </c>
      <c r="D14" s="36" t="s">
        <v>434</v>
      </c>
      <c r="E14" s="36" t="s">
        <v>435</v>
      </c>
      <c r="F14" s="36" t="s">
        <v>436</v>
      </c>
      <c r="G14" s="36" t="s">
        <v>437</v>
      </c>
      <c r="H14" s="36" t="s">
        <v>438</v>
      </c>
      <c r="I14" s="36" t="s">
        <v>439</v>
      </c>
      <c r="J14" s="36" t="s">
        <v>440</v>
      </c>
      <c r="K14" s="36" t="s">
        <v>441</v>
      </c>
      <c r="L14" s="36" t="s">
        <v>442</v>
      </c>
      <c r="M14" s="36" t="s">
        <v>443</v>
      </c>
    </row>
    <row r="15" spans="1:13" x14ac:dyDescent="0.15">
      <c r="A15" s="34" t="s">
        <v>457</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456</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462</v>
      </c>
      <c r="B18" s="36" t="s">
        <v>31</v>
      </c>
      <c r="C18" s="36" t="s">
        <v>433</v>
      </c>
      <c r="D18" s="36" t="s">
        <v>434</v>
      </c>
      <c r="E18" s="36" t="s">
        <v>435</v>
      </c>
      <c r="F18" s="36" t="s">
        <v>436</v>
      </c>
      <c r="G18" s="36" t="s">
        <v>437</v>
      </c>
      <c r="H18" s="36" t="s">
        <v>438</v>
      </c>
      <c r="I18" s="36" t="s">
        <v>439</v>
      </c>
      <c r="J18" s="36" t="s">
        <v>440</v>
      </c>
      <c r="K18" s="36" t="s">
        <v>441</v>
      </c>
      <c r="L18" s="36" t="s">
        <v>442</v>
      </c>
      <c r="M18" s="36" t="s">
        <v>443</v>
      </c>
    </row>
    <row r="19" spans="1:13" x14ac:dyDescent="0.15">
      <c r="A19" s="34" t="s">
        <v>463</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457</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465</v>
      </c>
      <c r="B22" s="36" t="s">
        <v>31</v>
      </c>
      <c r="C22" s="36" t="s">
        <v>433</v>
      </c>
      <c r="D22" s="36" t="s">
        <v>434</v>
      </c>
      <c r="E22" s="36" t="s">
        <v>435</v>
      </c>
      <c r="F22" s="36" t="s">
        <v>436</v>
      </c>
      <c r="G22" s="36" t="s">
        <v>437</v>
      </c>
      <c r="H22" s="36" t="s">
        <v>438</v>
      </c>
      <c r="I22" s="36" t="s">
        <v>439</v>
      </c>
      <c r="J22" s="36" t="s">
        <v>440</v>
      </c>
      <c r="K22" s="36" t="s">
        <v>441</v>
      </c>
      <c r="L22" s="36" t="s">
        <v>442</v>
      </c>
      <c r="M22" s="36" t="s">
        <v>443</v>
      </c>
    </row>
    <row r="23" spans="1:13" x14ac:dyDescent="0.15">
      <c r="A23" s="34" t="s">
        <v>463</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457</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466</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463</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457</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467</v>
      </c>
      <c r="B30" s="36" t="s">
        <v>31</v>
      </c>
      <c r="C30" s="36" t="s">
        <v>433</v>
      </c>
      <c r="D30" s="36" t="s">
        <v>434</v>
      </c>
      <c r="E30" s="36" t="s">
        <v>435</v>
      </c>
      <c r="F30" s="36" t="s">
        <v>436</v>
      </c>
      <c r="G30" s="36" t="s">
        <v>437</v>
      </c>
      <c r="H30" s="36" t="s">
        <v>438</v>
      </c>
      <c r="I30" s="36" t="s">
        <v>439</v>
      </c>
      <c r="J30" s="36" t="s">
        <v>440</v>
      </c>
      <c r="K30" s="36" t="s">
        <v>441</v>
      </c>
      <c r="L30" s="36" t="s">
        <v>442</v>
      </c>
      <c r="M30" s="36" t="s">
        <v>443</v>
      </c>
    </row>
    <row r="31" spans="1:13" x14ac:dyDescent="0.15">
      <c r="A31" s="34" t="s">
        <v>463</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457</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468</v>
      </c>
      <c r="B34" s="36" t="s">
        <v>31</v>
      </c>
      <c r="C34" s="36" t="s">
        <v>433</v>
      </c>
      <c r="D34" s="36" t="s">
        <v>434</v>
      </c>
      <c r="E34" s="36" t="s">
        <v>435</v>
      </c>
      <c r="F34" s="36" t="s">
        <v>436</v>
      </c>
      <c r="G34" s="36" t="s">
        <v>437</v>
      </c>
      <c r="H34" s="36" t="s">
        <v>438</v>
      </c>
      <c r="I34" s="36" t="s">
        <v>439</v>
      </c>
      <c r="J34" s="36" t="s">
        <v>440</v>
      </c>
      <c r="K34" s="36" t="s">
        <v>441</v>
      </c>
      <c r="L34" s="36" t="s">
        <v>442</v>
      </c>
      <c r="M34" s="36" t="s">
        <v>443</v>
      </c>
    </row>
    <row r="35" spans="1:17" x14ac:dyDescent="0.15">
      <c r="A35" s="34" t="s">
        <v>463</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457</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7" x14ac:dyDescent="0.15">
      <c r="A39" s="34" t="s">
        <v>463</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457</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469</v>
      </c>
      <c r="B42" s="36" t="s">
        <v>31</v>
      </c>
      <c r="C42" s="36" t="s">
        <v>433</v>
      </c>
      <c r="D42" s="36" t="s">
        <v>434</v>
      </c>
      <c r="E42" s="36" t="s">
        <v>435</v>
      </c>
      <c r="F42" s="36" t="s">
        <v>436</v>
      </c>
      <c r="G42" s="36" t="s">
        <v>437</v>
      </c>
      <c r="H42" s="36" t="s">
        <v>438</v>
      </c>
      <c r="I42" s="36" t="s">
        <v>439</v>
      </c>
      <c r="J42" s="36" t="s">
        <v>440</v>
      </c>
      <c r="K42" s="36" t="s">
        <v>441</v>
      </c>
      <c r="L42" s="36" t="s">
        <v>442</v>
      </c>
      <c r="M42" s="36" t="s">
        <v>443</v>
      </c>
    </row>
    <row r="43" spans="1:17" x14ac:dyDescent="0.15">
      <c r="A43" s="34" t="s">
        <v>457</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470</v>
      </c>
    </row>
    <row r="46" spans="1:17" x14ac:dyDescent="0.15">
      <c r="B46" t="s">
        <v>471</v>
      </c>
      <c r="C46" t="s">
        <v>472</v>
      </c>
      <c r="D46" t="s">
        <v>473</v>
      </c>
      <c r="E46" t="s">
        <v>474</v>
      </c>
      <c r="F46" t="s">
        <v>476</v>
      </c>
      <c r="G46" t="s">
        <v>477</v>
      </c>
      <c r="H46" t="s">
        <v>478</v>
      </c>
      <c r="I46" t="s">
        <v>479</v>
      </c>
      <c r="J46" t="s">
        <v>480</v>
      </c>
      <c r="K46" t="s">
        <v>481</v>
      </c>
      <c r="L46" t="s">
        <v>482</v>
      </c>
      <c r="M46" t="s">
        <v>483</v>
      </c>
      <c r="N46" t="s">
        <v>484</v>
      </c>
      <c r="O46" t="s">
        <v>485</v>
      </c>
      <c r="P46" t="s">
        <v>486</v>
      </c>
      <c r="Q46" t="s">
        <v>487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4"/>
  <sheetViews>
    <sheetView tabSelected="1" topLeftCell="A154" workbookViewId="0">
      <selection activeCell="N183" sqref="N183"/>
    </sheetView>
  </sheetViews>
  <sheetFormatPr baseColWidth="10" defaultRowHeight="15" x14ac:dyDescent="0.15"/>
  <cols>
    <col min="1" max="1" width="32" customWidth="1"/>
  </cols>
  <sheetData>
    <row r="1" spans="1:31" s="3" customFormat="1" ht="77" customHeight="1" x14ac:dyDescent="0.15">
      <c r="A1" s="42" t="s">
        <v>28</v>
      </c>
      <c r="B1" s="125" t="s">
        <v>425</v>
      </c>
      <c r="C1" s="125"/>
      <c r="D1" s="126"/>
      <c r="E1" s="126"/>
      <c r="F1" s="126"/>
      <c r="G1" s="126"/>
      <c r="H1" s="126"/>
      <c r="I1" s="126"/>
      <c r="J1" s="126"/>
      <c r="K1" s="126"/>
      <c r="L1" s="126"/>
      <c r="M1" s="126"/>
      <c r="N1" s="126"/>
      <c r="O1" s="126"/>
      <c r="P1" s="126"/>
      <c r="Q1" s="126"/>
      <c r="R1" s="126"/>
      <c r="S1" s="126"/>
      <c r="T1" s="126"/>
      <c r="U1" s="126"/>
      <c r="V1" s="126"/>
      <c r="W1" s="126"/>
      <c r="X1" s="126"/>
      <c r="Y1" s="42"/>
    </row>
    <row r="2" spans="1:31" s="35" customFormat="1" x14ac:dyDescent="0.15">
      <c r="A2" s="35" t="s">
        <v>705</v>
      </c>
      <c r="B2" s="35" t="s">
        <v>31</v>
      </c>
      <c r="C2" s="35" t="s">
        <v>355</v>
      </c>
      <c r="D2" s="35" t="s">
        <v>682</v>
      </c>
      <c r="E2" s="35" t="s">
        <v>355</v>
      </c>
      <c r="F2" s="35" t="s">
        <v>683</v>
      </c>
      <c r="G2" s="35" t="s">
        <v>355</v>
      </c>
      <c r="H2" s="35" t="s">
        <v>684</v>
      </c>
      <c r="I2" s="35" t="s">
        <v>355</v>
      </c>
      <c r="J2" s="35" t="s">
        <v>685</v>
      </c>
      <c r="K2" s="35" t="s">
        <v>355</v>
      </c>
      <c r="L2" s="35" t="s">
        <v>686</v>
      </c>
      <c r="M2" s="35" t="s">
        <v>355</v>
      </c>
      <c r="N2" s="35" t="s">
        <v>687</v>
      </c>
      <c r="O2" s="35" t="s">
        <v>355</v>
      </c>
      <c r="P2" s="35" t="s">
        <v>688</v>
      </c>
      <c r="Q2" s="35" t="s">
        <v>355</v>
      </c>
      <c r="R2" s="35" t="s">
        <v>689</v>
      </c>
      <c r="S2" s="35" t="s">
        <v>355</v>
      </c>
      <c r="T2" s="35" t="s">
        <v>690</v>
      </c>
      <c r="U2" s="35" t="s">
        <v>355</v>
      </c>
      <c r="V2" s="35" t="s">
        <v>691</v>
      </c>
      <c r="W2" s="35" t="s">
        <v>355</v>
      </c>
      <c r="X2" s="35" t="s">
        <v>692</v>
      </c>
      <c r="Y2" s="35" t="s">
        <v>355</v>
      </c>
    </row>
    <row r="3" spans="1:31" s="6" customFormat="1" ht="24" customHeight="1" x14ac:dyDescent="0.15">
      <c r="A3" s="6" t="s">
        <v>214</v>
      </c>
      <c r="B3">
        <v>10.7</v>
      </c>
      <c r="C3"/>
      <c r="D3">
        <v>10.7</v>
      </c>
      <c r="E3"/>
      <c r="F3">
        <v>11.5</v>
      </c>
      <c r="H3">
        <v>12</v>
      </c>
      <c r="I3"/>
      <c r="J3">
        <v>12.5</v>
      </c>
      <c r="K3"/>
      <c r="L3">
        <v>12.8</v>
      </c>
      <c r="M3"/>
      <c r="N3"/>
      <c r="O3"/>
      <c r="P3"/>
      <c r="Q3"/>
      <c r="R3"/>
      <c r="S3"/>
      <c r="T3"/>
      <c r="U3"/>
      <c r="V3"/>
      <c r="W3"/>
      <c r="X3"/>
      <c r="Y3" s="39"/>
      <c r="Z3" s="127" t="s">
        <v>216</v>
      </c>
      <c r="AA3" s="124"/>
      <c r="AB3" s="124"/>
      <c r="AC3" s="124"/>
      <c r="AD3" s="124"/>
      <c r="AE3" s="124"/>
    </row>
    <row r="4" spans="1:31" s="6" customFormat="1" ht="49" customHeight="1" x14ac:dyDescent="0.15">
      <c r="A4" s="40" t="s">
        <v>380</v>
      </c>
      <c r="B4">
        <v>6.6</v>
      </c>
      <c r="C4"/>
      <c r="D4">
        <v>10.9</v>
      </c>
      <c r="E4"/>
      <c r="F4">
        <v>10.8</v>
      </c>
      <c r="H4">
        <v>10.199999999999999</v>
      </c>
      <c r="I4"/>
      <c r="J4">
        <v>9.5</v>
      </c>
      <c r="K4"/>
      <c r="L4">
        <v>9.5</v>
      </c>
      <c r="M4"/>
      <c r="N4"/>
      <c r="O4"/>
      <c r="P4"/>
      <c r="Q4"/>
      <c r="R4"/>
      <c r="S4"/>
      <c r="T4"/>
      <c r="U4"/>
      <c r="V4"/>
      <c r="W4"/>
      <c r="Y4"/>
      <c r="Z4" s="127"/>
      <c r="AA4" s="124"/>
      <c r="AB4" s="124"/>
      <c r="AC4" s="124"/>
      <c r="AD4" s="124"/>
      <c r="AE4" s="124"/>
    </row>
    <row r="5" spans="1:31" s="6" customFormat="1" ht="80" customHeight="1" x14ac:dyDescent="0.15">
      <c r="A5" s="40" t="s">
        <v>381</v>
      </c>
      <c r="B5">
        <v>0</v>
      </c>
      <c r="C5"/>
      <c r="D5">
        <v>4.8</v>
      </c>
      <c r="E5"/>
      <c r="F5">
        <v>5</v>
      </c>
      <c r="H5" s="6">
        <v>5.5</v>
      </c>
      <c r="I5"/>
      <c r="J5">
        <v>6.8</v>
      </c>
      <c r="K5"/>
      <c r="L5">
        <v>6.5</v>
      </c>
      <c r="M5"/>
      <c r="N5"/>
      <c r="O5"/>
      <c r="P5"/>
      <c r="Q5"/>
      <c r="R5"/>
      <c r="S5"/>
      <c r="T5"/>
      <c r="U5"/>
      <c r="V5"/>
      <c r="W5"/>
      <c r="Y5"/>
      <c r="Z5" s="128"/>
      <c r="AA5" s="124"/>
      <c r="AB5" s="124"/>
      <c r="AC5" s="124"/>
      <c r="AD5" s="124"/>
      <c r="AE5" s="124"/>
    </row>
    <row r="6" spans="1:31" s="6" customFormat="1" ht="109" customHeight="1" x14ac:dyDescent="0.15">
      <c r="A6" s="40" t="s">
        <v>428</v>
      </c>
      <c r="B6">
        <v>8.4</v>
      </c>
      <c r="C6"/>
      <c r="D6">
        <v>8.8000000000000007</v>
      </c>
      <c r="E6"/>
      <c r="F6">
        <v>10.1</v>
      </c>
      <c r="H6">
        <v>11.1</v>
      </c>
      <c r="I6"/>
      <c r="J6">
        <v>11.1</v>
      </c>
      <c r="K6"/>
      <c r="L6">
        <v>11.1</v>
      </c>
      <c r="M6"/>
      <c r="N6"/>
      <c r="O6"/>
      <c r="P6"/>
      <c r="Q6"/>
      <c r="R6"/>
      <c r="S6"/>
      <c r="T6"/>
      <c r="U6"/>
      <c r="V6"/>
      <c r="W6"/>
      <c r="Z6" s="128"/>
      <c r="AA6" s="124"/>
      <c r="AB6" s="124"/>
      <c r="AC6" s="124"/>
      <c r="AD6" s="124"/>
      <c r="AE6" s="124"/>
    </row>
    <row r="7" spans="1:31" s="6" customFormat="1" ht="38" customHeight="1" x14ac:dyDescent="0.15">
      <c r="A7" s="123" t="s">
        <v>519</v>
      </c>
      <c r="B7" s="124"/>
      <c r="C7" s="124"/>
      <c r="D7" s="124"/>
      <c r="E7" s="124"/>
      <c r="F7" s="124"/>
      <c r="G7" s="124"/>
      <c r="H7" s="124"/>
      <c r="I7" s="124"/>
      <c r="J7" s="124"/>
      <c r="K7" s="124"/>
      <c r="L7" s="124"/>
      <c r="M7" s="124"/>
      <c r="N7" s="124"/>
      <c r="O7" s="124"/>
      <c r="P7" s="124"/>
      <c r="Q7"/>
      <c r="R7"/>
      <c r="S7"/>
      <c r="T7"/>
      <c r="U7"/>
      <c r="V7"/>
      <c r="W7"/>
      <c r="Y7"/>
      <c r="Z7" s="41"/>
    </row>
    <row r="8" spans="1:31" s="6" customFormat="1" ht="64" customHeight="1" x14ac:dyDescent="0.15">
      <c r="A8" s="123" t="s">
        <v>535</v>
      </c>
      <c r="B8" s="124"/>
      <c r="C8" s="124"/>
      <c r="D8" s="124"/>
      <c r="E8" s="124"/>
      <c r="F8" s="124"/>
      <c r="G8" s="124"/>
      <c r="H8" s="124"/>
      <c r="I8" s="124"/>
      <c r="J8" s="124"/>
      <c r="K8" s="124"/>
      <c r="L8" s="124"/>
      <c r="M8" s="124"/>
      <c r="N8" s="124"/>
      <c r="O8" s="124"/>
      <c r="P8" s="124"/>
    </row>
    <row r="9" spans="1:31" s="6" customFormat="1" ht="20" x14ac:dyDescent="0.2">
      <c r="A9" s="30"/>
    </row>
    <row r="10" spans="1:31" s="34" customFormat="1" x14ac:dyDescent="0.15">
      <c r="A10" s="35" t="s">
        <v>974</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31" s="34" customFormat="1" x14ac:dyDescent="0.15">
      <c r="A11" s="35" t="s">
        <v>975</v>
      </c>
      <c r="B11" s="34">
        <v>50</v>
      </c>
      <c r="D11" s="34">
        <v>35.700000000000003</v>
      </c>
      <c r="F11" s="34">
        <v>52</v>
      </c>
      <c r="H11" s="34">
        <v>50.8</v>
      </c>
      <c r="J11" s="34">
        <v>50.6</v>
      </c>
      <c r="L11" s="34">
        <v>50.9</v>
      </c>
    </row>
    <row r="12" spans="1:31" s="6" customFormat="1" x14ac:dyDescent="0.15"/>
    <row r="13" spans="1:31" s="35" customFormat="1" x14ac:dyDescent="0.15">
      <c r="A13" s="35" t="s">
        <v>972</v>
      </c>
      <c r="B13" s="35" t="s">
        <v>31</v>
      </c>
      <c r="D13" s="35" t="s">
        <v>671</v>
      </c>
      <c r="F13" s="35" t="s">
        <v>672</v>
      </c>
      <c r="H13" s="35" t="s">
        <v>673</v>
      </c>
      <c r="J13" s="35" t="s">
        <v>674</v>
      </c>
      <c r="L13" s="35" t="s">
        <v>675</v>
      </c>
      <c r="N13" s="35" t="s">
        <v>676</v>
      </c>
      <c r="P13" s="35" t="s">
        <v>677</v>
      </c>
      <c r="R13" s="35" t="s">
        <v>678</v>
      </c>
      <c r="T13" s="35" t="s">
        <v>679</v>
      </c>
      <c r="V13" s="35" t="s">
        <v>680</v>
      </c>
      <c r="X13" s="35" t="s">
        <v>681</v>
      </c>
    </row>
    <row r="14" spans="1:31" x14ac:dyDescent="0.15">
      <c r="A14" s="1" t="s">
        <v>973</v>
      </c>
      <c r="B14">
        <v>51.9</v>
      </c>
      <c r="D14">
        <v>26.5</v>
      </c>
      <c r="F14">
        <v>43</v>
      </c>
      <c r="H14">
        <v>44.4</v>
      </c>
      <c r="J14">
        <v>53.6</v>
      </c>
      <c r="L14">
        <v>54.4</v>
      </c>
    </row>
    <row r="15" spans="1:31" s="6" customFormat="1" x14ac:dyDescent="0.15"/>
    <row r="16" spans="1:31" s="34" customFormat="1" x14ac:dyDescent="0.15">
      <c r="A16" s="35" t="s">
        <v>693</v>
      </c>
      <c r="B16" s="34" t="s">
        <v>31</v>
      </c>
      <c r="C16" s="34" t="s">
        <v>355</v>
      </c>
      <c r="D16" s="34" t="s">
        <v>32</v>
      </c>
      <c r="E16" s="34" t="s">
        <v>355</v>
      </c>
      <c r="F16" s="34" t="s">
        <v>33</v>
      </c>
      <c r="G16" s="34" t="s">
        <v>355</v>
      </c>
      <c r="H16" s="34" t="s">
        <v>34</v>
      </c>
      <c r="I16" s="34" t="s">
        <v>355</v>
      </c>
      <c r="J16" s="34" t="s">
        <v>35</v>
      </c>
      <c r="K16" s="34" t="s">
        <v>355</v>
      </c>
      <c r="L16" s="34" t="s">
        <v>36</v>
      </c>
      <c r="M16" s="34" t="s">
        <v>355</v>
      </c>
      <c r="N16" s="34" t="s">
        <v>37</v>
      </c>
      <c r="O16" s="34" t="s">
        <v>355</v>
      </c>
      <c r="P16" s="34" t="s">
        <v>38</v>
      </c>
      <c r="Q16" s="34" t="s">
        <v>355</v>
      </c>
      <c r="R16" s="34" t="s">
        <v>39</v>
      </c>
      <c r="S16" s="34" t="s">
        <v>355</v>
      </c>
      <c r="T16" s="34" t="s">
        <v>40</v>
      </c>
      <c r="U16" s="34" t="s">
        <v>355</v>
      </c>
      <c r="V16" s="34" t="s">
        <v>41</v>
      </c>
      <c r="W16" s="34" t="s">
        <v>355</v>
      </c>
      <c r="X16" s="34" t="s">
        <v>42</v>
      </c>
      <c r="Y16" s="34" t="s">
        <v>355</v>
      </c>
    </row>
    <row r="17" spans="1:24" s="6" customFormat="1" x14ac:dyDescent="0.15">
      <c r="A17" s="6" t="s">
        <v>694</v>
      </c>
      <c r="B17" s="6">
        <v>56.2</v>
      </c>
      <c r="D17" s="6">
        <v>37.299999999999997</v>
      </c>
      <c r="F17" s="6">
        <v>42.19</v>
      </c>
      <c r="H17" s="6">
        <v>42.2</v>
      </c>
      <c r="J17" s="6">
        <v>45.16</v>
      </c>
      <c r="L17" s="6">
        <v>49.1</v>
      </c>
    </row>
    <row r="18" spans="1:24" s="6" customFormat="1" x14ac:dyDescent="0.15"/>
    <row r="19" spans="1:24" s="35" customFormat="1" x14ac:dyDescent="0.15">
      <c r="A19" s="35" t="s">
        <v>217</v>
      </c>
      <c r="B19" s="35" t="s">
        <v>31</v>
      </c>
      <c r="D19" s="35" t="s">
        <v>660</v>
      </c>
      <c r="F19" s="35" t="s">
        <v>661</v>
      </c>
      <c r="H19" s="35" t="s">
        <v>662</v>
      </c>
      <c r="J19" s="35" t="s">
        <v>663</v>
      </c>
      <c r="L19" s="35" t="s">
        <v>664</v>
      </c>
      <c r="N19" s="35" t="s">
        <v>665</v>
      </c>
      <c r="P19" s="35" t="s">
        <v>666</v>
      </c>
      <c r="R19" s="35" t="s">
        <v>667</v>
      </c>
      <c r="T19" s="35" t="s">
        <v>668</v>
      </c>
      <c r="V19" s="35" t="s">
        <v>669</v>
      </c>
      <c r="X19" s="35" t="s">
        <v>670</v>
      </c>
    </row>
    <row r="20" spans="1:24" x14ac:dyDescent="0.15">
      <c r="A20" s="1" t="s">
        <v>502</v>
      </c>
      <c r="B20">
        <v>51.1</v>
      </c>
      <c r="D20">
        <v>40.299999999999997</v>
      </c>
      <c r="F20">
        <v>50.1</v>
      </c>
      <c r="H20">
        <v>49.4</v>
      </c>
      <c r="J20">
        <v>50.7</v>
      </c>
      <c r="L20">
        <v>51.2</v>
      </c>
    </row>
    <row r="21" spans="1:24" s="35" customFormat="1" x14ac:dyDescent="0.15">
      <c r="A21" s="35" t="s">
        <v>218</v>
      </c>
      <c r="B21" s="35" t="s">
        <v>31</v>
      </c>
      <c r="D21" s="35" t="s">
        <v>671</v>
      </c>
      <c r="F21" s="35" t="s">
        <v>672</v>
      </c>
      <c r="H21" s="35" t="s">
        <v>673</v>
      </c>
      <c r="J21" s="35" t="s">
        <v>674</v>
      </c>
      <c r="L21" s="35" t="s">
        <v>675</v>
      </c>
      <c r="N21" s="35" t="s">
        <v>676</v>
      </c>
      <c r="P21" s="35" t="s">
        <v>677</v>
      </c>
      <c r="R21" s="35" t="s">
        <v>678</v>
      </c>
      <c r="T21" s="35" t="s">
        <v>679</v>
      </c>
      <c r="V21" s="35" t="s">
        <v>680</v>
      </c>
      <c r="X21" s="35" t="s">
        <v>681</v>
      </c>
    </row>
    <row r="22" spans="1:24" x14ac:dyDescent="0.15">
      <c r="A22" s="1" t="s">
        <v>520</v>
      </c>
      <c r="B22">
        <v>51.9</v>
      </c>
      <c r="D22">
        <v>26.5</v>
      </c>
      <c r="F22">
        <v>43</v>
      </c>
      <c r="H22">
        <v>44.4</v>
      </c>
      <c r="J22">
        <v>55</v>
      </c>
    </row>
    <row r="23" spans="1:24" s="6" customFormat="1" x14ac:dyDescent="0.15"/>
    <row r="24" spans="1:24" s="6" customFormat="1" ht="94" customHeight="1" x14ac:dyDescent="0.15">
      <c r="A24" s="28" t="s">
        <v>376</v>
      </c>
      <c r="B24" s="123" t="s">
        <v>429</v>
      </c>
      <c r="C24" s="124"/>
      <c r="D24" s="124"/>
      <c r="E24" s="124"/>
      <c r="F24" s="124"/>
      <c r="G24" s="124"/>
      <c r="H24" s="124"/>
      <c r="I24" s="124"/>
      <c r="J24" s="124"/>
      <c r="K24" s="124"/>
      <c r="L24" s="124"/>
      <c r="M24" s="124"/>
      <c r="N24" s="124"/>
      <c r="O24" s="124"/>
      <c r="P24" s="124"/>
      <c r="Q24" s="39"/>
      <c r="R24" s="39"/>
    </row>
    <row r="25" spans="1:24" s="6" customFormat="1" ht="96" customHeight="1" x14ac:dyDescent="0.15">
      <c r="A25" s="28" t="s">
        <v>377</v>
      </c>
      <c r="B25" s="123" t="s">
        <v>378</v>
      </c>
      <c r="C25" s="124"/>
      <c r="D25" s="124"/>
      <c r="E25" s="124"/>
      <c r="F25" s="124"/>
      <c r="G25" s="124"/>
      <c r="H25" s="124"/>
      <c r="I25" s="124"/>
      <c r="J25" s="124"/>
      <c r="K25" s="124"/>
      <c r="L25" s="124"/>
      <c r="M25" s="124"/>
      <c r="N25" s="124"/>
      <c r="O25" s="124"/>
      <c r="P25" s="124"/>
      <c r="Q25" s="39"/>
      <c r="R25" s="39"/>
    </row>
    <row r="26" spans="1:24" s="6" customFormat="1" ht="44" customHeight="1" x14ac:dyDescent="0.15">
      <c r="A26" s="28" t="s">
        <v>384</v>
      </c>
      <c r="B26" s="127" t="s">
        <v>383</v>
      </c>
      <c r="C26" s="128"/>
      <c r="D26" s="128"/>
      <c r="E26" s="128"/>
      <c r="F26" s="128"/>
      <c r="G26" s="128"/>
      <c r="H26" s="128"/>
      <c r="I26" s="128"/>
      <c r="J26" s="128"/>
      <c r="K26" s="128"/>
      <c r="L26" s="128"/>
      <c r="M26" s="128"/>
      <c r="N26" s="128"/>
      <c r="O26" s="128"/>
      <c r="P26" s="128"/>
      <c r="Q26" s="39"/>
      <c r="R26" s="39"/>
    </row>
    <row r="27" spans="1:24" s="6" customFormat="1" ht="73" customHeight="1" x14ac:dyDescent="0.15">
      <c r="A27" s="31" t="s">
        <v>385</v>
      </c>
      <c r="B27" s="127" t="s">
        <v>386</v>
      </c>
      <c r="C27" s="128"/>
      <c r="D27" s="128"/>
      <c r="E27" s="128"/>
      <c r="F27" s="128"/>
      <c r="G27" s="128"/>
      <c r="H27" s="128"/>
      <c r="I27" s="128"/>
      <c r="J27" s="128"/>
      <c r="K27" s="128"/>
      <c r="L27" s="128"/>
      <c r="M27" s="128"/>
      <c r="N27" s="128"/>
      <c r="O27" s="128"/>
      <c r="P27" s="128"/>
      <c r="Q27" s="39"/>
      <c r="R27" s="39"/>
    </row>
    <row r="28" spans="1:24" s="6" customFormat="1" ht="79" customHeight="1" x14ac:dyDescent="0.15">
      <c r="A28" s="31" t="s">
        <v>387</v>
      </c>
      <c r="B28" s="127" t="s">
        <v>388</v>
      </c>
      <c r="C28" s="128"/>
      <c r="D28" s="128"/>
      <c r="E28" s="128"/>
      <c r="F28" s="128"/>
      <c r="G28" s="128"/>
      <c r="H28" s="128"/>
      <c r="I28" s="128"/>
      <c r="J28" s="128"/>
      <c r="K28" s="128"/>
      <c r="L28" s="128"/>
      <c r="M28" s="128"/>
      <c r="N28" s="128"/>
      <c r="O28" s="128"/>
      <c r="P28" s="128"/>
      <c r="Q28" s="39"/>
      <c r="R28" s="39"/>
    </row>
    <row r="29" spans="1:24" x14ac:dyDescent="0.15">
      <c r="A29" s="1" t="s">
        <v>515</v>
      </c>
      <c r="B29" t="s">
        <v>516</v>
      </c>
    </row>
    <row r="34" spans="1:26" s="34" customFormat="1" x14ac:dyDescent="0.15">
      <c r="A34" s="34" t="s">
        <v>704</v>
      </c>
      <c r="B34" s="34" t="s">
        <v>31</v>
      </c>
      <c r="D34" s="34" t="s">
        <v>652</v>
      </c>
      <c r="F34" s="34" t="s">
        <v>653</v>
      </c>
      <c r="H34" s="34" t="s">
        <v>654</v>
      </c>
      <c r="J34" s="34" t="s">
        <v>644</v>
      </c>
      <c r="L34" s="34" t="s">
        <v>645</v>
      </c>
      <c r="N34" s="34" t="s">
        <v>655</v>
      </c>
      <c r="P34" s="34" t="s">
        <v>647</v>
      </c>
      <c r="R34" s="34" t="s">
        <v>656</v>
      </c>
      <c r="T34" s="34" t="s">
        <v>657</v>
      </c>
      <c r="V34" s="34" t="s">
        <v>658</v>
      </c>
      <c r="X34" s="34" t="s">
        <v>659</v>
      </c>
    </row>
    <row r="35" spans="1:26" x14ac:dyDescent="0.15">
      <c r="A35" s="1" t="s">
        <v>521</v>
      </c>
      <c r="B35">
        <v>5.4</v>
      </c>
      <c r="D35">
        <v>5.2</v>
      </c>
      <c r="F35">
        <v>4.3</v>
      </c>
      <c r="H35">
        <v>3.3</v>
      </c>
      <c r="J35">
        <v>2.4</v>
      </c>
      <c r="L35">
        <v>2.5</v>
      </c>
      <c r="Z35" s="128" t="s">
        <v>374</v>
      </c>
    </row>
    <row r="36" spans="1:26" x14ac:dyDescent="0.15">
      <c r="A36" s="1" t="s">
        <v>522</v>
      </c>
      <c r="B36">
        <v>0.1</v>
      </c>
      <c r="D36">
        <v>-0.4</v>
      </c>
      <c r="F36">
        <v>-1.5</v>
      </c>
      <c r="H36">
        <v>-3.1</v>
      </c>
      <c r="J36">
        <v>-3.7</v>
      </c>
      <c r="L36">
        <v>-3</v>
      </c>
      <c r="Z36" s="128"/>
    </row>
    <row r="37" spans="1:26" x14ac:dyDescent="0.15">
      <c r="A37" s="1" t="s">
        <v>523</v>
      </c>
      <c r="B37" s="27">
        <f>B36-B35</f>
        <v>-5.3000000000000007</v>
      </c>
      <c r="C37" s="27"/>
      <c r="D37">
        <f>D36-D35</f>
        <v>-5.6000000000000005</v>
      </c>
      <c r="F37">
        <f>F36-F35</f>
        <v>-5.8</v>
      </c>
      <c r="H37">
        <f>H36-H35</f>
        <v>-6.4</v>
      </c>
      <c r="J37">
        <f>J36-J35</f>
        <v>-6.1</v>
      </c>
      <c r="L37">
        <f>L36-L35</f>
        <v>-5.5</v>
      </c>
      <c r="Z37" s="124"/>
    </row>
    <row r="38" spans="1:26" x14ac:dyDescent="0.15">
      <c r="Z38" s="124"/>
    </row>
    <row r="39" spans="1:26" s="34" customFormat="1" ht="30" x14ac:dyDescent="0.15">
      <c r="A39" s="58" t="s">
        <v>703</v>
      </c>
      <c r="B39" s="34" t="s">
        <v>31</v>
      </c>
      <c r="D39" s="34" t="s">
        <v>652</v>
      </c>
      <c r="F39" s="34" t="s">
        <v>653</v>
      </c>
      <c r="H39" s="34" t="s">
        <v>654</v>
      </c>
      <c r="J39" s="34" t="s">
        <v>644</v>
      </c>
      <c r="L39" s="34" t="s">
        <v>645</v>
      </c>
      <c r="N39" s="34" t="s">
        <v>655</v>
      </c>
      <c r="P39" s="34" t="s">
        <v>647</v>
      </c>
      <c r="R39" s="34" t="s">
        <v>656</v>
      </c>
      <c r="T39" s="34" t="s">
        <v>657</v>
      </c>
      <c r="V39" s="34" t="s">
        <v>658</v>
      </c>
      <c r="X39" s="34" t="s">
        <v>659</v>
      </c>
    </row>
    <row r="40" spans="1:26" x14ac:dyDescent="0.15">
      <c r="A40" s="1" t="s">
        <v>524</v>
      </c>
      <c r="D40">
        <v>-13.5</v>
      </c>
      <c r="F40">
        <v>-1.1000000000000001</v>
      </c>
      <c r="H40">
        <v>3.9</v>
      </c>
      <c r="J40">
        <v>4.4000000000000004</v>
      </c>
      <c r="L40">
        <v>4.8</v>
      </c>
      <c r="X40" s="6"/>
    </row>
    <row r="41" spans="1:26" x14ac:dyDescent="0.15">
      <c r="A41" s="1" t="s">
        <v>525</v>
      </c>
      <c r="D41">
        <v>-24.5</v>
      </c>
      <c r="F41">
        <v>-16.100000000000001</v>
      </c>
      <c r="H41">
        <v>-10.3</v>
      </c>
      <c r="J41">
        <v>-6.3</v>
      </c>
      <c r="L41">
        <v>-3.1</v>
      </c>
    </row>
    <row r="42" spans="1:26" x14ac:dyDescent="0.15">
      <c r="A42" s="1" t="s">
        <v>997</v>
      </c>
      <c r="D42">
        <v>-16.3</v>
      </c>
      <c r="F42">
        <v>-7.7</v>
      </c>
      <c r="H42">
        <v>-3.3</v>
      </c>
      <c r="J42">
        <v>-0.3</v>
      </c>
      <c r="L42">
        <v>1.9</v>
      </c>
    </row>
    <row r="43" spans="1:26" x14ac:dyDescent="0.15">
      <c r="A43" s="1" t="s">
        <v>625</v>
      </c>
      <c r="D43">
        <v>-20.5</v>
      </c>
      <c r="F43">
        <v>-15.8</v>
      </c>
      <c r="H43">
        <v>-7.5</v>
      </c>
      <c r="J43">
        <v>-2.8</v>
      </c>
      <c r="L43">
        <v>-1.8</v>
      </c>
    </row>
    <row r="44" spans="1:26" x14ac:dyDescent="0.15">
      <c r="A44" s="1" t="s">
        <v>901</v>
      </c>
      <c r="D44">
        <v>-9.5</v>
      </c>
      <c r="F44">
        <v>-6.6</v>
      </c>
      <c r="H44">
        <v>3.5</v>
      </c>
      <c r="J44">
        <v>-3.3</v>
      </c>
    </row>
    <row r="45" spans="1:26" s="6" customFormat="1" x14ac:dyDescent="0.15"/>
    <row r="46" spans="1:26" s="34" customFormat="1" ht="16" customHeight="1" x14ac:dyDescent="0.15">
      <c r="A46" s="34" t="s">
        <v>998</v>
      </c>
      <c r="B46" s="34">
        <v>1</v>
      </c>
      <c r="D46" s="34">
        <v>2</v>
      </c>
      <c r="F46" s="34">
        <v>3</v>
      </c>
      <c r="H46" s="34">
        <v>4</v>
      </c>
      <c r="J46" s="34">
        <v>5</v>
      </c>
      <c r="L46" s="34">
        <v>6</v>
      </c>
      <c r="N46" s="34">
        <v>7</v>
      </c>
      <c r="P46" s="34">
        <v>8</v>
      </c>
      <c r="R46" s="34">
        <v>9</v>
      </c>
      <c r="T46" s="34">
        <v>10</v>
      </c>
      <c r="V46" s="34">
        <v>11</v>
      </c>
      <c r="X46" s="34">
        <v>12</v>
      </c>
    </row>
    <row r="47" spans="1:26" s="34" customFormat="1" x14ac:dyDescent="0.15">
      <c r="A47" s="35"/>
      <c r="D47" s="34">
        <v>-16.3</v>
      </c>
      <c r="F47" s="34">
        <v>-7.7</v>
      </c>
      <c r="H47" s="34">
        <v>-3.3</v>
      </c>
      <c r="J47" s="34">
        <v>-0.3</v>
      </c>
      <c r="L47" s="34">
        <v>1.9</v>
      </c>
    </row>
    <row r="48" spans="1:26" ht="20" x14ac:dyDescent="0.2">
      <c r="A48" s="1" t="s">
        <v>999</v>
      </c>
      <c r="D48" s="2">
        <v>-12.5</v>
      </c>
      <c r="E48" s="2"/>
      <c r="F48" s="2">
        <v>-6.1</v>
      </c>
      <c r="G48" s="2"/>
      <c r="H48" s="2">
        <v>-3.1</v>
      </c>
      <c r="I48" s="2"/>
      <c r="J48" s="6">
        <v>-0.1</v>
      </c>
      <c r="K48" s="2"/>
      <c r="L48" s="120">
        <v>2.2999999999999998</v>
      </c>
      <c r="M48" s="2"/>
      <c r="N48" s="2"/>
      <c r="O48" s="2"/>
      <c r="P48" s="2"/>
      <c r="Q48" s="2"/>
      <c r="R48" s="2"/>
      <c r="S48" s="2"/>
      <c r="T48" s="2"/>
      <c r="U48" s="2"/>
      <c r="V48" s="2"/>
      <c r="W48" s="2"/>
      <c r="Y48" s="2"/>
    </row>
    <row r="49" spans="1:25" ht="16" x14ac:dyDescent="0.2">
      <c r="A49" s="1" t="s">
        <v>1000</v>
      </c>
      <c r="D49" s="2">
        <v>-25.9</v>
      </c>
      <c r="E49" s="2"/>
      <c r="F49" s="2">
        <v>-18.7</v>
      </c>
      <c r="G49" s="2"/>
      <c r="H49" s="2">
        <v>-10.6</v>
      </c>
      <c r="I49" s="2"/>
      <c r="J49" s="6">
        <v>-6.8</v>
      </c>
      <c r="K49" s="2"/>
      <c r="L49">
        <v>-4.8</v>
      </c>
      <c r="M49" s="2"/>
      <c r="N49" s="2"/>
      <c r="O49" s="2"/>
      <c r="P49" s="2"/>
      <c r="Q49" s="2"/>
      <c r="R49" s="2"/>
      <c r="S49" s="2"/>
      <c r="T49" s="2"/>
      <c r="U49" s="2"/>
      <c r="V49" s="2"/>
      <c r="W49" s="2"/>
      <c r="Y49" s="2"/>
    </row>
    <row r="50" spans="1:25" ht="20" x14ac:dyDescent="0.2">
      <c r="A50" s="1" t="s">
        <v>1001</v>
      </c>
      <c r="D50" s="2">
        <v>-16.100000000000001</v>
      </c>
      <c r="E50" s="2"/>
      <c r="F50" s="2">
        <v>-0.8</v>
      </c>
      <c r="G50" s="2"/>
      <c r="H50" s="120">
        <v>3.7</v>
      </c>
      <c r="I50" s="2"/>
      <c r="J50" s="120">
        <v>5.6</v>
      </c>
      <c r="K50" s="2"/>
      <c r="L50" s="120">
        <v>7.6</v>
      </c>
      <c r="M50" s="2"/>
      <c r="N50" s="2"/>
      <c r="O50" s="2"/>
      <c r="P50" s="2"/>
      <c r="Q50" s="2"/>
      <c r="R50" s="2"/>
      <c r="S50" s="2"/>
      <c r="T50" s="2"/>
      <c r="U50" s="2"/>
      <c r="V50" s="2"/>
      <c r="W50" s="2"/>
      <c r="Y50" s="2"/>
    </row>
    <row r="51" spans="1:25" s="6" customFormat="1" x14ac:dyDescent="0.15"/>
    <row r="52" spans="1:25" s="34" customFormat="1" ht="16" customHeight="1" x14ac:dyDescent="0.15">
      <c r="A52" s="34" t="s">
        <v>702</v>
      </c>
      <c r="B52" s="34">
        <v>1</v>
      </c>
      <c r="D52" s="34">
        <v>2</v>
      </c>
      <c r="F52" s="34">
        <v>3</v>
      </c>
      <c r="H52" s="34">
        <v>4</v>
      </c>
      <c r="J52" s="34">
        <v>5</v>
      </c>
      <c r="L52" s="34">
        <v>6</v>
      </c>
      <c r="N52" s="34">
        <v>7</v>
      </c>
      <c r="P52" s="34">
        <v>8</v>
      </c>
      <c r="R52" s="34">
        <v>9</v>
      </c>
      <c r="T52" s="34">
        <v>10</v>
      </c>
      <c r="V52" s="34">
        <v>11</v>
      </c>
      <c r="X52" s="34">
        <v>12</v>
      </c>
    </row>
    <row r="53" spans="1:25" s="34" customFormat="1" x14ac:dyDescent="0.15">
      <c r="A53" s="35"/>
      <c r="D53" s="34">
        <v>-24.5</v>
      </c>
      <c r="F53" s="34">
        <v>-16.100000000000001</v>
      </c>
      <c r="H53" s="34">
        <v>-10.3</v>
      </c>
      <c r="J53" s="34">
        <v>-6.3</v>
      </c>
      <c r="L53" s="34">
        <v>-3.1</v>
      </c>
    </row>
    <row r="54" spans="1:25" ht="16" x14ac:dyDescent="0.2">
      <c r="A54" s="1" t="s">
        <v>1002</v>
      </c>
      <c r="D54" s="2">
        <v>-38.9</v>
      </c>
      <c r="E54" s="2"/>
      <c r="F54" s="2">
        <v>-32.799999999999997</v>
      </c>
      <c r="G54" s="2"/>
      <c r="H54" s="2">
        <v>-27.9</v>
      </c>
      <c r="I54" s="2"/>
      <c r="J54" s="6">
        <v>-22.9</v>
      </c>
      <c r="K54" s="2"/>
      <c r="L54" s="2">
        <v>-16.8</v>
      </c>
      <c r="M54" s="2"/>
      <c r="N54" s="2"/>
      <c r="O54" s="2"/>
      <c r="P54" s="2"/>
      <c r="Q54" s="2"/>
      <c r="R54" s="2"/>
      <c r="S54" s="2"/>
      <c r="T54" s="2"/>
      <c r="U54" s="2"/>
      <c r="V54" s="2"/>
      <c r="W54" s="2"/>
      <c r="Y54" s="2"/>
    </row>
    <row r="55" spans="1:25" ht="16" x14ac:dyDescent="0.2">
      <c r="A55" s="1" t="s">
        <v>611</v>
      </c>
      <c r="D55" s="2">
        <v>-35.1</v>
      </c>
      <c r="E55" s="2"/>
      <c r="F55" s="2">
        <v>-29.1</v>
      </c>
      <c r="G55" s="2"/>
      <c r="H55" s="2">
        <v>-21.5</v>
      </c>
      <c r="I55" s="2"/>
      <c r="J55" s="6">
        <v>-17.899999999999999</v>
      </c>
      <c r="K55" s="2"/>
      <c r="L55" s="2">
        <v>-12.6</v>
      </c>
      <c r="M55" s="2"/>
      <c r="N55" s="2"/>
      <c r="O55" s="2"/>
      <c r="P55" s="2"/>
      <c r="Q55" s="2"/>
      <c r="R55" s="2"/>
      <c r="S55" s="2"/>
      <c r="T55" s="2"/>
      <c r="U55" s="2"/>
      <c r="V55" s="2"/>
      <c r="W55" s="2"/>
      <c r="Y55" s="2"/>
    </row>
    <row r="56" spans="1:25" ht="16" x14ac:dyDescent="0.2">
      <c r="A56" s="1" t="s">
        <v>612</v>
      </c>
      <c r="D56" s="2">
        <v>-44</v>
      </c>
      <c r="E56" s="2"/>
      <c r="F56" s="2">
        <v>-37.1</v>
      </c>
      <c r="G56" s="2"/>
      <c r="H56" s="2">
        <v>-32.5</v>
      </c>
      <c r="I56" s="2"/>
      <c r="J56" s="6">
        <v>-26.2</v>
      </c>
      <c r="K56" s="2"/>
      <c r="L56" s="2">
        <v>-22.4</v>
      </c>
      <c r="M56" s="2"/>
      <c r="N56" s="2"/>
      <c r="O56" s="2"/>
      <c r="P56" s="2"/>
      <c r="Q56" s="2"/>
      <c r="R56" s="2"/>
      <c r="S56" s="2"/>
      <c r="T56" s="2"/>
      <c r="U56" s="2"/>
      <c r="V56" s="2"/>
      <c r="W56" s="2"/>
      <c r="Y56" s="2"/>
    </row>
    <row r="57" spans="1:25" ht="16" x14ac:dyDescent="0.2">
      <c r="A57" s="1" t="s">
        <v>613</v>
      </c>
      <c r="D57" s="2">
        <v>-33</v>
      </c>
      <c r="E57" s="2"/>
      <c r="F57" s="2">
        <v>-30.8</v>
      </c>
      <c r="G57" s="2"/>
      <c r="H57" s="2">
        <v>-22.4</v>
      </c>
      <c r="I57" s="2"/>
      <c r="J57" s="6">
        <v>-17.8</v>
      </c>
      <c r="K57" s="2"/>
      <c r="L57" s="2">
        <v>-14.2</v>
      </c>
      <c r="M57" s="2"/>
      <c r="N57" s="2"/>
      <c r="O57" s="2"/>
      <c r="P57" s="2"/>
      <c r="Q57" s="2"/>
      <c r="R57" s="2"/>
      <c r="S57" s="2"/>
      <c r="T57" s="2"/>
      <c r="U57" s="2"/>
      <c r="V57" s="2"/>
      <c r="W57" s="2"/>
      <c r="Y57" s="2"/>
    </row>
    <row r="58" spans="1:25" ht="16" x14ac:dyDescent="0.2">
      <c r="A58" s="1" t="s">
        <v>614</v>
      </c>
      <c r="D58" s="2">
        <v>-22.1</v>
      </c>
      <c r="E58" s="2"/>
      <c r="F58" s="2">
        <v>-11.9</v>
      </c>
      <c r="G58" s="2"/>
      <c r="H58" s="2">
        <v>-2.7</v>
      </c>
      <c r="I58" s="2"/>
      <c r="J58" s="6">
        <v>6.9</v>
      </c>
      <c r="K58" s="2"/>
      <c r="L58" s="2">
        <v>13.6</v>
      </c>
      <c r="M58" s="2"/>
      <c r="N58" s="2"/>
      <c r="O58" s="2"/>
      <c r="P58" s="2"/>
      <c r="Q58" s="2"/>
      <c r="R58" s="2"/>
      <c r="S58" s="2"/>
      <c r="T58" s="2"/>
      <c r="U58" s="2"/>
      <c r="V58" s="2"/>
      <c r="W58" s="2"/>
      <c r="Y58" s="2"/>
    </row>
    <row r="59" spans="1:25" ht="16" x14ac:dyDescent="0.2">
      <c r="A59" s="1" t="s">
        <v>615</v>
      </c>
      <c r="D59" s="2">
        <v>-17.3</v>
      </c>
      <c r="E59" s="2"/>
      <c r="F59" s="2">
        <v>-11.6</v>
      </c>
      <c r="G59" s="2"/>
      <c r="H59" s="2">
        <v>-9.6999999999999993</v>
      </c>
      <c r="I59" s="2"/>
      <c r="J59" s="6">
        <v>-5.6</v>
      </c>
      <c r="K59" s="2"/>
      <c r="L59" s="2">
        <v>-9.6</v>
      </c>
      <c r="M59" s="2"/>
      <c r="N59" s="2"/>
      <c r="O59" s="2"/>
      <c r="P59" s="2"/>
      <c r="Q59" s="2"/>
      <c r="R59" s="2"/>
      <c r="S59" s="2"/>
      <c r="T59" s="2"/>
      <c r="U59" s="2"/>
      <c r="V59" s="2"/>
      <c r="W59" s="2"/>
      <c r="Y59" s="2"/>
    </row>
    <row r="60" spans="1:25" ht="16" x14ac:dyDescent="0.2">
      <c r="A60" s="1" t="s">
        <v>616</v>
      </c>
      <c r="D60" s="2">
        <v>-38.1</v>
      </c>
      <c r="E60" s="2"/>
      <c r="F60" s="2">
        <v>-31.3</v>
      </c>
      <c r="G60" s="2"/>
      <c r="H60" s="2">
        <v>-23.8</v>
      </c>
      <c r="I60" s="2"/>
      <c r="J60" s="6">
        <v>-19.399999999999999</v>
      </c>
      <c r="K60" s="2"/>
      <c r="L60" s="2">
        <v>-16.5</v>
      </c>
      <c r="M60" s="2"/>
      <c r="N60" s="2"/>
      <c r="O60" s="2"/>
      <c r="P60" s="2"/>
      <c r="Q60" s="2"/>
      <c r="R60" s="2"/>
      <c r="S60" s="2"/>
      <c r="T60" s="2"/>
      <c r="U60" s="2"/>
      <c r="V60" s="2"/>
      <c r="W60" s="2"/>
      <c r="Y60" s="2"/>
    </row>
    <row r="61" spans="1:25" ht="16" x14ac:dyDescent="0.2">
      <c r="A61" s="1" t="s">
        <v>617</v>
      </c>
      <c r="D61" s="2">
        <v>-40.1</v>
      </c>
      <c r="E61" s="2"/>
      <c r="F61" s="2">
        <v>-32.1</v>
      </c>
      <c r="G61" s="2"/>
      <c r="H61" s="2">
        <v>-25.1</v>
      </c>
      <c r="I61" s="2"/>
      <c r="J61" s="6">
        <v>-20.2</v>
      </c>
      <c r="K61" s="2"/>
      <c r="L61" s="2">
        <v>-18</v>
      </c>
      <c r="M61" s="2"/>
      <c r="N61" s="2"/>
      <c r="O61" s="2"/>
      <c r="P61" s="2"/>
      <c r="Q61" s="2"/>
      <c r="R61" s="2"/>
      <c r="S61" s="2"/>
      <c r="T61" s="2"/>
      <c r="U61" s="2"/>
      <c r="V61" s="2"/>
      <c r="W61" s="2"/>
      <c r="Y61" s="2"/>
    </row>
    <row r="62" spans="1:25" ht="16" x14ac:dyDescent="0.2">
      <c r="A62" s="1" t="s">
        <v>618</v>
      </c>
      <c r="D62" s="2">
        <v>-36.200000000000003</v>
      </c>
      <c r="E62" s="2"/>
      <c r="F62" s="2">
        <v>-27.1</v>
      </c>
      <c r="G62" s="2"/>
      <c r="H62" s="2">
        <v>-19.600000000000001</v>
      </c>
      <c r="I62" s="2"/>
      <c r="J62" s="6">
        <v>-15.2</v>
      </c>
      <c r="K62" s="2"/>
      <c r="L62" s="2">
        <v>-12.7</v>
      </c>
      <c r="M62" s="2"/>
      <c r="N62" s="2"/>
      <c r="O62" s="2"/>
      <c r="P62" s="2"/>
      <c r="Q62" s="2"/>
      <c r="R62" s="2"/>
      <c r="S62" s="2"/>
      <c r="T62" s="2"/>
      <c r="U62" s="2"/>
      <c r="V62" s="2"/>
      <c r="W62" s="2"/>
      <c r="Y62" s="2"/>
    </row>
    <row r="63" spans="1:25" ht="16" x14ac:dyDescent="0.2">
      <c r="A63" s="1" t="s">
        <v>619</v>
      </c>
      <c r="D63" s="2">
        <v>-41.1</v>
      </c>
      <c r="E63" s="2"/>
      <c r="F63" s="2">
        <v>-27.2</v>
      </c>
      <c r="G63" s="2"/>
      <c r="H63" s="2">
        <v>-22.9</v>
      </c>
      <c r="I63" s="2"/>
      <c r="J63" s="6">
        <v>-23.2</v>
      </c>
      <c r="K63" s="2"/>
      <c r="L63" s="2">
        <v>-20.9</v>
      </c>
      <c r="M63" s="2"/>
      <c r="N63" s="2"/>
      <c r="O63" s="2"/>
      <c r="P63" s="2"/>
      <c r="Q63" s="2"/>
      <c r="R63" s="2"/>
      <c r="S63" s="2"/>
      <c r="T63" s="2"/>
      <c r="U63" s="2"/>
      <c r="V63" s="2"/>
      <c r="W63" s="2"/>
      <c r="Y63" s="2"/>
    </row>
    <row r="64" spans="1:25" ht="16" x14ac:dyDescent="0.2">
      <c r="A64" s="1" t="s">
        <v>620</v>
      </c>
      <c r="D64" s="2">
        <v>-39.700000000000003</v>
      </c>
      <c r="E64" s="2"/>
      <c r="F64" s="2">
        <v>-31.6</v>
      </c>
      <c r="G64" s="2"/>
      <c r="H64" s="2">
        <v>-26.2</v>
      </c>
      <c r="I64" s="2"/>
      <c r="J64" s="6">
        <v>-21.5</v>
      </c>
      <c r="K64" s="2"/>
      <c r="L64" s="2">
        <v>-16.3</v>
      </c>
      <c r="M64" s="2"/>
      <c r="N64" s="2"/>
      <c r="O64" s="2"/>
      <c r="P64" s="2"/>
      <c r="Q64" s="2"/>
      <c r="R64" s="2"/>
      <c r="S64" s="2"/>
      <c r="T64" s="2"/>
      <c r="U64" s="2"/>
      <c r="V64" s="2"/>
      <c r="W64" s="2"/>
      <c r="Y64" s="2"/>
    </row>
    <row r="65" spans="1:25" ht="16" x14ac:dyDescent="0.2">
      <c r="A65" s="1" t="s">
        <v>621</v>
      </c>
      <c r="D65" s="2">
        <v>-33.700000000000003</v>
      </c>
      <c r="E65" s="2"/>
      <c r="F65" s="2">
        <v>-27.8</v>
      </c>
      <c r="G65" s="2"/>
      <c r="H65" s="2">
        <v>-23</v>
      </c>
      <c r="I65" s="2"/>
      <c r="J65" s="6">
        <v>-20.100000000000001</v>
      </c>
      <c r="K65" s="2"/>
      <c r="L65" s="2">
        <v>-17.100000000000001</v>
      </c>
      <c r="M65" s="2"/>
      <c r="N65" s="2"/>
      <c r="O65" s="2"/>
      <c r="P65" s="2"/>
      <c r="Q65" s="2"/>
      <c r="R65" s="2"/>
      <c r="S65" s="2"/>
      <c r="T65" s="2"/>
      <c r="U65" s="2"/>
      <c r="V65" s="2"/>
      <c r="W65" s="2"/>
      <c r="Y65" s="2"/>
    </row>
    <row r="66" spans="1:25" ht="16" x14ac:dyDescent="0.2">
      <c r="A66" s="1" t="s">
        <v>622</v>
      </c>
      <c r="D66" s="2">
        <v>-8.3000000000000007</v>
      </c>
      <c r="E66" s="2"/>
      <c r="F66" s="2">
        <v>-10.199999999999999</v>
      </c>
      <c r="G66" s="2"/>
      <c r="H66" s="2">
        <v>1.1000000000000001</v>
      </c>
      <c r="I66" s="2"/>
      <c r="J66" s="6">
        <v>6.9</v>
      </c>
      <c r="K66" s="2"/>
      <c r="L66" s="2">
        <v>9.4</v>
      </c>
      <c r="M66" s="2"/>
      <c r="N66" s="2"/>
      <c r="O66" s="2"/>
      <c r="P66" s="2"/>
      <c r="Q66" s="2"/>
      <c r="R66" s="2"/>
      <c r="S66" s="2"/>
      <c r="T66" s="2"/>
      <c r="U66" s="2"/>
      <c r="V66" s="2"/>
      <c r="W66" s="2"/>
      <c r="Y66" s="2"/>
    </row>
    <row r="67" spans="1:25" ht="16" x14ac:dyDescent="0.2">
      <c r="A67" s="1" t="s">
        <v>623</v>
      </c>
      <c r="D67" s="2">
        <v>-6.4</v>
      </c>
      <c r="E67" s="2"/>
      <c r="F67" s="2">
        <v>2</v>
      </c>
      <c r="G67" s="2"/>
      <c r="H67" s="2">
        <v>7.6</v>
      </c>
      <c r="I67" s="2"/>
      <c r="J67" s="6">
        <v>13.8</v>
      </c>
      <c r="K67" s="2"/>
      <c r="L67" s="2">
        <v>18.2</v>
      </c>
      <c r="M67" s="2"/>
      <c r="N67" s="2"/>
      <c r="O67" s="2"/>
      <c r="P67" s="2"/>
      <c r="Q67" s="2"/>
      <c r="R67" s="2"/>
      <c r="S67" s="2"/>
      <c r="T67" s="2"/>
      <c r="U67" s="2"/>
      <c r="V67" s="2"/>
      <c r="W67" s="2"/>
      <c r="Y67" s="2"/>
    </row>
    <row r="68" spans="1:25" ht="16" x14ac:dyDescent="0.2">
      <c r="A68" s="1" t="s">
        <v>624</v>
      </c>
      <c r="D68" s="2">
        <v>-23.1</v>
      </c>
      <c r="E68" s="2"/>
      <c r="F68" s="2">
        <v>-19.7</v>
      </c>
      <c r="G68" s="2"/>
      <c r="H68" s="2">
        <v>-14.8</v>
      </c>
      <c r="I68" s="2"/>
      <c r="J68" s="6">
        <v>-8.1999999999999993</v>
      </c>
      <c r="K68" s="2"/>
      <c r="L68" s="2">
        <v>-6.9</v>
      </c>
      <c r="M68" s="2"/>
      <c r="N68" s="2"/>
      <c r="O68" s="2"/>
      <c r="P68" s="2"/>
      <c r="Q68" s="2"/>
      <c r="R68" s="2"/>
      <c r="S68" s="2"/>
      <c r="T68" s="2"/>
      <c r="U68" s="2"/>
      <c r="V68" s="2"/>
      <c r="W68" s="2"/>
      <c r="Y68" s="2"/>
    </row>
    <row r="69" spans="1:25" ht="16" x14ac:dyDescent="0.2">
      <c r="A69" s="1" t="s">
        <v>1003</v>
      </c>
      <c r="D69" s="2">
        <v>-30.3</v>
      </c>
      <c r="E69" s="2"/>
      <c r="F69" s="2">
        <v>-19.7</v>
      </c>
      <c r="G69" s="2"/>
      <c r="H69" s="2">
        <v>-11.8</v>
      </c>
      <c r="I69" s="2"/>
      <c r="J69" s="6">
        <v>-6.3</v>
      </c>
      <c r="K69" s="2"/>
      <c r="L69" s="1">
        <v>-2.7</v>
      </c>
      <c r="M69" s="2"/>
      <c r="N69" s="2"/>
      <c r="O69" s="2"/>
      <c r="P69" s="2"/>
      <c r="Q69" s="2"/>
      <c r="R69" s="2"/>
      <c r="S69" s="2"/>
      <c r="T69" s="2"/>
      <c r="U69" s="2"/>
      <c r="V69" s="2"/>
      <c r="W69" s="2"/>
      <c r="Y69" s="2"/>
    </row>
    <row r="70" spans="1:25" s="6" customFormat="1" x14ac:dyDescent="0.15"/>
    <row r="71" spans="1:25" s="34" customFormat="1" ht="16" customHeight="1" x14ac:dyDescent="0.15">
      <c r="A71" s="34" t="s">
        <v>701</v>
      </c>
      <c r="B71" s="34">
        <v>1</v>
      </c>
      <c r="D71" s="34">
        <v>2</v>
      </c>
      <c r="F71" s="34">
        <v>3</v>
      </c>
      <c r="H71" s="34">
        <v>4</v>
      </c>
      <c r="J71" s="34">
        <v>5</v>
      </c>
      <c r="L71" s="34">
        <v>6</v>
      </c>
      <c r="N71" s="34">
        <v>7</v>
      </c>
      <c r="P71" s="34">
        <v>8</v>
      </c>
      <c r="R71" s="34">
        <v>9</v>
      </c>
      <c r="T71" s="34">
        <v>10</v>
      </c>
      <c r="V71" s="34">
        <v>11</v>
      </c>
      <c r="X71" s="34">
        <v>12</v>
      </c>
    </row>
    <row r="72" spans="1:25" s="34" customFormat="1" x14ac:dyDescent="0.15">
      <c r="A72" s="35"/>
      <c r="D72" s="34">
        <v>-20.5</v>
      </c>
      <c r="F72" s="34">
        <v>-15.8</v>
      </c>
      <c r="H72" s="34">
        <v>-7.5</v>
      </c>
      <c r="J72" s="34">
        <v>-2.8</v>
      </c>
      <c r="L72" s="34">
        <v>-1.8</v>
      </c>
    </row>
    <row r="73" spans="1:25" ht="16" x14ac:dyDescent="0.2">
      <c r="A73" s="1" t="s">
        <v>979</v>
      </c>
      <c r="D73" s="2">
        <v>-43.1</v>
      </c>
      <c r="E73" s="2"/>
      <c r="F73" s="2">
        <v>-46.8</v>
      </c>
      <c r="G73" s="2"/>
      <c r="H73" s="2">
        <v>-31.1</v>
      </c>
      <c r="I73" s="2"/>
      <c r="J73" s="6">
        <v>-18.899999999999999</v>
      </c>
      <c r="K73" s="2"/>
      <c r="L73" s="2">
        <v>-15.2</v>
      </c>
      <c r="M73" s="1"/>
      <c r="N73" s="2"/>
      <c r="O73" s="2"/>
      <c r="P73" s="2"/>
      <c r="Q73" s="2"/>
      <c r="R73" s="2"/>
      <c r="S73" s="2"/>
      <c r="T73" s="2"/>
      <c r="U73" s="2"/>
      <c r="V73" s="2"/>
      <c r="W73" s="2"/>
      <c r="Y73" s="2"/>
    </row>
    <row r="74" spans="1:25" ht="16" x14ac:dyDescent="0.2">
      <c r="A74" s="1" t="s">
        <v>626</v>
      </c>
      <c r="D74" s="2">
        <v>9.6999999999999993</v>
      </c>
      <c r="E74" s="2"/>
      <c r="F74" s="2">
        <v>19.2</v>
      </c>
      <c r="G74" s="2"/>
      <c r="H74" s="2">
        <v>18.2</v>
      </c>
      <c r="I74" s="2"/>
      <c r="J74" s="6">
        <v>11.4</v>
      </c>
      <c r="K74" s="2"/>
      <c r="L74" s="2">
        <v>10.5</v>
      </c>
      <c r="M74" s="2"/>
      <c r="N74" s="2"/>
      <c r="O74" s="2"/>
      <c r="P74" s="2"/>
      <c r="Q74" s="2"/>
      <c r="R74" s="2"/>
      <c r="S74" s="2"/>
      <c r="T74" s="2"/>
      <c r="U74" s="2"/>
      <c r="V74" s="2"/>
      <c r="W74" s="2"/>
      <c r="Y74" s="2"/>
    </row>
    <row r="75" spans="1:25" ht="16" x14ac:dyDescent="0.2">
      <c r="A75" s="1" t="s">
        <v>627</v>
      </c>
      <c r="D75" s="2">
        <v>3.1</v>
      </c>
      <c r="E75" s="2"/>
      <c r="F75" s="2">
        <v>6.3</v>
      </c>
      <c r="G75" s="2"/>
      <c r="H75" s="2">
        <v>12.9</v>
      </c>
      <c r="I75" s="2"/>
      <c r="J75" s="6">
        <v>16.7</v>
      </c>
      <c r="K75" s="2"/>
      <c r="L75" s="2">
        <v>19.2</v>
      </c>
      <c r="M75" s="2"/>
      <c r="N75" s="2"/>
      <c r="O75" s="2"/>
      <c r="P75" s="2"/>
      <c r="Q75" s="2"/>
      <c r="R75" s="2"/>
      <c r="S75" s="2"/>
      <c r="T75" s="2"/>
      <c r="U75" s="2"/>
      <c r="V75" s="2"/>
      <c r="W75" s="2"/>
      <c r="Y75" s="2"/>
    </row>
    <row r="76" spans="1:25" ht="16" x14ac:dyDescent="0.2">
      <c r="A76" s="1" t="s">
        <v>628</v>
      </c>
      <c r="D76" s="2">
        <v>-15.7</v>
      </c>
      <c r="E76" s="2"/>
      <c r="F76" s="2">
        <v>-9.4</v>
      </c>
      <c r="G76" s="2"/>
      <c r="H76" s="2">
        <v>7.1</v>
      </c>
      <c r="I76" s="2"/>
      <c r="J76" s="6">
        <v>10.4</v>
      </c>
      <c r="K76" s="2"/>
      <c r="L76" s="2">
        <v>13.3</v>
      </c>
      <c r="M76" s="2"/>
      <c r="N76" s="2"/>
      <c r="O76" s="2"/>
      <c r="P76" s="2"/>
      <c r="Q76" s="2"/>
      <c r="R76" s="2"/>
      <c r="S76" s="2"/>
      <c r="T76" s="2"/>
      <c r="U76" s="2"/>
      <c r="V76" s="2"/>
      <c r="W76" s="2"/>
      <c r="Y76" s="2"/>
    </row>
    <row r="77" spans="1:25" ht="16" x14ac:dyDescent="0.2">
      <c r="A77" s="1" t="s">
        <v>629</v>
      </c>
      <c r="D77" s="2">
        <v>-30.9</v>
      </c>
      <c r="E77" s="2"/>
      <c r="F77" s="2">
        <v>-34.799999999999997</v>
      </c>
      <c r="G77" s="2"/>
      <c r="H77" s="2">
        <v>-18.5</v>
      </c>
      <c r="I77" s="2"/>
      <c r="J77" s="6">
        <v>-0.6</v>
      </c>
      <c r="K77" s="2"/>
      <c r="L77" s="2">
        <v>-0.1</v>
      </c>
      <c r="M77" s="2"/>
      <c r="N77" s="2"/>
      <c r="O77" s="2"/>
      <c r="P77" s="2"/>
      <c r="Q77" s="2"/>
      <c r="R77" s="2"/>
      <c r="S77" s="2"/>
      <c r="T77" s="2"/>
      <c r="U77" s="2"/>
      <c r="V77" s="2"/>
      <c r="W77" s="2"/>
      <c r="Y77" s="2"/>
    </row>
    <row r="78" spans="1:25" ht="16" x14ac:dyDescent="0.2">
      <c r="A78" s="1" t="s">
        <v>630</v>
      </c>
      <c r="D78" s="2">
        <v>-14.1</v>
      </c>
      <c r="E78" s="2"/>
      <c r="F78" s="2">
        <v>-11.6</v>
      </c>
      <c r="G78" s="2"/>
      <c r="H78" s="2">
        <v>3.5</v>
      </c>
      <c r="I78" s="2"/>
      <c r="J78" s="6">
        <v>12.9</v>
      </c>
      <c r="K78" s="2"/>
      <c r="L78" s="2">
        <v>20.5</v>
      </c>
      <c r="M78" s="2"/>
      <c r="N78" s="2"/>
      <c r="O78" s="2"/>
      <c r="P78" s="2"/>
      <c r="Q78" s="2"/>
      <c r="R78" s="2"/>
      <c r="S78" s="2"/>
      <c r="T78" s="2"/>
      <c r="U78" s="2"/>
      <c r="V78" s="2"/>
      <c r="W78" s="2"/>
      <c r="Y78" s="2"/>
    </row>
    <row r="79" spans="1:25" ht="16" x14ac:dyDescent="0.2">
      <c r="A79" s="1" t="s">
        <v>631</v>
      </c>
      <c r="D79" s="2">
        <v>-41.1</v>
      </c>
      <c r="E79" s="2"/>
      <c r="F79" s="2">
        <v>-30.1</v>
      </c>
      <c r="G79" s="2"/>
      <c r="H79" s="2">
        <v>-12.1</v>
      </c>
      <c r="I79" s="2"/>
      <c r="J79" s="6">
        <v>-3.9</v>
      </c>
      <c r="K79" s="2"/>
      <c r="L79" s="2">
        <v>-6.8</v>
      </c>
      <c r="M79" s="2"/>
      <c r="N79" s="2"/>
      <c r="O79" s="2"/>
      <c r="P79" s="2"/>
      <c r="Q79" s="2"/>
      <c r="R79" s="2"/>
      <c r="S79" s="2"/>
      <c r="T79" s="2"/>
      <c r="U79" s="2"/>
      <c r="V79" s="2"/>
      <c r="W79" s="2"/>
      <c r="Y79" s="2"/>
    </row>
    <row r="80" spans="1:25" ht="16" x14ac:dyDescent="0.2">
      <c r="A80" s="1" t="s">
        <v>632</v>
      </c>
      <c r="D80" s="2">
        <v>-6.6</v>
      </c>
      <c r="E80" s="2"/>
      <c r="F80" s="2">
        <v>0.3</v>
      </c>
      <c r="G80" s="2"/>
      <c r="H80" s="2">
        <v>8.3000000000000007</v>
      </c>
      <c r="I80" s="2"/>
      <c r="J80" s="6">
        <v>17.3</v>
      </c>
      <c r="K80" s="2"/>
      <c r="L80" s="2">
        <v>16.899999999999999</v>
      </c>
      <c r="M80" s="2"/>
      <c r="N80" s="2"/>
      <c r="O80" s="2"/>
      <c r="P80" s="2"/>
      <c r="Q80" s="2"/>
      <c r="R80" s="2"/>
      <c r="S80" s="2"/>
      <c r="T80" s="2"/>
      <c r="U80" s="2"/>
      <c r="V80" s="2"/>
      <c r="W80" s="2"/>
      <c r="Y80" s="2"/>
    </row>
    <row r="81" spans="1:25" ht="16" x14ac:dyDescent="0.2">
      <c r="A81" s="1" t="s">
        <v>633</v>
      </c>
      <c r="D81" s="2">
        <v>-30</v>
      </c>
      <c r="E81" s="2"/>
      <c r="F81" s="2">
        <v>-29.7</v>
      </c>
      <c r="G81" s="2"/>
      <c r="H81" s="2">
        <v>-8.5</v>
      </c>
      <c r="I81" s="1"/>
      <c r="J81" s="6">
        <v>4.3</v>
      </c>
      <c r="K81" s="2"/>
      <c r="L81" s="2">
        <v>9.8000000000000007</v>
      </c>
      <c r="M81" s="2"/>
      <c r="N81" s="2"/>
      <c r="O81" s="2"/>
      <c r="P81" s="2"/>
      <c r="Q81" s="2"/>
      <c r="R81" s="2"/>
      <c r="S81" s="2"/>
      <c r="T81" s="2"/>
      <c r="U81" s="2"/>
      <c r="V81" s="2"/>
      <c r="W81" s="2"/>
      <c r="Y81" s="2"/>
    </row>
    <row r="82" spans="1:25" ht="16" x14ac:dyDescent="0.2">
      <c r="A82" s="1" t="s">
        <v>634</v>
      </c>
      <c r="D82" s="2">
        <v>0.2</v>
      </c>
      <c r="E82" s="2"/>
      <c r="F82" s="2">
        <v>8</v>
      </c>
      <c r="G82" s="2"/>
      <c r="H82" s="2">
        <v>8.6</v>
      </c>
      <c r="I82" s="2"/>
      <c r="J82" s="6">
        <v>7.3</v>
      </c>
      <c r="K82" s="2"/>
      <c r="L82" s="2">
        <v>9.6999999999999993</v>
      </c>
      <c r="M82" s="1"/>
      <c r="N82" s="2"/>
      <c r="O82" s="2"/>
      <c r="P82" s="2"/>
      <c r="Q82" s="2"/>
      <c r="R82" s="2"/>
      <c r="S82" s="2"/>
      <c r="T82" s="2"/>
      <c r="U82" s="2"/>
      <c r="V82" s="2"/>
      <c r="W82" s="2"/>
      <c r="Y82" s="2"/>
    </row>
    <row r="83" spans="1:25" ht="16" x14ac:dyDescent="0.2">
      <c r="A83" s="1" t="s">
        <v>635</v>
      </c>
      <c r="D83" s="2">
        <v>-8.9</v>
      </c>
      <c r="E83" s="2"/>
      <c r="F83" s="2">
        <v>6.1</v>
      </c>
      <c r="G83" s="2"/>
      <c r="H83" s="2">
        <v>6.5</v>
      </c>
      <c r="I83" s="2"/>
      <c r="J83" s="6">
        <v>1.9</v>
      </c>
      <c r="K83" s="2"/>
      <c r="L83" s="2">
        <v>8.1</v>
      </c>
      <c r="M83" s="2"/>
      <c r="N83" s="2"/>
      <c r="O83" s="2"/>
      <c r="P83" s="2"/>
      <c r="Q83" s="2"/>
      <c r="R83" s="2"/>
      <c r="S83" s="2"/>
      <c r="T83" s="2"/>
      <c r="U83" s="2"/>
      <c r="V83" s="2"/>
      <c r="W83" s="2"/>
      <c r="Y83" s="2"/>
    </row>
    <row r="84" spans="1:25" ht="16" x14ac:dyDescent="0.2">
      <c r="A84" s="1" t="s">
        <v>636</v>
      </c>
      <c r="D84" s="2">
        <v>-33.5</v>
      </c>
      <c r="E84" s="2"/>
      <c r="F84" s="2">
        <v>-22.7</v>
      </c>
      <c r="G84" s="2"/>
      <c r="H84" s="2">
        <v>-5.4</v>
      </c>
      <c r="I84" s="2"/>
      <c r="J84" s="6">
        <v>3</v>
      </c>
      <c r="K84" s="2"/>
      <c r="L84" s="2">
        <v>-1.4</v>
      </c>
      <c r="M84" s="2"/>
      <c r="N84" s="2"/>
      <c r="O84" s="2"/>
      <c r="P84" s="2"/>
      <c r="Q84" s="2"/>
      <c r="R84" s="2"/>
      <c r="S84" s="2"/>
      <c r="T84" s="2"/>
      <c r="U84" s="2"/>
      <c r="V84" s="2"/>
      <c r="W84" s="2"/>
      <c r="Y84" s="2"/>
    </row>
    <row r="85" spans="1:25" ht="16" x14ac:dyDescent="0.2">
      <c r="A85" s="1" t="s">
        <v>637</v>
      </c>
      <c r="D85" s="2">
        <v>-8.8000000000000007</v>
      </c>
      <c r="E85" s="2"/>
      <c r="F85" s="2">
        <v>6.5</v>
      </c>
      <c r="G85" s="2"/>
      <c r="H85" s="2">
        <v>12.2</v>
      </c>
      <c r="I85" s="2"/>
      <c r="J85" s="6">
        <v>11.4</v>
      </c>
      <c r="K85" s="2"/>
      <c r="L85" s="2">
        <v>18.8</v>
      </c>
      <c r="M85" s="2"/>
      <c r="N85" s="2"/>
      <c r="O85" s="2"/>
      <c r="P85" s="2"/>
      <c r="Q85" s="2"/>
      <c r="R85" s="2"/>
      <c r="S85" s="2"/>
      <c r="T85" s="2"/>
      <c r="U85" s="2"/>
      <c r="V85" s="2"/>
      <c r="W85" s="2"/>
      <c r="Y85" s="2"/>
    </row>
    <row r="86" spans="1:25" ht="16" x14ac:dyDescent="0.2">
      <c r="A86" s="1" t="s">
        <v>638</v>
      </c>
      <c r="D86" s="2">
        <v>-26.2</v>
      </c>
      <c r="E86" s="2"/>
      <c r="F86" s="2">
        <v>-18.8</v>
      </c>
      <c r="G86" s="2"/>
      <c r="H86" s="2">
        <v>-14.1</v>
      </c>
      <c r="I86" s="2"/>
      <c r="J86" s="6">
        <v>-14</v>
      </c>
      <c r="K86" s="2"/>
      <c r="L86" s="2">
        <v>-13</v>
      </c>
      <c r="M86" s="2"/>
      <c r="N86" s="2"/>
      <c r="O86" s="2"/>
      <c r="P86" s="2"/>
      <c r="Q86" s="2"/>
      <c r="R86" s="2"/>
      <c r="S86" s="2"/>
      <c r="T86" s="2"/>
      <c r="U86" s="2"/>
      <c r="V86" s="2"/>
      <c r="W86" s="2"/>
      <c r="Y86" s="2"/>
    </row>
    <row r="87" spans="1:25" ht="16" x14ac:dyDescent="0.2">
      <c r="A87" s="1" t="s">
        <v>639</v>
      </c>
      <c r="D87" s="2">
        <v>-37</v>
      </c>
      <c r="E87" s="2"/>
      <c r="F87" s="2">
        <v>-18.100000000000001</v>
      </c>
      <c r="G87" s="2"/>
      <c r="H87" s="2">
        <v>0</v>
      </c>
      <c r="I87" s="2"/>
      <c r="J87" s="6">
        <v>3.5</v>
      </c>
      <c r="K87" s="2"/>
      <c r="L87" s="2">
        <v>-8.1999999999999993</v>
      </c>
      <c r="M87" s="2"/>
      <c r="N87" s="2"/>
      <c r="O87" s="2"/>
      <c r="P87" s="2"/>
      <c r="Q87" s="2"/>
      <c r="R87" s="2"/>
      <c r="S87" s="2"/>
      <c r="T87" s="2"/>
      <c r="U87" s="2"/>
      <c r="V87" s="2"/>
      <c r="W87" s="2"/>
      <c r="Y87" s="2"/>
    </row>
    <row r="88" spans="1:25" ht="16" x14ac:dyDescent="0.2">
      <c r="A88" s="1" t="s">
        <v>640</v>
      </c>
      <c r="D88" s="2">
        <v>-30.5</v>
      </c>
      <c r="E88" s="2"/>
      <c r="F88" s="2">
        <v>-13.9</v>
      </c>
      <c r="G88" s="2"/>
      <c r="H88" s="2">
        <v>-5.8</v>
      </c>
      <c r="I88" s="2"/>
      <c r="J88" s="6">
        <v>1.9</v>
      </c>
      <c r="K88" s="2"/>
      <c r="L88" s="2">
        <v>2.2000000000000002</v>
      </c>
      <c r="M88" s="2"/>
      <c r="N88" s="2"/>
      <c r="O88" s="2"/>
      <c r="P88" s="2"/>
      <c r="Q88" s="2"/>
      <c r="R88" s="2"/>
      <c r="S88" s="2"/>
      <c r="T88" s="2"/>
      <c r="U88" s="2"/>
      <c r="V88" s="2"/>
      <c r="W88" s="2"/>
      <c r="Y88" s="2"/>
    </row>
    <row r="89" spans="1:25" ht="20" x14ac:dyDescent="0.2">
      <c r="A89" s="32"/>
      <c r="D89" s="2"/>
      <c r="E89" s="2"/>
      <c r="F89" s="2"/>
      <c r="G89" s="2"/>
      <c r="H89" s="2"/>
      <c r="I89" s="2"/>
      <c r="K89" s="2"/>
      <c r="M89" s="2"/>
      <c r="N89" s="2"/>
      <c r="O89" s="2"/>
      <c r="P89" s="2"/>
      <c r="Q89" s="2"/>
      <c r="R89" s="2"/>
      <c r="S89" s="2"/>
      <c r="T89" s="2"/>
      <c r="U89" s="2"/>
      <c r="V89" s="2"/>
      <c r="W89" s="2"/>
      <c r="Y89" s="2"/>
    </row>
    <row r="90" spans="1:25" s="34" customFormat="1" x14ac:dyDescent="0.15">
      <c r="A90" s="34" t="s">
        <v>700</v>
      </c>
      <c r="B90" s="34" t="s">
        <v>31</v>
      </c>
      <c r="D90" s="34" t="s">
        <v>641</v>
      </c>
      <c r="F90" s="34" t="s">
        <v>642</v>
      </c>
      <c r="H90" s="34" t="s">
        <v>643</v>
      </c>
      <c r="J90" s="34" t="s">
        <v>644</v>
      </c>
      <c r="L90" s="34" t="s">
        <v>645</v>
      </c>
      <c r="N90" s="34" t="s">
        <v>646</v>
      </c>
      <c r="P90" s="34" t="s">
        <v>647</v>
      </c>
      <c r="R90" s="34" t="s">
        <v>648</v>
      </c>
      <c r="T90" s="34" t="s">
        <v>649</v>
      </c>
      <c r="V90" s="34" t="s">
        <v>650</v>
      </c>
      <c r="X90" s="34" t="s">
        <v>651</v>
      </c>
    </row>
    <row r="91" spans="1:25" ht="16" x14ac:dyDescent="0.2">
      <c r="A91" s="1" t="s">
        <v>517</v>
      </c>
      <c r="B91">
        <v>4.1500000000000004</v>
      </c>
      <c r="D91">
        <v>4.05</v>
      </c>
      <c r="F91" s="2">
        <v>3.85</v>
      </c>
      <c r="H91">
        <v>3.85</v>
      </c>
      <c r="J91">
        <v>3.85</v>
      </c>
      <c r="L91">
        <v>3.85</v>
      </c>
    </row>
    <row r="92" spans="1:25" ht="16" x14ac:dyDescent="0.2">
      <c r="A92" s="1" t="s">
        <v>518</v>
      </c>
      <c r="B92">
        <v>4.8</v>
      </c>
      <c r="D92">
        <v>4.75</v>
      </c>
      <c r="F92" s="2">
        <v>4.6500000000000004</v>
      </c>
      <c r="H92" s="2">
        <v>4.6500000000000004</v>
      </c>
      <c r="J92" s="2">
        <v>4.6500000000000004</v>
      </c>
      <c r="L92" s="2">
        <v>4.6500000000000004</v>
      </c>
    </row>
    <row r="93" spans="1:25" ht="33" x14ac:dyDescent="0.3">
      <c r="A93" s="33"/>
    </row>
    <row r="94" spans="1:25" s="34" customFormat="1" x14ac:dyDescent="0.15">
      <c r="A94" s="34" t="s">
        <v>699</v>
      </c>
      <c r="B94" s="34">
        <v>1</v>
      </c>
      <c r="D94" s="34">
        <v>2</v>
      </c>
      <c r="F94" s="34">
        <v>3</v>
      </c>
      <c r="H94" s="34">
        <v>4</v>
      </c>
      <c r="J94" s="34">
        <v>5</v>
      </c>
      <c r="L94" s="34">
        <v>6</v>
      </c>
      <c r="N94" s="34">
        <v>7</v>
      </c>
      <c r="P94" s="34">
        <v>8</v>
      </c>
      <c r="R94" s="34">
        <v>9</v>
      </c>
      <c r="T94" s="34">
        <v>10</v>
      </c>
      <c r="V94" s="34">
        <v>11</v>
      </c>
      <c r="X94" s="34">
        <v>12</v>
      </c>
    </row>
    <row r="95" spans="1:25" s="34" customFormat="1" x14ac:dyDescent="0.15">
      <c r="A95" s="35"/>
      <c r="D95" s="34">
        <v>-13.5</v>
      </c>
      <c r="F95" s="34">
        <v>-1.1000000000000001</v>
      </c>
      <c r="H95" s="34">
        <v>3.9</v>
      </c>
      <c r="J95" s="34">
        <v>4.4000000000000004</v>
      </c>
      <c r="L95" s="34">
        <v>4.8</v>
      </c>
    </row>
    <row r="96" spans="1:25" ht="16" x14ac:dyDescent="0.2">
      <c r="A96" s="1" t="s">
        <v>976</v>
      </c>
      <c r="D96" s="2">
        <v>-16</v>
      </c>
      <c r="E96" s="2"/>
      <c r="F96" s="2">
        <v>-11.1</v>
      </c>
      <c r="G96" s="2"/>
      <c r="H96" s="2">
        <v>3</v>
      </c>
      <c r="I96" s="2"/>
      <c r="J96">
        <v>-0.5</v>
      </c>
      <c r="K96" s="2"/>
      <c r="L96" s="2">
        <v>-2.4</v>
      </c>
      <c r="M96" s="1"/>
      <c r="N96" s="2"/>
      <c r="O96" s="2"/>
      <c r="P96" s="2"/>
      <c r="Q96" s="2"/>
      <c r="R96" s="2"/>
      <c r="S96" s="2"/>
      <c r="T96" s="2"/>
      <c r="U96" s="2"/>
      <c r="V96" s="2"/>
      <c r="W96" s="2"/>
      <c r="Y96" s="2"/>
    </row>
    <row r="97" spans="1:25" ht="16" x14ac:dyDescent="0.2">
      <c r="A97" s="1" t="s">
        <v>977</v>
      </c>
      <c r="D97" s="2">
        <v>-18.2</v>
      </c>
      <c r="E97" s="2"/>
      <c r="F97" s="2">
        <v>-7.9</v>
      </c>
      <c r="G97" s="2"/>
      <c r="H97" s="2">
        <v>7.5</v>
      </c>
      <c r="I97" s="2"/>
      <c r="J97">
        <v>6.3</v>
      </c>
      <c r="K97" s="2"/>
      <c r="L97" s="2">
        <v>1.3</v>
      </c>
      <c r="M97" s="2"/>
      <c r="N97" s="2"/>
      <c r="O97" s="2"/>
      <c r="P97" s="2"/>
      <c r="Q97" s="2"/>
      <c r="R97" s="2"/>
      <c r="S97" s="2"/>
      <c r="T97" s="2"/>
      <c r="U97" s="2"/>
      <c r="V97" s="2"/>
      <c r="W97" s="2"/>
      <c r="Y97" s="2"/>
    </row>
    <row r="98" spans="1:25" ht="16" x14ac:dyDescent="0.2">
      <c r="A98" s="1" t="s">
        <v>599</v>
      </c>
      <c r="D98" s="2">
        <v>-27.2</v>
      </c>
      <c r="E98" s="2"/>
      <c r="F98" s="2">
        <v>-16.8</v>
      </c>
      <c r="G98" s="2"/>
      <c r="H98" s="2">
        <v>2</v>
      </c>
      <c r="I98" s="2"/>
      <c r="J98">
        <v>4.3</v>
      </c>
      <c r="K98" s="2"/>
      <c r="L98" s="2">
        <v>3.2</v>
      </c>
      <c r="M98" s="2"/>
      <c r="N98" s="2"/>
      <c r="O98" s="2"/>
      <c r="P98" s="2"/>
      <c r="Q98" s="2"/>
      <c r="R98" s="2"/>
      <c r="S98" s="2"/>
      <c r="T98" s="2"/>
      <c r="U98" s="2"/>
      <c r="V98" s="2"/>
      <c r="W98" s="2"/>
      <c r="Y98" s="2"/>
    </row>
    <row r="99" spans="1:25" ht="16" x14ac:dyDescent="0.2">
      <c r="A99" s="1" t="s">
        <v>978</v>
      </c>
      <c r="D99">
        <v>-12.3</v>
      </c>
      <c r="F99" s="2">
        <v>-6.8</v>
      </c>
      <c r="H99" s="2">
        <v>3.2</v>
      </c>
      <c r="I99" s="1"/>
      <c r="J99">
        <v>3.9</v>
      </c>
      <c r="L99" s="2">
        <v>4</v>
      </c>
      <c r="N99" s="2"/>
      <c r="P99" s="2"/>
      <c r="R99" s="2"/>
      <c r="T99" s="2"/>
      <c r="V99" s="2"/>
    </row>
    <row r="100" spans="1:25" ht="16" x14ac:dyDescent="0.2">
      <c r="A100" s="1" t="s">
        <v>600</v>
      </c>
      <c r="D100">
        <v>-12.3</v>
      </c>
      <c r="E100" s="2"/>
      <c r="F100" s="2">
        <v>-2.2999999999999998</v>
      </c>
      <c r="G100" s="2"/>
      <c r="H100" s="2">
        <v>4.8</v>
      </c>
      <c r="I100" s="2"/>
      <c r="J100">
        <v>2</v>
      </c>
      <c r="K100" s="2"/>
      <c r="L100" s="2">
        <v>3.9</v>
      </c>
      <c r="M100" s="2"/>
      <c r="N100" s="2"/>
      <c r="O100" s="2"/>
      <c r="P100" s="2"/>
      <c r="Q100" s="2"/>
      <c r="R100" s="2"/>
      <c r="S100" s="2"/>
      <c r="T100" s="2"/>
      <c r="U100" s="2"/>
      <c r="V100" s="2"/>
      <c r="W100" s="2"/>
      <c r="Y100" s="2"/>
    </row>
    <row r="101" spans="1:25" ht="16" x14ac:dyDescent="0.2">
      <c r="A101" s="1" t="s">
        <v>601</v>
      </c>
      <c r="D101" s="2">
        <v>-21.1</v>
      </c>
      <c r="E101" s="2"/>
      <c r="F101" s="2">
        <v>-13.7</v>
      </c>
      <c r="G101" s="2"/>
      <c r="H101" s="2">
        <v>4.2</v>
      </c>
      <c r="I101" s="2"/>
      <c r="J101">
        <v>5.5</v>
      </c>
      <c r="K101" s="2"/>
      <c r="L101" s="2">
        <v>2.7</v>
      </c>
      <c r="M101" s="2"/>
      <c r="N101" s="2"/>
      <c r="O101" s="2"/>
      <c r="P101" s="2"/>
      <c r="Q101" s="2"/>
      <c r="R101" s="2"/>
      <c r="S101" s="2"/>
      <c r="T101" s="2"/>
      <c r="U101" s="2"/>
      <c r="V101" s="2"/>
      <c r="W101" s="2"/>
      <c r="Y101" s="2"/>
    </row>
    <row r="102" spans="1:25" ht="16" x14ac:dyDescent="0.2">
      <c r="A102" s="1" t="s">
        <v>602</v>
      </c>
      <c r="D102" s="2">
        <v>-2</v>
      </c>
      <c r="E102" s="2"/>
      <c r="F102" s="2">
        <v>0.5</v>
      </c>
      <c r="G102" s="2"/>
      <c r="H102" s="2">
        <v>4.5999999999999996</v>
      </c>
      <c r="I102" s="2"/>
      <c r="J102">
        <v>6.1</v>
      </c>
      <c r="K102" s="2"/>
      <c r="L102" s="2">
        <v>4.8</v>
      </c>
      <c r="M102" s="2"/>
      <c r="N102" s="2"/>
      <c r="O102" s="2"/>
      <c r="P102" s="2"/>
      <c r="Q102" s="2"/>
      <c r="R102" s="2"/>
      <c r="S102" s="2"/>
      <c r="T102" s="2"/>
      <c r="U102" s="2"/>
      <c r="V102" s="2"/>
      <c r="W102" s="2"/>
      <c r="Y102" s="2"/>
    </row>
    <row r="103" spans="1:25" ht="16" x14ac:dyDescent="0.2">
      <c r="A103" s="1" t="s">
        <v>603</v>
      </c>
      <c r="D103" s="2">
        <v>-8.5</v>
      </c>
      <c r="E103" s="2"/>
      <c r="F103" s="2">
        <v>-3.8</v>
      </c>
      <c r="G103" s="2"/>
      <c r="H103" s="2">
        <v>6.9</v>
      </c>
      <c r="I103" s="2"/>
      <c r="J103" s="2">
        <v>4</v>
      </c>
      <c r="K103" s="2"/>
      <c r="L103" s="2">
        <v>2.8</v>
      </c>
      <c r="M103" s="2"/>
      <c r="N103" s="2"/>
      <c r="O103" s="2"/>
      <c r="P103" s="2"/>
      <c r="Q103" s="2"/>
      <c r="R103" s="2"/>
      <c r="S103" s="2"/>
      <c r="T103" s="2"/>
      <c r="U103" s="2"/>
      <c r="V103" s="2"/>
      <c r="W103" s="2"/>
      <c r="Y103" s="2"/>
    </row>
    <row r="104" spans="1:25" ht="16" x14ac:dyDescent="0.2">
      <c r="A104" s="1" t="s">
        <v>604</v>
      </c>
      <c r="D104" s="2">
        <v>-26.9</v>
      </c>
      <c r="E104" s="2"/>
      <c r="F104" s="2">
        <v>-15</v>
      </c>
      <c r="G104" s="2"/>
      <c r="H104" s="2">
        <v>8.9</v>
      </c>
      <c r="I104" s="2"/>
      <c r="J104" s="2">
        <v>3.6</v>
      </c>
      <c r="K104" s="2"/>
      <c r="L104" s="2">
        <v>2.6</v>
      </c>
      <c r="M104" s="2"/>
      <c r="N104" s="2"/>
      <c r="O104" s="2"/>
      <c r="P104" s="2"/>
      <c r="Q104" s="2"/>
      <c r="R104" s="2"/>
      <c r="S104" s="2"/>
      <c r="T104" s="2"/>
      <c r="U104" s="2"/>
      <c r="V104" s="2"/>
      <c r="W104" s="2"/>
      <c r="Y104" s="2"/>
    </row>
    <row r="105" spans="1:25" ht="16" x14ac:dyDescent="0.2">
      <c r="A105" s="1" t="s">
        <v>605</v>
      </c>
      <c r="D105" s="2">
        <v>-28.2</v>
      </c>
      <c r="E105" s="2"/>
      <c r="F105" s="2">
        <v>-17.2</v>
      </c>
      <c r="G105" s="2"/>
      <c r="H105" s="2">
        <v>7.5</v>
      </c>
      <c r="I105" s="2"/>
      <c r="J105">
        <v>7.3</v>
      </c>
      <c r="K105" s="2"/>
      <c r="L105" s="2">
        <v>7.4</v>
      </c>
      <c r="M105" s="2"/>
      <c r="O105" s="2"/>
      <c r="Q105" s="2"/>
      <c r="S105" s="2"/>
      <c r="U105" s="2"/>
      <c r="W105" s="2"/>
      <c r="Y105" s="2"/>
    </row>
    <row r="106" spans="1:25" ht="16" x14ac:dyDescent="0.2">
      <c r="A106" s="1" t="s">
        <v>606</v>
      </c>
      <c r="D106" s="2">
        <v>-24.4</v>
      </c>
      <c r="E106" s="2"/>
      <c r="F106" s="2">
        <v>-13.5</v>
      </c>
      <c r="G106" s="2"/>
      <c r="H106" s="2">
        <v>14.3</v>
      </c>
      <c r="I106" s="2"/>
      <c r="J106">
        <v>16.399999999999999</v>
      </c>
      <c r="K106" s="2"/>
      <c r="L106" s="2">
        <v>9.6</v>
      </c>
      <c r="M106" s="2"/>
      <c r="O106" s="2"/>
      <c r="Q106" s="2"/>
      <c r="S106" s="2"/>
      <c r="U106" s="2"/>
      <c r="W106" s="2"/>
      <c r="Y106" s="2"/>
    </row>
    <row r="107" spans="1:25" ht="16" x14ac:dyDescent="0.2">
      <c r="A107" s="1" t="s">
        <v>607</v>
      </c>
      <c r="D107" s="2">
        <v>-31.8</v>
      </c>
      <c r="E107" s="2"/>
      <c r="F107" s="2">
        <v>-26</v>
      </c>
      <c r="G107" s="2"/>
      <c r="H107" s="2">
        <v>5.8</v>
      </c>
      <c r="I107" s="2"/>
      <c r="J107">
        <v>12.2</v>
      </c>
      <c r="K107" s="2"/>
      <c r="L107" s="2">
        <v>13.4</v>
      </c>
      <c r="M107" s="2"/>
      <c r="N107" s="2"/>
      <c r="O107" s="2"/>
      <c r="P107" s="2"/>
      <c r="Q107" s="2"/>
      <c r="R107" s="2"/>
      <c r="S107" s="2"/>
      <c r="T107" s="2"/>
      <c r="U107" s="2"/>
      <c r="V107" s="2"/>
      <c r="W107" s="2"/>
      <c r="Y107" s="2"/>
    </row>
    <row r="108" spans="1:25" ht="16" x14ac:dyDescent="0.2">
      <c r="A108" s="1" t="s">
        <v>608</v>
      </c>
      <c r="D108" s="2">
        <v>-28.2</v>
      </c>
      <c r="E108" s="2"/>
      <c r="F108" s="2">
        <v>-13.7</v>
      </c>
      <c r="G108" s="2"/>
      <c r="H108" s="2">
        <v>5.7</v>
      </c>
      <c r="I108" s="2"/>
      <c r="J108">
        <v>2.5</v>
      </c>
      <c r="K108" s="2"/>
      <c r="L108" s="2">
        <v>-1.2</v>
      </c>
      <c r="M108" s="2"/>
      <c r="N108" s="2"/>
      <c r="O108" s="2"/>
      <c r="P108" s="2"/>
      <c r="Q108" s="2"/>
      <c r="R108" s="2"/>
      <c r="S108" s="2"/>
      <c r="T108" s="2"/>
      <c r="U108" s="2"/>
      <c r="V108" s="2"/>
      <c r="W108" s="2"/>
      <c r="Y108" s="2"/>
    </row>
    <row r="109" spans="1:25" ht="16" x14ac:dyDescent="0.2">
      <c r="A109" s="1" t="s">
        <v>609</v>
      </c>
      <c r="D109" s="2">
        <v>-24.7</v>
      </c>
      <c r="E109" s="2"/>
      <c r="F109" s="2">
        <v>-12.9</v>
      </c>
      <c r="G109" s="2"/>
      <c r="H109" s="2">
        <v>9</v>
      </c>
      <c r="I109" s="2"/>
      <c r="J109">
        <v>6.8</v>
      </c>
      <c r="K109" s="2"/>
      <c r="L109" s="2">
        <v>8.6999999999999993</v>
      </c>
      <c r="M109" s="2"/>
      <c r="N109" s="2"/>
      <c r="O109" s="2"/>
      <c r="P109" s="2"/>
      <c r="Q109" s="2"/>
      <c r="R109" s="2"/>
      <c r="S109" s="2"/>
      <c r="T109" s="2"/>
      <c r="U109" s="2"/>
      <c r="V109" s="2"/>
      <c r="W109" s="2"/>
      <c r="Y109" s="2"/>
    </row>
    <row r="110" spans="1:25" ht="16" x14ac:dyDescent="0.2">
      <c r="A110" s="1" t="s">
        <v>610</v>
      </c>
      <c r="D110">
        <v>-13.8</v>
      </c>
      <c r="F110" s="2">
        <v>-2.8</v>
      </c>
      <c r="H110" s="2">
        <v>11.8</v>
      </c>
      <c r="J110">
        <v>10.9</v>
      </c>
      <c r="L110" s="2">
        <v>12.6</v>
      </c>
    </row>
    <row r="111" spans="1:25" ht="16" x14ac:dyDescent="0.2">
      <c r="A111" s="2" t="s">
        <v>526</v>
      </c>
      <c r="D111" s="2">
        <v>-7.3</v>
      </c>
      <c r="E111" s="2"/>
      <c r="F111" s="2">
        <v>-5.4</v>
      </c>
      <c r="G111" s="2"/>
      <c r="H111" s="2">
        <v>-0.2</v>
      </c>
      <c r="I111" s="2"/>
      <c r="J111">
        <v>4</v>
      </c>
      <c r="K111" s="2"/>
      <c r="L111" s="2">
        <v>6.3</v>
      </c>
      <c r="M111" s="2"/>
      <c r="N111" s="2"/>
      <c r="O111" s="2"/>
      <c r="P111" s="2"/>
      <c r="Q111" s="2"/>
      <c r="R111" s="2"/>
      <c r="S111" s="2"/>
      <c r="T111" s="2"/>
      <c r="U111" s="2"/>
      <c r="V111" s="2"/>
      <c r="W111" s="2"/>
      <c r="Y111" s="2"/>
    </row>
    <row r="112" spans="1:25" ht="16" x14ac:dyDescent="0.2">
      <c r="A112" s="1"/>
      <c r="D112" s="2"/>
      <c r="E112" s="2"/>
      <c r="F112" s="2"/>
      <c r="G112" s="2"/>
      <c r="H112" s="2"/>
      <c r="I112" s="2"/>
      <c r="K112" s="2"/>
      <c r="M112" s="2"/>
      <c r="N112" s="2"/>
      <c r="O112" s="2"/>
      <c r="P112" s="2"/>
      <c r="Q112" s="2"/>
      <c r="R112" s="2"/>
      <c r="S112" s="2"/>
      <c r="T112" s="2"/>
      <c r="U112" s="2"/>
      <c r="V112" s="2"/>
      <c r="W112" s="2"/>
      <c r="Y112" s="2"/>
    </row>
    <row r="113" spans="1:25" s="34" customFormat="1" ht="16" x14ac:dyDescent="0.2">
      <c r="A113" s="34" t="s">
        <v>1005</v>
      </c>
      <c r="B113" s="34">
        <v>1</v>
      </c>
      <c r="D113" s="34">
        <v>2</v>
      </c>
      <c r="F113" s="34">
        <v>3</v>
      </c>
      <c r="H113" s="34">
        <v>4</v>
      </c>
      <c r="J113" s="34">
        <v>5</v>
      </c>
      <c r="L113" s="34">
        <v>6</v>
      </c>
      <c r="N113" s="34">
        <v>7</v>
      </c>
      <c r="P113" s="34">
        <v>8</v>
      </c>
      <c r="R113" s="34">
        <v>9</v>
      </c>
      <c r="T113" s="34">
        <v>10</v>
      </c>
      <c r="V113" s="34">
        <v>11</v>
      </c>
      <c r="X113" s="34">
        <v>12</v>
      </c>
    </row>
    <row r="114" spans="1:25" ht="16" x14ac:dyDescent="0.2">
      <c r="A114" s="12" t="s">
        <v>1004</v>
      </c>
      <c r="D114" s="2">
        <v>-29.5</v>
      </c>
      <c r="E114" s="2"/>
      <c r="F114" s="2">
        <v>-18.3</v>
      </c>
      <c r="G114" s="1"/>
      <c r="H114" s="2">
        <v>3.8</v>
      </c>
      <c r="I114" s="2"/>
      <c r="J114" s="2">
        <v>8.6</v>
      </c>
      <c r="K114" s="2"/>
      <c r="L114" s="2">
        <v>8.4</v>
      </c>
      <c r="M114" s="2"/>
      <c r="N114" s="2"/>
      <c r="O114" s="2"/>
      <c r="P114" s="2"/>
      <c r="Q114" s="2"/>
      <c r="R114" s="2"/>
      <c r="S114" s="2"/>
      <c r="T114" s="2"/>
      <c r="U114" s="2"/>
      <c r="V114" s="2"/>
      <c r="W114" s="2"/>
      <c r="Y114" s="2"/>
    </row>
    <row r="115" spans="1:25" ht="16" x14ac:dyDescent="0.2">
      <c r="A115" s="12" t="s">
        <v>935</v>
      </c>
      <c r="D115" s="2">
        <v>-19.399999999999999</v>
      </c>
      <c r="E115" s="2"/>
      <c r="F115" s="2">
        <v>12.9</v>
      </c>
      <c r="G115" s="2"/>
      <c r="H115" s="2">
        <v>26.6</v>
      </c>
      <c r="I115" s="1"/>
      <c r="J115" s="2">
        <v>16.899999999999999</v>
      </c>
      <c r="K115" s="2"/>
      <c r="L115" s="2">
        <v>29.2</v>
      </c>
      <c r="M115" s="2"/>
      <c r="N115" s="2"/>
      <c r="O115" s="2"/>
      <c r="P115" s="2"/>
      <c r="Q115" s="2"/>
      <c r="R115" s="2"/>
      <c r="S115" s="2"/>
      <c r="T115" s="2"/>
      <c r="U115" s="2"/>
      <c r="V115" s="2"/>
      <c r="W115" s="2"/>
      <c r="Y115" s="2"/>
    </row>
    <row r="116" spans="1:25" ht="16" x14ac:dyDescent="0.2">
      <c r="A116" s="12" t="s">
        <v>936</v>
      </c>
      <c r="D116" s="2">
        <v>-45.8</v>
      </c>
      <c r="E116" s="2"/>
      <c r="F116" s="2">
        <v>-43</v>
      </c>
      <c r="G116" s="2"/>
      <c r="H116" s="2">
        <v>5.0999999999999996</v>
      </c>
      <c r="I116" s="2"/>
      <c r="J116" s="2">
        <v>19</v>
      </c>
      <c r="K116" s="2"/>
      <c r="L116" s="2">
        <v>20.399999999999999</v>
      </c>
      <c r="M116" s="2"/>
      <c r="N116" s="2"/>
      <c r="O116" s="2"/>
      <c r="P116" s="2"/>
      <c r="Q116" s="2"/>
      <c r="R116" s="2"/>
      <c r="S116" s="2"/>
      <c r="T116" s="2"/>
      <c r="U116" s="2"/>
      <c r="V116" s="2"/>
      <c r="W116" s="2"/>
      <c r="Y116" s="2"/>
    </row>
    <row r="117" spans="1:25" ht="16" x14ac:dyDescent="0.2">
      <c r="A117" s="12" t="s">
        <v>937</v>
      </c>
      <c r="D117" s="2">
        <v>-49.8</v>
      </c>
      <c r="E117" s="2"/>
      <c r="F117" s="2">
        <v>-44.8</v>
      </c>
      <c r="G117" s="2"/>
      <c r="H117" s="2">
        <v>-2</v>
      </c>
      <c r="I117" s="2"/>
      <c r="J117" s="2">
        <v>2.7</v>
      </c>
      <c r="K117" s="2"/>
      <c r="L117" s="2">
        <v>4.9000000000000004</v>
      </c>
      <c r="M117" s="2"/>
      <c r="N117" s="2"/>
      <c r="O117" s="2"/>
      <c r="P117" s="2"/>
      <c r="Q117" s="2"/>
      <c r="R117" s="2"/>
      <c r="S117" s="2"/>
      <c r="T117" s="2"/>
      <c r="U117" s="2"/>
      <c r="V117" s="2"/>
      <c r="W117" s="2"/>
      <c r="Y117" s="2"/>
    </row>
    <row r="118" spans="1:25" ht="16" x14ac:dyDescent="0.2">
      <c r="A118" s="13" t="s">
        <v>938</v>
      </c>
      <c r="D118" s="2">
        <v>-41.3</v>
      </c>
      <c r="E118" s="2"/>
      <c r="F118" s="2">
        <v>-44</v>
      </c>
      <c r="G118" s="2"/>
      <c r="H118" s="2">
        <v>12.4</v>
      </c>
      <c r="I118" s="2"/>
      <c r="J118" s="2">
        <v>33.5</v>
      </c>
      <c r="K118" s="2"/>
      <c r="L118" s="2">
        <v>25.3</v>
      </c>
      <c r="M118" s="2"/>
      <c r="N118" s="2"/>
      <c r="O118" s="2"/>
      <c r="P118" s="2"/>
      <c r="Q118" s="2"/>
      <c r="R118" s="2"/>
      <c r="S118" s="2"/>
      <c r="T118" s="2"/>
      <c r="U118" s="2"/>
      <c r="V118" s="2"/>
      <c r="W118" s="2"/>
      <c r="Y118" s="2"/>
    </row>
    <row r="119" spans="1:25" ht="16" x14ac:dyDescent="0.2">
      <c r="A119" s="12" t="s">
        <v>939</v>
      </c>
      <c r="D119" s="2">
        <v>-62.8</v>
      </c>
      <c r="E119" s="2"/>
      <c r="F119" s="2">
        <v>-43.9</v>
      </c>
      <c r="G119" s="1"/>
      <c r="H119" s="2">
        <v>-17.2</v>
      </c>
      <c r="I119" s="2"/>
      <c r="J119" s="2">
        <v>-22</v>
      </c>
      <c r="K119" s="2"/>
      <c r="L119" s="2">
        <v>-18.600000000000001</v>
      </c>
      <c r="M119" s="2"/>
      <c r="N119" s="2"/>
      <c r="O119" s="2"/>
      <c r="P119" s="2"/>
      <c r="Q119" s="2"/>
      <c r="R119" s="2"/>
      <c r="S119" s="2"/>
      <c r="T119" s="2"/>
      <c r="U119" s="2"/>
      <c r="V119" s="2"/>
      <c r="W119" s="2"/>
      <c r="Y119" s="2"/>
    </row>
    <row r="120" spans="1:25" ht="16" x14ac:dyDescent="0.2">
      <c r="A120" s="12" t="s">
        <v>940</v>
      </c>
      <c r="D120" s="2">
        <v>-30.8</v>
      </c>
      <c r="E120" s="2"/>
      <c r="F120" s="2">
        <v>20</v>
      </c>
      <c r="G120" s="2"/>
      <c r="H120" s="2">
        <v>48</v>
      </c>
      <c r="I120" s="2"/>
      <c r="J120" s="2">
        <v>19.7</v>
      </c>
      <c r="K120" s="2"/>
      <c r="L120" s="2">
        <v>43</v>
      </c>
      <c r="M120" s="2"/>
      <c r="N120" s="2"/>
      <c r="O120" s="2"/>
      <c r="P120" s="2"/>
      <c r="Q120" s="2"/>
      <c r="R120" s="2"/>
      <c r="S120" s="2"/>
      <c r="T120" s="2"/>
      <c r="U120" s="2"/>
      <c r="V120" s="2"/>
      <c r="W120" s="2"/>
      <c r="Y120" s="2"/>
    </row>
    <row r="121" spans="1:25" ht="16" x14ac:dyDescent="0.2">
      <c r="A121" s="12" t="s">
        <v>941</v>
      </c>
      <c r="D121" s="2">
        <v>-31.4</v>
      </c>
      <c r="E121" s="2"/>
      <c r="F121" s="2">
        <v>0</v>
      </c>
      <c r="G121" s="2"/>
      <c r="H121" s="2">
        <v>26.2</v>
      </c>
      <c r="I121" s="2"/>
      <c r="J121" s="2">
        <v>22.3</v>
      </c>
      <c r="K121" s="2"/>
      <c r="L121" s="2">
        <v>0.3</v>
      </c>
      <c r="M121" s="2"/>
      <c r="N121" s="2"/>
      <c r="O121" s="2"/>
      <c r="P121" s="2"/>
      <c r="Q121" s="2"/>
      <c r="R121" s="2"/>
      <c r="S121" s="2"/>
      <c r="T121" s="2"/>
      <c r="U121" s="2"/>
      <c r="V121" s="2"/>
      <c r="W121" s="2"/>
      <c r="Y121" s="2"/>
    </row>
    <row r="122" spans="1:25" ht="16" x14ac:dyDescent="0.2">
      <c r="A122" s="12" t="s">
        <v>942</v>
      </c>
      <c r="D122" s="2">
        <v>-32.5</v>
      </c>
      <c r="E122" s="2"/>
      <c r="F122" s="2">
        <v>-0.7</v>
      </c>
      <c r="G122" s="2"/>
      <c r="H122" s="2">
        <v>-2</v>
      </c>
      <c r="I122" s="2"/>
      <c r="J122" s="2">
        <v>8.4</v>
      </c>
      <c r="K122" s="2"/>
      <c r="L122" s="2">
        <v>26.1</v>
      </c>
      <c r="M122" s="2"/>
      <c r="N122" s="2"/>
      <c r="O122" s="2"/>
      <c r="P122" s="2"/>
      <c r="Q122" s="2"/>
      <c r="R122" s="2"/>
      <c r="S122" s="2"/>
      <c r="T122" s="2"/>
      <c r="U122" s="2"/>
      <c r="V122" s="2"/>
      <c r="W122" s="2"/>
      <c r="Y122" s="2"/>
    </row>
    <row r="123" spans="1:25" ht="16" x14ac:dyDescent="0.2">
      <c r="A123" s="12" t="s">
        <v>943</v>
      </c>
      <c r="D123" s="2">
        <v>8.5</v>
      </c>
      <c r="E123" s="2"/>
      <c r="F123" s="2">
        <v>20</v>
      </c>
      <c r="G123" s="2"/>
      <c r="H123" s="2">
        <v>29.2</v>
      </c>
      <c r="I123" s="2"/>
      <c r="J123" s="2">
        <v>3.4</v>
      </c>
      <c r="K123" s="2"/>
      <c r="L123" s="2">
        <v>11.1</v>
      </c>
      <c r="M123" s="2"/>
      <c r="N123" s="2"/>
      <c r="O123" s="2"/>
      <c r="P123" s="2"/>
      <c r="Q123" s="2"/>
      <c r="R123" s="2"/>
      <c r="S123" s="2"/>
      <c r="T123" s="2"/>
      <c r="U123" s="2"/>
      <c r="V123" s="2"/>
      <c r="W123" s="2"/>
      <c r="Y123" s="2"/>
    </row>
    <row r="124" spans="1:25" ht="16" x14ac:dyDescent="0.2">
      <c r="A124" s="1"/>
      <c r="D124" s="2"/>
      <c r="E124" s="2"/>
      <c r="F124" s="2"/>
      <c r="G124" s="2"/>
      <c r="H124" s="2"/>
      <c r="I124" s="2"/>
      <c r="K124" s="2"/>
      <c r="M124" s="2"/>
      <c r="N124" s="2"/>
      <c r="O124" s="2"/>
      <c r="P124" s="2"/>
      <c r="Q124" s="2"/>
      <c r="R124" s="2"/>
      <c r="S124" s="2"/>
      <c r="T124" s="2"/>
      <c r="U124" s="2"/>
      <c r="V124" s="2"/>
      <c r="W124" s="2"/>
      <c r="Y124" s="2"/>
    </row>
    <row r="125" spans="1:25" s="34" customFormat="1" ht="30" x14ac:dyDescent="0.15">
      <c r="A125" s="58" t="s">
        <v>698</v>
      </c>
      <c r="B125" s="34" t="s">
        <v>31</v>
      </c>
      <c r="D125" s="34" t="s">
        <v>32</v>
      </c>
      <c r="F125" s="34" t="s">
        <v>33</v>
      </c>
      <c r="H125" s="34" t="s">
        <v>34</v>
      </c>
      <c r="J125" s="34" t="s">
        <v>35</v>
      </c>
      <c r="L125" s="34" t="s">
        <v>36</v>
      </c>
      <c r="N125" s="34" t="s">
        <v>37</v>
      </c>
      <c r="P125" s="34" t="s">
        <v>38</v>
      </c>
      <c r="R125" s="34" t="s">
        <v>39</v>
      </c>
      <c r="T125" s="34" t="s">
        <v>40</v>
      </c>
      <c r="V125" s="34" t="s">
        <v>41</v>
      </c>
      <c r="X125" s="34" t="s">
        <v>42</v>
      </c>
    </row>
    <row r="126" spans="1:25" s="34" customFormat="1" x14ac:dyDescent="0.15">
      <c r="A126" s="34" t="s">
        <v>238</v>
      </c>
      <c r="D126" s="34">
        <v>-38.299999999999997</v>
      </c>
      <c r="F126" s="34">
        <v>-36.700000000000003</v>
      </c>
      <c r="H126" s="34">
        <v>-27.4</v>
      </c>
      <c r="J126" s="34">
        <v>-19.3</v>
      </c>
      <c r="X126" s="34">
        <v>-6.3</v>
      </c>
    </row>
    <row r="127" spans="1:25" ht="16" x14ac:dyDescent="0.2">
      <c r="A127" s="1" t="s">
        <v>980</v>
      </c>
      <c r="D127">
        <v>-87</v>
      </c>
      <c r="F127" s="2">
        <v>-12</v>
      </c>
      <c r="H127" s="2">
        <v>15</v>
      </c>
      <c r="J127">
        <v>34.700000000000003</v>
      </c>
      <c r="X127" s="6"/>
    </row>
    <row r="129" spans="1:25" ht="17" customHeight="1" x14ac:dyDescent="0.15">
      <c r="A129" s="1" t="s">
        <v>527</v>
      </c>
      <c r="D129" s="39">
        <v>-14</v>
      </c>
      <c r="E129" s="39"/>
      <c r="F129" s="39">
        <v>13.1</v>
      </c>
      <c r="G129" s="39"/>
      <c r="H129" s="39"/>
      <c r="I129" s="39"/>
      <c r="J129" s="39"/>
      <c r="K129" s="39"/>
      <c r="L129" s="39"/>
      <c r="M129" s="39"/>
      <c r="N129" s="39"/>
      <c r="O129" s="39"/>
      <c r="P129" s="39"/>
      <c r="Q129" s="39"/>
      <c r="R129" s="39"/>
      <c r="S129" s="39"/>
      <c r="T129" s="39"/>
      <c r="U129" s="39"/>
      <c r="V129" s="39"/>
      <c r="W129" s="39"/>
      <c r="Y129" s="39"/>
    </row>
    <row r="130" spans="1:25" x14ac:dyDescent="0.15">
      <c r="A130" s="1" t="s">
        <v>528</v>
      </c>
      <c r="D130">
        <v>-11</v>
      </c>
      <c r="F130">
        <v>-4.7</v>
      </c>
    </row>
    <row r="132" spans="1:25" x14ac:dyDescent="0.15">
      <c r="A132" s="1" t="s">
        <v>529</v>
      </c>
      <c r="D132" s="39">
        <v>-13.9</v>
      </c>
      <c r="E132" s="39"/>
      <c r="F132" s="39">
        <v>7.7</v>
      </c>
      <c r="G132" s="39"/>
      <c r="H132" s="39"/>
      <c r="I132" s="39"/>
      <c r="J132" s="39"/>
      <c r="K132" s="39"/>
      <c r="L132" s="39"/>
      <c r="M132" s="39"/>
      <c r="N132" s="39"/>
      <c r="O132" s="39"/>
      <c r="P132" s="39"/>
      <c r="Q132" s="39"/>
      <c r="R132" s="39"/>
      <c r="S132" s="39"/>
      <c r="T132" s="39"/>
      <c r="U132" s="39"/>
      <c r="V132" s="39"/>
      <c r="W132" s="39"/>
      <c r="Y132" s="39"/>
    </row>
    <row r="133" spans="1:25" x14ac:dyDescent="0.15">
      <c r="A133" s="1" t="s">
        <v>530</v>
      </c>
      <c r="D133">
        <v>-13.3</v>
      </c>
      <c r="F133">
        <v>-6.7</v>
      </c>
      <c r="T133" s="39"/>
    </row>
    <row r="135" spans="1:25" x14ac:dyDescent="0.15">
      <c r="A135" s="1" t="s">
        <v>531</v>
      </c>
      <c r="D135" s="39">
        <v>-6.5</v>
      </c>
      <c r="E135" s="39"/>
      <c r="F135" s="39">
        <v>8.1999999999999993</v>
      </c>
      <c r="G135" s="39"/>
      <c r="H135" s="39"/>
      <c r="I135" s="39"/>
      <c r="J135" s="39"/>
      <c r="K135" s="39"/>
      <c r="L135" s="39"/>
      <c r="M135" s="39"/>
      <c r="N135" s="39"/>
      <c r="O135" s="39"/>
      <c r="P135" s="39"/>
      <c r="Q135" s="39"/>
      <c r="R135" s="39"/>
      <c r="S135" s="39"/>
      <c r="T135" s="39"/>
      <c r="U135" s="39"/>
      <c r="V135" s="39"/>
      <c r="W135" s="39"/>
      <c r="Y135" s="39"/>
    </row>
    <row r="136" spans="1:25" x14ac:dyDescent="0.15">
      <c r="A136" s="1" t="s">
        <v>532</v>
      </c>
      <c r="D136">
        <v>-10.199999999999999</v>
      </c>
      <c r="F136">
        <v>-4.8</v>
      </c>
      <c r="T136" s="39"/>
    </row>
    <row r="138" spans="1:25" x14ac:dyDescent="0.15">
      <c r="A138" s="1" t="s">
        <v>533</v>
      </c>
      <c r="D138" s="39">
        <v>-27.6</v>
      </c>
      <c r="E138" s="39"/>
      <c r="F138" s="39">
        <v>11.4</v>
      </c>
      <c r="G138" s="39"/>
      <c r="H138" s="39"/>
      <c r="I138" s="39"/>
      <c r="J138" s="39"/>
      <c r="K138" s="39"/>
      <c r="L138" s="39"/>
      <c r="M138" s="39"/>
      <c r="N138" s="39"/>
      <c r="O138" s="39"/>
      <c r="P138" s="39"/>
      <c r="Q138" s="39"/>
      <c r="R138" s="39"/>
      <c r="S138" s="39"/>
      <c r="T138" s="39"/>
      <c r="U138" s="39"/>
      <c r="V138" s="39"/>
      <c r="W138" s="39"/>
      <c r="Y138" s="39"/>
    </row>
    <row r="139" spans="1:25" x14ac:dyDescent="0.15">
      <c r="A139" s="1" t="s">
        <v>534</v>
      </c>
      <c r="D139">
        <v>-26.2</v>
      </c>
      <c r="F139">
        <v>-13.6</v>
      </c>
      <c r="T139" s="39"/>
    </row>
    <row r="140" spans="1:25" x14ac:dyDescent="0.15">
      <c r="A140" s="1"/>
      <c r="D140" s="39"/>
      <c r="E140" s="39"/>
      <c r="F140" s="39"/>
      <c r="G140" s="39"/>
      <c r="H140" s="39"/>
      <c r="I140" s="39"/>
      <c r="J140" s="39"/>
      <c r="K140" s="39"/>
      <c r="L140" s="39"/>
      <c r="M140" s="39"/>
      <c r="N140" s="39"/>
      <c r="O140" s="39"/>
      <c r="P140" s="39"/>
      <c r="Q140" s="39"/>
      <c r="R140" s="39"/>
      <c r="S140" s="39"/>
      <c r="T140" s="39"/>
      <c r="U140" s="39"/>
      <c r="V140" s="39"/>
      <c r="W140" s="39"/>
      <c r="Y140" s="39"/>
    </row>
    <row r="141" spans="1:25" ht="16" x14ac:dyDescent="0.2">
      <c r="A141" s="1" t="s">
        <v>607</v>
      </c>
      <c r="D141" s="2">
        <v>-79.599999999999994</v>
      </c>
      <c r="E141" s="2"/>
      <c r="F141" s="2">
        <v>-80.2</v>
      </c>
      <c r="G141" s="2"/>
      <c r="H141" s="2">
        <v>-52.1</v>
      </c>
      <c r="I141" s="2"/>
      <c r="J141">
        <v>-33.5</v>
      </c>
      <c r="K141" s="2"/>
      <c r="M141" s="2"/>
      <c r="N141" s="2"/>
      <c r="O141" s="2"/>
      <c r="P141" s="2"/>
      <c r="Q141" s="2"/>
      <c r="R141" s="2"/>
      <c r="S141" s="2"/>
      <c r="T141" s="2"/>
      <c r="U141" s="2"/>
      <c r="V141" s="2"/>
      <c r="W141" s="2"/>
      <c r="Y141" s="2"/>
    </row>
    <row r="143" spans="1:25" ht="16" x14ac:dyDescent="0.2">
      <c r="A143" s="1" t="s">
        <v>981</v>
      </c>
      <c r="D143" s="2">
        <v>-66.400000000000006</v>
      </c>
      <c r="F143">
        <v>-56.5</v>
      </c>
      <c r="H143">
        <v>-48</v>
      </c>
      <c r="J143">
        <v>-38.6</v>
      </c>
      <c r="N143" s="2"/>
      <c r="P143" s="2"/>
      <c r="R143" s="2"/>
      <c r="T143" s="2"/>
      <c r="V143" s="2"/>
    </row>
    <row r="144" spans="1:25" ht="16" x14ac:dyDescent="0.2">
      <c r="A144" s="8"/>
    </row>
    <row r="145" spans="1:25" ht="16" x14ac:dyDescent="0.2">
      <c r="A145" s="1" t="s">
        <v>982</v>
      </c>
      <c r="D145" s="2">
        <v>-34.4</v>
      </c>
      <c r="E145" s="2"/>
      <c r="F145" s="2">
        <v>-55.7</v>
      </c>
      <c r="G145" s="2"/>
      <c r="H145" s="2">
        <v>-60.4</v>
      </c>
      <c r="I145" s="2"/>
      <c r="J145">
        <v>-57.2</v>
      </c>
      <c r="K145" s="2"/>
      <c r="M145" s="2"/>
      <c r="N145" s="2"/>
      <c r="O145" s="2"/>
      <c r="P145" s="2"/>
      <c r="Q145" s="2"/>
      <c r="R145" s="2"/>
      <c r="S145" s="2"/>
      <c r="T145" s="2"/>
      <c r="U145" s="2"/>
      <c r="V145" s="2"/>
      <c r="W145" s="2"/>
      <c r="Y145" s="2"/>
    </row>
    <row r="147" spans="1:25" ht="16" x14ac:dyDescent="0.2">
      <c r="A147" s="1" t="s">
        <v>983</v>
      </c>
      <c r="D147" s="2">
        <v>28.3</v>
      </c>
      <c r="E147" s="2"/>
      <c r="F147" s="2">
        <v>-30.2</v>
      </c>
      <c r="G147" s="2"/>
      <c r="H147" s="2">
        <v>-40.299999999999997</v>
      </c>
      <c r="I147" s="2"/>
      <c r="J147" s="2">
        <v>-43.7</v>
      </c>
      <c r="K147" s="2"/>
      <c r="L147" s="2"/>
      <c r="M147" s="2"/>
      <c r="N147" s="2"/>
      <c r="O147" s="2"/>
      <c r="P147" s="2"/>
      <c r="Q147" s="2"/>
      <c r="R147" s="2"/>
      <c r="S147" s="2"/>
      <c r="T147" s="2"/>
      <c r="U147" s="2"/>
      <c r="V147" s="2"/>
      <c r="W147" s="2"/>
      <c r="Y147" s="2"/>
    </row>
    <row r="149" spans="1:25" ht="16" x14ac:dyDescent="0.2">
      <c r="A149" s="1" t="s">
        <v>984</v>
      </c>
      <c r="D149" s="2">
        <v>-37</v>
      </c>
      <c r="E149" s="2"/>
      <c r="F149" s="2">
        <v>-34</v>
      </c>
      <c r="G149" s="2"/>
      <c r="H149" s="2">
        <v>-19.7</v>
      </c>
      <c r="I149" s="2"/>
      <c r="J149">
        <v>-12</v>
      </c>
      <c r="K149" s="2"/>
      <c r="M149" s="2"/>
      <c r="N149" s="2"/>
      <c r="O149" s="2"/>
      <c r="P149" s="2"/>
      <c r="Q149" s="2"/>
      <c r="R149" s="2"/>
      <c r="S149" s="2"/>
      <c r="T149" s="2"/>
      <c r="U149" s="2"/>
      <c r="V149" s="2"/>
      <c r="W149" s="2"/>
      <c r="Y149" s="2"/>
    </row>
    <row r="151" spans="1:25" ht="16" x14ac:dyDescent="0.2">
      <c r="A151" s="1" t="s">
        <v>985</v>
      </c>
      <c r="D151" s="2">
        <v>-55.1</v>
      </c>
      <c r="E151" s="2"/>
      <c r="F151">
        <v>-34.700000000000003</v>
      </c>
      <c r="G151" s="2"/>
      <c r="H151">
        <v>-3.1</v>
      </c>
      <c r="I151" s="2"/>
      <c r="J151">
        <v>16.600000000000001</v>
      </c>
      <c r="K151" s="2"/>
      <c r="M151" s="2"/>
      <c r="O151" s="2"/>
      <c r="Q151" s="2"/>
      <c r="S151" s="2"/>
      <c r="U151" s="2"/>
      <c r="W151" s="2"/>
      <c r="Y151" s="2"/>
    </row>
    <row r="153" spans="1:25" s="34" customFormat="1" ht="30" x14ac:dyDescent="0.15">
      <c r="A153" s="58" t="s">
        <v>697</v>
      </c>
      <c r="B153" s="34" t="s">
        <v>31</v>
      </c>
      <c r="D153" s="34" t="s">
        <v>32</v>
      </c>
      <c r="F153" s="34" t="s">
        <v>33</v>
      </c>
      <c r="H153" s="34" t="s">
        <v>34</v>
      </c>
      <c r="J153" s="34" t="s">
        <v>35</v>
      </c>
      <c r="L153" s="34" t="s">
        <v>36</v>
      </c>
      <c r="N153" s="34" t="s">
        <v>37</v>
      </c>
      <c r="P153" s="34" t="s">
        <v>38</v>
      </c>
      <c r="R153" s="34" t="s">
        <v>39</v>
      </c>
      <c r="T153" s="34" t="s">
        <v>40</v>
      </c>
      <c r="V153" s="34" t="s">
        <v>41</v>
      </c>
      <c r="X153" s="34" t="s">
        <v>42</v>
      </c>
    </row>
    <row r="154" spans="1:25" s="34" customFormat="1" x14ac:dyDescent="0.15">
      <c r="A154" s="34" t="s">
        <v>238</v>
      </c>
      <c r="D154" s="34">
        <v>-38.299999999999997</v>
      </c>
      <c r="F154" s="34">
        <v>-36.700000000000003</v>
      </c>
      <c r="H154" s="34">
        <v>-27.4</v>
      </c>
      <c r="J154" s="34">
        <v>-19.3</v>
      </c>
    </row>
    <row r="155" spans="1:25" ht="16" x14ac:dyDescent="0.2">
      <c r="A155" s="1" t="s">
        <v>986</v>
      </c>
      <c r="D155" s="2">
        <v>2.2000000000000002</v>
      </c>
      <c r="E155" s="2"/>
      <c r="F155" s="2">
        <v>11.2</v>
      </c>
      <c r="G155" s="2"/>
      <c r="H155" s="2">
        <v>20</v>
      </c>
      <c r="I155" s="2"/>
      <c r="J155">
        <v>19</v>
      </c>
      <c r="K155" s="2"/>
      <c r="M155" s="2"/>
      <c r="N155" s="2"/>
      <c r="O155" s="2"/>
      <c r="P155" s="2"/>
      <c r="Q155" s="2"/>
      <c r="R155" s="2"/>
      <c r="S155" s="2"/>
      <c r="T155" s="2"/>
      <c r="U155" s="2"/>
      <c r="V155" s="2"/>
      <c r="W155" s="2"/>
      <c r="Y155" s="2"/>
    </row>
    <row r="157" spans="1:25" ht="16" x14ac:dyDescent="0.2">
      <c r="A157" s="1" t="s">
        <v>987</v>
      </c>
      <c r="D157" s="2">
        <v>-33.5</v>
      </c>
      <c r="E157" s="2"/>
      <c r="F157" s="2">
        <v>-27.4</v>
      </c>
      <c r="G157" s="2"/>
      <c r="H157" s="2">
        <v>-13</v>
      </c>
      <c r="I157" s="2"/>
      <c r="J157">
        <v>-2.5</v>
      </c>
      <c r="K157" s="2"/>
      <c r="M157" s="2"/>
      <c r="N157" s="2"/>
      <c r="O157" s="2"/>
      <c r="P157" s="2"/>
      <c r="Q157" s="2"/>
      <c r="R157" s="2"/>
      <c r="S157" s="2"/>
      <c r="T157" s="2"/>
      <c r="U157" s="2"/>
      <c r="V157" s="2"/>
      <c r="W157" s="2"/>
      <c r="Y157" s="2"/>
    </row>
    <row r="158" spans="1:25" x14ac:dyDescent="0.15">
      <c r="A158" s="1"/>
    </row>
    <row r="159" spans="1:25" ht="16" x14ac:dyDescent="0.2">
      <c r="A159" s="1" t="s">
        <v>988</v>
      </c>
      <c r="D159" s="2">
        <v>-21.9</v>
      </c>
      <c r="E159" s="2"/>
      <c r="F159" s="2">
        <v>-11.2</v>
      </c>
      <c r="G159" s="2"/>
      <c r="H159" s="2">
        <v>-8.9</v>
      </c>
      <c r="I159" s="2"/>
      <c r="J159">
        <v>-9.6</v>
      </c>
      <c r="K159" s="2"/>
      <c r="M159" s="2"/>
      <c r="N159" s="2"/>
      <c r="O159" s="2"/>
      <c r="P159" s="2"/>
      <c r="Q159" s="2"/>
      <c r="R159" s="2"/>
      <c r="S159" s="2"/>
      <c r="T159" s="2"/>
      <c r="U159" s="2"/>
      <c r="V159" s="2"/>
      <c r="W159" s="2"/>
      <c r="Y159" s="2"/>
    </row>
    <row r="160" spans="1:25" s="6" customFormat="1" x14ac:dyDescent="0.15">
      <c r="A160" s="1"/>
    </row>
    <row r="161" spans="1:25" ht="16" x14ac:dyDescent="0.2">
      <c r="A161" s="1" t="s">
        <v>989</v>
      </c>
      <c r="D161" s="2">
        <v>-10.9</v>
      </c>
      <c r="E161" s="2"/>
      <c r="F161" s="2">
        <v>-15.7</v>
      </c>
      <c r="G161" s="2"/>
      <c r="H161" s="2">
        <v>-7.4</v>
      </c>
      <c r="I161" s="2"/>
      <c r="J161">
        <v>-0.5</v>
      </c>
      <c r="K161" s="2"/>
      <c r="M161" s="2"/>
      <c r="N161" s="2"/>
      <c r="O161" s="2"/>
      <c r="P161" s="2"/>
      <c r="Q161" s="2"/>
      <c r="R161" s="2"/>
      <c r="S161" s="2"/>
      <c r="T161" s="2"/>
      <c r="U161" s="2"/>
      <c r="V161" s="2"/>
      <c r="W161" s="2"/>
      <c r="Y161" s="2"/>
    </row>
    <row r="163" spans="1:25" ht="16" x14ac:dyDescent="0.2">
      <c r="A163" s="1" t="s">
        <v>990</v>
      </c>
      <c r="D163" s="2">
        <v>-42.3</v>
      </c>
      <c r="E163" s="2"/>
      <c r="F163" s="2">
        <v>-37.1</v>
      </c>
      <c r="G163" s="2"/>
      <c r="H163" s="2">
        <v>-31.8</v>
      </c>
      <c r="I163" s="2"/>
      <c r="J163">
        <v>-22.5</v>
      </c>
      <c r="K163" s="2"/>
      <c r="M163" s="2"/>
      <c r="N163" s="2"/>
      <c r="O163" s="2"/>
      <c r="P163" s="2"/>
      <c r="Q163" s="2"/>
      <c r="R163" s="2"/>
      <c r="S163" s="2"/>
      <c r="T163" s="2"/>
      <c r="U163" s="2"/>
      <c r="V163" s="2"/>
      <c r="W163" s="2"/>
      <c r="Y163" s="2"/>
    </row>
    <row r="164" spans="1:25" x14ac:dyDescent="0.15">
      <c r="A164" s="1"/>
    </row>
    <row r="165" spans="1:25" ht="16" x14ac:dyDescent="0.2">
      <c r="A165" s="2" t="s">
        <v>991</v>
      </c>
      <c r="D165" s="2">
        <v>-19.399999999999999</v>
      </c>
      <c r="E165" s="2"/>
      <c r="F165" s="2">
        <v>-30.7</v>
      </c>
      <c r="G165" s="2"/>
      <c r="H165" s="2">
        <v>-27</v>
      </c>
      <c r="I165" s="2"/>
      <c r="J165">
        <v>-19.5</v>
      </c>
      <c r="K165" s="2"/>
      <c r="M165" s="2"/>
      <c r="N165" s="2"/>
      <c r="O165" s="2"/>
      <c r="P165" s="2"/>
      <c r="Q165" s="2"/>
      <c r="R165" s="2"/>
      <c r="S165" s="2"/>
      <c r="T165" s="2"/>
      <c r="U165" s="2"/>
      <c r="V165" s="2"/>
      <c r="W165" s="2"/>
      <c r="Y165" s="2"/>
    </row>
    <row r="167" spans="1:25" ht="16" x14ac:dyDescent="0.2">
      <c r="A167" s="1" t="s">
        <v>992</v>
      </c>
      <c r="D167" s="2">
        <v>-68.2</v>
      </c>
      <c r="E167" s="2"/>
      <c r="F167" s="2">
        <v>-47</v>
      </c>
      <c r="G167" s="2"/>
      <c r="H167" s="2">
        <v>-22.9</v>
      </c>
      <c r="I167" s="2"/>
      <c r="J167">
        <v>-11.6</v>
      </c>
      <c r="K167" s="2"/>
      <c r="M167" s="2"/>
      <c r="N167" s="2"/>
      <c r="O167" s="2"/>
      <c r="P167" s="2"/>
      <c r="Q167" s="2"/>
      <c r="R167" s="2"/>
      <c r="S167" s="2"/>
      <c r="T167" s="2"/>
      <c r="U167" s="2"/>
      <c r="V167" s="2"/>
      <c r="W167" s="2"/>
      <c r="Y167" s="2"/>
    </row>
    <row r="168" spans="1:25" x14ac:dyDescent="0.15">
      <c r="A168" s="1"/>
    </row>
    <row r="169" spans="1:25" ht="16" x14ac:dyDescent="0.2">
      <c r="A169" s="1" t="s">
        <v>993</v>
      </c>
      <c r="D169" s="2">
        <v>-116.7</v>
      </c>
      <c r="E169" s="2"/>
      <c r="F169" s="2">
        <v>-187.9</v>
      </c>
      <c r="G169" s="2"/>
      <c r="H169" s="2">
        <v>-213.3</v>
      </c>
      <c r="I169" s="2"/>
      <c r="J169">
        <v>-167.4</v>
      </c>
      <c r="K169" s="2"/>
      <c r="M169" s="2"/>
      <c r="N169" s="2"/>
      <c r="O169" s="2"/>
      <c r="P169" s="2"/>
      <c r="Q169" s="2"/>
      <c r="R169" s="2"/>
      <c r="S169" s="2"/>
      <c r="T169" s="2"/>
      <c r="U169" s="2"/>
      <c r="V169" s="2"/>
      <c r="W169" s="2"/>
      <c r="Y169" s="2"/>
    </row>
    <row r="171" spans="1:25" ht="16" x14ac:dyDescent="0.2">
      <c r="A171" s="49" t="s">
        <v>994</v>
      </c>
      <c r="D171" s="2">
        <v>-45.6</v>
      </c>
      <c r="E171" s="2"/>
      <c r="F171" s="2">
        <v>-29.9</v>
      </c>
      <c r="G171" s="2"/>
      <c r="H171" s="2">
        <v>-27</v>
      </c>
      <c r="I171" s="2"/>
      <c r="J171">
        <v>-31.2</v>
      </c>
      <c r="K171" s="2"/>
      <c r="M171" s="2"/>
      <c r="N171" s="2"/>
      <c r="O171" s="2"/>
      <c r="P171" s="2"/>
      <c r="Q171" s="2"/>
      <c r="R171" s="2"/>
      <c r="S171" s="2"/>
      <c r="T171" s="2"/>
      <c r="U171" s="2"/>
      <c r="V171" s="2"/>
      <c r="W171" s="2"/>
      <c r="Y171" s="2"/>
    </row>
    <row r="173" spans="1:25" ht="16" x14ac:dyDescent="0.2">
      <c r="A173" s="1" t="s">
        <v>995</v>
      </c>
      <c r="D173" s="2">
        <v>-23.7</v>
      </c>
      <c r="E173" s="2"/>
      <c r="F173" s="2">
        <v>-20.100000000000001</v>
      </c>
      <c r="G173" s="2"/>
      <c r="H173" s="2">
        <v>-56.4</v>
      </c>
      <c r="I173" s="2"/>
      <c r="J173">
        <v>-75.8</v>
      </c>
      <c r="K173" s="2"/>
      <c r="M173" s="2"/>
      <c r="N173" s="2"/>
      <c r="O173" s="2"/>
      <c r="P173" s="2"/>
      <c r="Q173" s="2"/>
      <c r="R173" s="2"/>
      <c r="S173" s="2"/>
      <c r="T173" s="2"/>
      <c r="U173" s="2"/>
      <c r="V173" s="2"/>
      <c r="W173" s="2"/>
      <c r="Y173" s="2"/>
    </row>
    <row r="175" spans="1:25" ht="16" x14ac:dyDescent="0.2">
      <c r="A175" s="1" t="s">
        <v>599</v>
      </c>
      <c r="D175" s="2">
        <v>-59.3</v>
      </c>
      <c r="E175" s="2"/>
      <c r="F175" s="2">
        <v>-38.799999999999997</v>
      </c>
      <c r="G175" s="2"/>
      <c r="H175" s="2">
        <v>-19.8</v>
      </c>
      <c r="I175" s="2"/>
      <c r="J175">
        <v>-10.3</v>
      </c>
      <c r="K175" s="2"/>
      <c r="M175" s="2"/>
      <c r="N175" s="2"/>
      <c r="O175" s="2"/>
      <c r="P175" s="2"/>
      <c r="Q175" s="2"/>
      <c r="R175" s="2"/>
      <c r="S175" s="2"/>
      <c r="T175" s="2"/>
      <c r="U175" s="2"/>
      <c r="V175" s="2"/>
      <c r="W175" s="2"/>
      <c r="Y175" s="2"/>
    </row>
    <row r="178" spans="1:24" s="34" customFormat="1" ht="30" x14ac:dyDescent="0.15">
      <c r="A178" s="58" t="s">
        <v>696</v>
      </c>
      <c r="B178" s="34" t="s">
        <v>31</v>
      </c>
      <c r="D178" s="34" t="s">
        <v>32</v>
      </c>
      <c r="F178" s="34" t="s">
        <v>33</v>
      </c>
      <c r="H178" s="34" t="s">
        <v>34</v>
      </c>
      <c r="J178" s="34" t="s">
        <v>35</v>
      </c>
      <c r="L178" s="34" t="s">
        <v>36</v>
      </c>
      <c r="N178" s="34" t="s">
        <v>37</v>
      </c>
      <c r="P178" s="34" t="s">
        <v>38</v>
      </c>
      <c r="R178" s="34" t="s">
        <v>39</v>
      </c>
      <c r="T178" s="34" t="s">
        <v>40</v>
      </c>
      <c r="V178" s="34" t="s">
        <v>41</v>
      </c>
      <c r="X178" s="34" t="s">
        <v>42</v>
      </c>
    </row>
    <row r="179" spans="1:24" ht="16" x14ac:dyDescent="0.2">
      <c r="A179" s="129" t="s">
        <v>695</v>
      </c>
      <c r="B179" s="2">
        <v>5862.7</v>
      </c>
      <c r="D179" s="2">
        <v>5613.7</v>
      </c>
      <c r="F179" s="2">
        <v>5026.1000000000004</v>
      </c>
      <c r="H179" s="2">
        <v>2903.4</v>
      </c>
      <c r="J179" s="2">
        <v>3420.3</v>
      </c>
      <c r="L179" s="2">
        <v>3597.4</v>
      </c>
      <c r="N179" s="2">
        <v>3170.4</v>
      </c>
    </row>
    <row r="180" spans="1:24" ht="16" x14ac:dyDescent="0.2">
      <c r="A180" s="122"/>
      <c r="B180" s="2">
        <v>5887</v>
      </c>
      <c r="D180" s="2">
        <v>5473.3</v>
      </c>
      <c r="F180" s="2">
        <v>4242.8</v>
      </c>
      <c r="H180" s="2">
        <v>3548.7</v>
      </c>
      <c r="J180" s="2">
        <v>3439.3</v>
      </c>
      <c r="L180" s="2">
        <v>3539</v>
      </c>
      <c r="N180" s="2">
        <v>3207.8</v>
      </c>
    </row>
    <row r="181" spans="1:24" ht="16" x14ac:dyDescent="0.2">
      <c r="A181" s="122"/>
      <c r="B181" s="2">
        <v>5851</v>
      </c>
      <c r="C181" s="1"/>
      <c r="D181" s="2">
        <v>5409</v>
      </c>
      <c r="F181" s="2">
        <v>3062</v>
      </c>
      <c r="H181" s="2">
        <v>3081.4</v>
      </c>
      <c r="J181" s="2">
        <v>3492.9</v>
      </c>
      <c r="L181" s="2">
        <v>3264.2</v>
      </c>
      <c r="M181" s="1"/>
    </row>
    <row r="182" spans="1:24" ht="16" x14ac:dyDescent="0.2">
      <c r="A182" s="129" t="s">
        <v>996</v>
      </c>
      <c r="B182" s="2">
        <v>12302.1</v>
      </c>
      <c r="D182" s="2">
        <v>11096.9</v>
      </c>
      <c r="E182" s="1"/>
      <c r="F182" s="2">
        <v>10652.7</v>
      </c>
      <c r="H182" s="2">
        <v>9597.9</v>
      </c>
      <c r="J182" s="2">
        <v>10011.299999999999</v>
      </c>
      <c r="L182" s="2">
        <v>10265.9</v>
      </c>
      <c r="N182" s="2">
        <v>10357.9</v>
      </c>
      <c r="O182" s="1"/>
    </row>
    <row r="183" spans="1:24" ht="16" x14ac:dyDescent="0.2">
      <c r="A183" s="122"/>
      <c r="B183" s="2">
        <v>12378.5</v>
      </c>
      <c r="D183" s="2">
        <v>11328</v>
      </c>
      <c r="E183" s="1"/>
      <c r="F183" s="2">
        <v>10115.200000000001</v>
      </c>
      <c r="H183" s="2">
        <v>9818.2000000000007</v>
      </c>
      <c r="J183" s="2">
        <v>10067.1</v>
      </c>
      <c r="L183" s="2">
        <v>10150.700000000001</v>
      </c>
      <c r="N183" s="2">
        <v>10473.1</v>
      </c>
    </row>
    <row r="184" spans="1:24" ht="16" x14ac:dyDescent="0.2">
      <c r="A184" s="122"/>
      <c r="B184" s="2">
        <v>11918.3</v>
      </c>
      <c r="C184" s="1"/>
      <c r="D184" s="2">
        <v>11147.7</v>
      </c>
      <c r="F184" s="2">
        <v>9480.7999999999993</v>
      </c>
      <c r="H184" s="2">
        <v>9689.7000000000007</v>
      </c>
      <c r="J184" s="2">
        <v>10051.6</v>
      </c>
      <c r="L184" s="2">
        <v>10113.299999999999</v>
      </c>
      <c r="M184" s="1"/>
    </row>
  </sheetData>
  <mergeCells count="12">
    <mergeCell ref="A182:A184"/>
    <mergeCell ref="Z3:AE6"/>
    <mergeCell ref="A179:A181"/>
    <mergeCell ref="B1:X1"/>
    <mergeCell ref="A7:P7"/>
    <mergeCell ref="A8:P8"/>
    <mergeCell ref="Z35:Z38"/>
    <mergeCell ref="B28:P28"/>
    <mergeCell ref="B24:P24"/>
    <mergeCell ref="B25:P25"/>
    <mergeCell ref="B26:P26"/>
    <mergeCell ref="B27:P2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V30" sqref="V30"/>
    </sheetView>
  </sheetViews>
  <sheetFormatPr baseColWidth="10" defaultRowHeight="15" x14ac:dyDescent="0.15"/>
  <cols>
    <col min="2" max="3" width="15.1640625" bestFit="1" customWidth="1"/>
    <col min="4" max="4" width="13.5" bestFit="1" customWidth="1"/>
    <col min="5" max="5" width="20.5" bestFit="1" customWidth="1"/>
    <col min="8" max="9" width="15.6640625" bestFit="1" customWidth="1"/>
    <col min="13" max="13" width="16.5" bestFit="1" customWidth="1"/>
    <col min="14" max="14" width="20.83203125" bestFit="1" customWidth="1"/>
    <col min="19" max="19" width="15.5" bestFit="1" customWidth="1"/>
    <col min="20" max="20" width="19.5" bestFit="1" customWidth="1"/>
    <col min="21" max="22" width="15.5" bestFit="1" customWidth="1"/>
  </cols>
  <sheetData>
    <row r="1" spans="1:20" ht="26" x14ac:dyDescent="0.15">
      <c r="A1" s="63" t="s">
        <v>711</v>
      </c>
    </row>
    <row r="2" spans="1:20" ht="30" x14ac:dyDescent="0.15">
      <c r="A2" s="43" t="s">
        <v>859</v>
      </c>
      <c r="B2" s="132"/>
      <c r="C2" s="133"/>
      <c r="D2" s="133"/>
      <c r="E2" s="133"/>
      <c r="F2" s="133"/>
      <c r="G2" s="75"/>
      <c r="H2" s="75"/>
      <c r="I2" s="75"/>
      <c r="J2" s="78"/>
      <c r="K2" s="75"/>
      <c r="L2" s="75"/>
      <c r="M2" s="75"/>
      <c r="N2" s="75"/>
      <c r="O2" s="75"/>
      <c r="P2" s="75"/>
    </row>
    <row r="3" spans="1:20" ht="30" x14ac:dyDescent="0.15">
      <c r="A3" s="43" t="s">
        <v>860</v>
      </c>
      <c r="B3" s="132"/>
      <c r="C3" s="133"/>
      <c r="D3" s="133"/>
      <c r="E3" s="133"/>
      <c r="F3" s="133"/>
      <c r="G3" s="75"/>
      <c r="J3" s="78"/>
      <c r="K3" s="75"/>
      <c r="L3" s="75"/>
      <c r="M3" s="75"/>
      <c r="N3" s="75"/>
      <c r="O3" s="75"/>
      <c r="P3" s="75"/>
    </row>
    <row r="4" spans="1:20" ht="30" x14ac:dyDescent="0.15">
      <c r="A4" s="43" t="s">
        <v>862</v>
      </c>
      <c r="B4" s="132"/>
      <c r="C4" s="133"/>
      <c r="D4" s="133"/>
      <c r="E4" s="133"/>
      <c r="F4" s="133"/>
      <c r="H4" s="75"/>
      <c r="I4" s="75"/>
      <c r="J4" s="78"/>
      <c r="K4" s="75"/>
      <c r="L4" s="75"/>
      <c r="M4" s="75"/>
      <c r="N4" s="75"/>
      <c r="O4" s="75"/>
      <c r="P4" s="75"/>
    </row>
    <row r="5" spans="1:20" x14ac:dyDescent="0.15">
      <c r="A5" s="43" t="s">
        <v>864</v>
      </c>
      <c r="B5" s="132"/>
      <c r="C5" s="133"/>
      <c r="D5" s="133"/>
      <c r="E5" s="133"/>
      <c r="F5" s="133"/>
      <c r="I5" s="75"/>
      <c r="J5" s="78"/>
      <c r="K5" s="75"/>
      <c r="L5" s="75"/>
      <c r="M5" s="75"/>
      <c r="N5" s="75"/>
      <c r="O5" s="75"/>
      <c r="P5" s="75"/>
    </row>
    <row r="7" spans="1:20" x14ac:dyDescent="0.15">
      <c r="A7" s="122" t="s">
        <v>944</v>
      </c>
      <c r="B7" s="122"/>
      <c r="C7" s="122"/>
      <c r="D7" s="122"/>
      <c r="E7" s="122"/>
      <c r="F7" s="122"/>
      <c r="G7" s="122"/>
      <c r="H7" s="122"/>
      <c r="I7" s="122"/>
      <c r="J7" s="122"/>
      <c r="K7" s="122"/>
    </row>
    <row r="8" spans="1:20" ht="18" x14ac:dyDescent="0.25">
      <c r="A8" s="131" t="s">
        <v>887</v>
      </c>
      <c r="B8" s="131"/>
      <c r="C8" s="131"/>
      <c r="D8" s="131"/>
      <c r="F8" s="74"/>
      <c r="G8" s="90" t="s">
        <v>845</v>
      </c>
      <c r="H8" s="90" t="s">
        <v>538</v>
      </c>
      <c r="I8" s="90" t="s">
        <v>853</v>
      </c>
      <c r="J8" s="74"/>
      <c r="K8" s="74"/>
      <c r="L8" s="99"/>
      <c r="M8" s="134" t="s">
        <v>538</v>
      </c>
      <c r="N8" s="133"/>
      <c r="O8" s="133"/>
      <c r="P8" s="133"/>
      <c r="Q8" s="133"/>
      <c r="R8" s="133"/>
      <c r="S8" s="133"/>
      <c r="T8" s="99"/>
    </row>
    <row r="9" spans="1:20" ht="36" x14ac:dyDescent="0.25">
      <c r="A9" s="90" t="s">
        <v>845</v>
      </c>
      <c r="B9" s="90" t="s">
        <v>538</v>
      </c>
      <c r="C9" s="90" t="s">
        <v>853</v>
      </c>
      <c r="D9" s="90" t="s">
        <v>854</v>
      </c>
      <c r="E9" s="74"/>
      <c r="F9" s="74"/>
      <c r="G9" s="90" t="s">
        <v>866</v>
      </c>
      <c r="H9" s="87">
        <v>5722273431.3599997</v>
      </c>
      <c r="I9" s="87">
        <v>4766156893.3100004</v>
      </c>
      <c r="J9" s="74"/>
      <c r="K9" s="74"/>
      <c r="L9" s="90" t="s">
        <v>845</v>
      </c>
      <c r="M9" s="90" t="s">
        <v>953</v>
      </c>
      <c r="N9" s="90" t="s">
        <v>952</v>
      </c>
      <c r="O9" s="90" t="s">
        <v>951</v>
      </c>
      <c r="P9" s="99" t="s">
        <v>950</v>
      </c>
      <c r="Q9" s="99" t="s">
        <v>958</v>
      </c>
      <c r="R9" s="99" t="s">
        <v>959</v>
      </c>
      <c r="S9" s="99" t="s">
        <v>960</v>
      </c>
      <c r="T9" s="99" t="s">
        <v>961</v>
      </c>
    </row>
    <row r="10" spans="1:20" ht="18" x14ac:dyDescent="0.25">
      <c r="A10" s="90" t="s">
        <v>866</v>
      </c>
      <c r="B10" s="112">
        <f>157030328*1000</f>
        <v>157030328000</v>
      </c>
      <c r="C10" s="112">
        <f>128402626*1000</f>
        <v>128402626000</v>
      </c>
      <c r="D10" s="112">
        <f>75310820*1000</f>
        <v>75310820000</v>
      </c>
      <c r="E10" s="117"/>
      <c r="F10" s="74"/>
      <c r="G10" s="90" t="s">
        <v>238</v>
      </c>
      <c r="H10" s="88">
        <f>(H9-I9)/I9</f>
        <v>0.20060534293196453</v>
      </c>
      <c r="I10" s="88"/>
      <c r="J10" s="74"/>
      <c r="K10" s="74"/>
      <c r="L10" s="90" t="s">
        <v>947</v>
      </c>
      <c r="M10" s="112">
        <v>79106506</v>
      </c>
      <c r="N10" s="112">
        <v>42154254</v>
      </c>
      <c r="O10" s="115">
        <v>0.46710000000000002</v>
      </c>
      <c r="P10" s="133" t="s">
        <v>954</v>
      </c>
      <c r="Q10" s="133">
        <v>23.2</v>
      </c>
      <c r="R10" s="135">
        <f>3.59/23.2</f>
        <v>0.15474137931034482</v>
      </c>
      <c r="S10" s="136">
        <f>(M10+M11)/3.59</f>
        <v>27730028.133704737</v>
      </c>
      <c r="T10" s="135">
        <f>(M10+M11)/B10*1000</f>
        <v>0.63395907190616074</v>
      </c>
    </row>
    <row r="11" spans="1:20" ht="18" x14ac:dyDescent="0.25">
      <c r="A11" s="107" t="s">
        <v>238</v>
      </c>
      <c r="B11" s="88">
        <f>(B10-C10)/C10</f>
        <v>0.22295262092225435</v>
      </c>
      <c r="C11" s="88">
        <f>(C10-D10)/D10</f>
        <v>0.70496916644912377</v>
      </c>
      <c r="D11" s="87" t="s">
        <v>855</v>
      </c>
      <c r="E11" s="74"/>
      <c r="F11" s="74"/>
      <c r="G11" s="90" t="s">
        <v>870</v>
      </c>
      <c r="H11" s="59">
        <v>319094.33</v>
      </c>
      <c r="I11" s="59">
        <v>274435.8</v>
      </c>
      <c r="J11" s="74"/>
      <c r="K11" s="74"/>
      <c r="L11" s="99" t="s">
        <v>948</v>
      </c>
      <c r="M11" s="112">
        <v>20444295</v>
      </c>
      <c r="N11" s="112">
        <v>10522745</v>
      </c>
      <c r="O11" s="115">
        <v>0.48530000000000001</v>
      </c>
      <c r="P11" s="133"/>
      <c r="Q11" s="133"/>
      <c r="R11" s="135"/>
      <c r="S11" s="136"/>
      <c r="T11" s="135"/>
    </row>
    <row r="12" spans="1:20" ht="35" customHeight="1" x14ac:dyDescent="0.25">
      <c r="A12" s="90" t="s">
        <v>920</v>
      </c>
      <c r="B12" s="116">
        <v>1607880088</v>
      </c>
      <c r="C12" s="116">
        <v>1968398406</v>
      </c>
      <c r="D12" s="96">
        <v>1026248000</v>
      </c>
      <c r="E12" s="74"/>
      <c r="F12" s="74"/>
      <c r="G12" s="90" t="s">
        <v>238</v>
      </c>
      <c r="H12" s="88">
        <f>(H11-I11)/I11</f>
        <v>0.16272851428275767</v>
      </c>
      <c r="I12" s="88"/>
      <c r="J12" s="74"/>
      <c r="K12" s="74"/>
      <c r="L12" s="90" t="s">
        <v>945</v>
      </c>
      <c r="M12" s="112">
        <v>9121757</v>
      </c>
      <c r="N12" s="112">
        <v>4996985</v>
      </c>
      <c r="O12" s="115">
        <v>0.45219999999999999</v>
      </c>
      <c r="P12" s="113" t="s">
        <v>955</v>
      </c>
      <c r="T12" s="37">
        <f>M12/B10*1000</f>
        <v>5.8089141863092837E-2</v>
      </c>
    </row>
    <row r="13" spans="1:20" ht="18" x14ac:dyDescent="0.25">
      <c r="A13" s="107" t="s">
        <v>238</v>
      </c>
      <c r="B13" s="88">
        <f>(B12-C12)/C12</f>
        <v>-0.18315312433757377</v>
      </c>
      <c r="C13" s="88">
        <f>(C12-D12)/D12</f>
        <v>0.91805334188227405</v>
      </c>
      <c r="D13" s="87" t="s">
        <v>855</v>
      </c>
      <c r="E13" s="74"/>
      <c r="F13" s="74"/>
      <c r="G13" s="90" t="s">
        <v>871</v>
      </c>
      <c r="H13" s="59">
        <v>52306.27</v>
      </c>
      <c r="I13" s="59">
        <v>39206.94</v>
      </c>
      <c r="J13" s="74"/>
      <c r="K13" s="74"/>
      <c r="L13" s="90" t="s">
        <v>946</v>
      </c>
      <c r="M13" s="112">
        <v>1022439</v>
      </c>
      <c r="N13" s="112">
        <v>300592</v>
      </c>
      <c r="O13" s="115">
        <v>0.70599999999999996</v>
      </c>
      <c r="P13" s="114" t="s">
        <v>956</v>
      </c>
      <c r="T13" s="37">
        <f>M13/B10*1000</f>
        <v>6.5110925578656378E-3</v>
      </c>
    </row>
    <row r="14" spans="1:20" ht="18" x14ac:dyDescent="0.25">
      <c r="A14" s="90" t="s">
        <v>965</v>
      </c>
      <c r="B14" s="116">
        <v>1273619922</v>
      </c>
      <c r="C14" s="116">
        <v>1232637935</v>
      </c>
      <c r="D14" s="96">
        <f>75236900+537502400</f>
        <v>612739300</v>
      </c>
      <c r="E14" s="86"/>
      <c r="F14" s="74"/>
      <c r="G14" s="90" t="s">
        <v>238</v>
      </c>
      <c r="H14" s="88">
        <f>(H13-I13)/I13</f>
        <v>0.33410743098033141</v>
      </c>
      <c r="I14" s="88"/>
      <c r="J14" s="74"/>
      <c r="K14" s="74"/>
      <c r="L14" s="99" t="s">
        <v>949</v>
      </c>
      <c r="M14" s="112">
        <v>70718</v>
      </c>
      <c r="N14" s="112">
        <v>53078</v>
      </c>
      <c r="O14" s="115">
        <v>0.24940000000000001</v>
      </c>
      <c r="P14" s="114" t="s">
        <v>957</v>
      </c>
      <c r="T14" s="37">
        <f>M14/B10*1000</f>
        <v>4.5034612676858192E-4</v>
      </c>
    </row>
    <row r="15" spans="1:20" ht="18" x14ac:dyDescent="0.25">
      <c r="A15" s="107" t="s">
        <v>927</v>
      </c>
      <c r="B15" s="96">
        <f>C14-B14</f>
        <v>-40981987</v>
      </c>
      <c r="C15" s="96">
        <f>D14-C14</f>
        <v>-619898635</v>
      </c>
      <c r="D15" s="87" t="s">
        <v>855</v>
      </c>
      <c r="G15" s="90" t="s">
        <v>872</v>
      </c>
      <c r="H15" s="59">
        <v>27316.38</v>
      </c>
      <c r="I15" s="59">
        <v>24089</v>
      </c>
      <c r="L15" s="99" t="s">
        <v>964</v>
      </c>
      <c r="M15" s="112">
        <v>38348548</v>
      </c>
      <c r="N15" s="112">
        <v>38285906</v>
      </c>
      <c r="O15" s="115">
        <v>1.6000000000000001E-3</v>
      </c>
      <c r="P15" s="114" t="s">
        <v>957</v>
      </c>
      <c r="T15" s="37">
        <f>M15/B10*1000</f>
        <v>0.24421109277693157</v>
      </c>
    </row>
    <row r="16" spans="1:20" ht="18" x14ac:dyDescent="0.25">
      <c r="A16" s="99" t="s">
        <v>966</v>
      </c>
      <c r="B16" s="116">
        <v>8375401956</v>
      </c>
      <c r="C16" s="116">
        <v>9067583799</v>
      </c>
      <c r="D16" s="96">
        <f>75236900+537502400</f>
        <v>612739300</v>
      </c>
      <c r="E16" s="74"/>
      <c r="F16" s="74"/>
      <c r="G16" s="90" t="s">
        <v>238</v>
      </c>
      <c r="H16" s="88">
        <f>(H15-I15)/I15</f>
        <v>0.13397733405288725</v>
      </c>
      <c r="I16" s="88"/>
      <c r="J16" s="74"/>
      <c r="K16" s="74"/>
      <c r="L16" s="107" t="s">
        <v>969</v>
      </c>
      <c r="M16" s="67">
        <f>SUM(M10:M15)*1000</f>
        <v>148114263000</v>
      </c>
      <c r="N16" s="67">
        <f>SUM(N10:N15)*1000</f>
        <v>96313560000</v>
      </c>
      <c r="T16" s="37">
        <f>SUM(T10:T15)</f>
        <v>0.94322074523081934</v>
      </c>
    </row>
    <row r="17" spans="1:22" ht="18" x14ac:dyDescent="0.25">
      <c r="A17" s="107" t="s">
        <v>927</v>
      </c>
      <c r="B17" s="96">
        <f>C16-B16</f>
        <v>692181843</v>
      </c>
      <c r="C17" s="96">
        <f>D16-C16</f>
        <v>-8454844499</v>
      </c>
      <c r="D17" s="87" t="s">
        <v>855</v>
      </c>
      <c r="G17" s="90" t="s">
        <v>873</v>
      </c>
      <c r="H17" s="59">
        <v>11943.21</v>
      </c>
      <c r="I17" s="59">
        <v>10081.42</v>
      </c>
      <c r="L17" s="99" t="s">
        <v>970</v>
      </c>
      <c r="M17" s="67">
        <f>B10</f>
        <v>157030328000</v>
      </c>
      <c r="N17" s="67">
        <v>104760090086</v>
      </c>
    </row>
    <row r="18" spans="1:22" ht="36" x14ac:dyDescent="0.25">
      <c r="A18" s="99" t="s">
        <v>968</v>
      </c>
      <c r="B18" s="116">
        <v>3350585849</v>
      </c>
      <c r="C18" s="116">
        <v>4066653238</v>
      </c>
      <c r="D18" s="96">
        <f>75236900+537502400</f>
        <v>612739300</v>
      </c>
      <c r="F18" s="74"/>
      <c r="G18" s="90" t="s">
        <v>238</v>
      </c>
      <c r="H18" s="88">
        <f>(H17-I17)/I17</f>
        <v>0.18467537311212101</v>
      </c>
      <c r="I18" s="88"/>
      <c r="J18" s="74"/>
      <c r="K18" s="74"/>
    </row>
    <row r="19" spans="1:22" ht="18" x14ac:dyDescent="0.25">
      <c r="A19" s="107" t="s">
        <v>927</v>
      </c>
      <c r="B19" s="96">
        <f>C18-B18</f>
        <v>716067389</v>
      </c>
      <c r="C19" s="96">
        <f>D18-C18</f>
        <v>-3453913938</v>
      </c>
      <c r="D19" s="87" t="s">
        <v>855</v>
      </c>
      <c r="G19" s="90" t="s">
        <v>874</v>
      </c>
      <c r="H19" s="59">
        <v>-4495.41</v>
      </c>
      <c r="I19" s="59">
        <v>-1010.05</v>
      </c>
      <c r="L19" s="99"/>
      <c r="M19" s="134" t="s">
        <v>561</v>
      </c>
      <c r="N19" s="133"/>
      <c r="O19" s="133"/>
      <c r="P19" s="133"/>
      <c r="Q19" s="133"/>
      <c r="R19" s="133"/>
      <c r="S19" s="133"/>
      <c r="T19" s="99"/>
      <c r="U19" s="99"/>
      <c r="V19" s="99"/>
    </row>
    <row r="20" spans="1:22" ht="36" x14ac:dyDescent="0.25">
      <c r="A20" s="99" t="s">
        <v>967</v>
      </c>
      <c r="B20" s="116">
        <v>3623379951</v>
      </c>
      <c r="C20" s="116">
        <v>11427975928</v>
      </c>
      <c r="D20" s="96">
        <f>75236900+537502400</f>
        <v>612739300</v>
      </c>
      <c r="F20" s="74"/>
      <c r="G20" s="90" t="s">
        <v>238</v>
      </c>
      <c r="H20" s="88">
        <f>(H19-I19)/I19</f>
        <v>3.4506806593732984</v>
      </c>
      <c r="I20" s="88"/>
      <c r="J20" s="74"/>
      <c r="K20" s="74"/>
      <c r="L20" s="99" t="s">
        <v>845</v>
      </c>
      <c r="M20" s="99" t="s">
        <v>953</v>
      </c>
      <c r="N20" s="99" t="s">
        <v>952</v>
      </c>
      <c r="O20" s="99" t="s">
        <v>951</v>
      </c>
      <c r="P20" s="99" t="s">
        <v>950</v>
      </c>
      <c r="Q20" s="99" t="s">
        <v>958</v>
      </c>
      <c r="R20" s="99" t="s">
        <v>959</v>
      </c>
      <c r="S20" s="99" t="s">
        <v>960</v>
      </c>
      <c r="T20" s="99" t="s">
        <v>961</v>
      </c>
      <c r="U20" s="99" t="s">
        <v>962</v>
      </c>
      <c r="V20" s="99" t="s">
        <v>963</v>
      </c>
    </row>
    <row r="21" spans="1:22" ht="54" x14ac:dyDescent="0.25">
      <c r="A21" s="107" t="s">
        <v>927</v>
      </c>
      <c r="B21" s="96">
        <f>C20-B20</f>
        <v>7804595977</v>
      </c>
      <c r="C21" s="96">
        <f>D20-C20</f>
        <v>-10815236628</v>
      </c>
      <c r="D21" s="87" t="s">
        <v>855</v>
      </c>
      <c r="G21" s="90" t="s">
        <v>851</v>
      </c>
      <c r="H21" s="59">
        <v>-87937.22</v>
      </c>
      <c r="I21" s="59">
        <v>61231.08</v>
      </c>
      <c r="L21" s="99" t="s">
        <v>947</v>
      </c>
      <c r="M21" s="137">
        <f>Q21*R21*S21</f>
        <v>12872948.405172413</v>
      </c>
      <c r="N21" s="137">
        <f>M21*(1-O21)</f>
        <v>6859994.2051163781</v>
      </c>
      <c r="O21" s="138">
        <f>O10</f>
        <v>0.46710000000000002</v>
      </c>
      <c r="P21" s="133" t="s">
        <v>954</v>
      </c>
      <c r="Q21" s="133">
        <v>3</v>
      </c>
      <c r="R21" s="135">
        <f>3.59/23.2</f>
        <v>0.15474137931034482</v>
      </c>
      <c r="S21" s="136">
        <f>S10</f>
        <v>27730028.133704737</v>
      </c>
      <c r="T21" s="135">
        <f>T10</f>
        <v>0.63395907190616074</v>
      </c>
      <c r="U21" s="136">
        <f>M21/T21</f>
        <v>20305645.862068962</v>
      </c>
      <c r="V21" s="136">
        <v>23207077</v>
      </c>
    </row>
    <row r="22" spans="1:22" ht="18" x14ac:dyDescent="0.25">
      <c r="A22" s="90" t="s">
        <v>923</v>
      </c>
      <c r="B22" s="116">
        <v>3493690637</v>
      </c>
      <c r="C22" s="116">
        <v>3313102709</v>
      </c>
      <c r="D22" s="96">
        <v>0</v>
      </c>
      <c r="G22" s="90"/>
      <c r="H22" s="59"/>
      <c r="I22" s="59"/>
      <c r="L22" s="99" t="s">
        <v>948</v>
      </c>
      <c r="M22" s="133"/>
      <c r="N22" s="133"/>
      <c r="O22" s="138"/>
      <c r="P22" s="133"/>
      <c r="Q22" s="133"/>
      <c r="R22" s="135"/>
      <c r="S22" s="136"/>
      <c r="T22" s="135"/>
      <c r="U22" s="136"/>
      <c r="V22" s="136"/>
    </row>
    <row r="23" spans="1:22" ht="18" x14ac:dyDescent="0.25">
      <c r="A23" s="107" t="s">
        <v>924</v>
      </c>
      <c r="B23" s="96">
        <f>B22-C22</f>
        <v>180587928</v>
      </c>
      <c r="C23" s="96">
        <f>C22-D22</f>
        <v>3313102709</v>
      </c>
      <c r="D23" s="87" t="s">
        <v>855</v>
      </c>
      <c r="G23" s="90"/>
      <c r="H23" s="59"/>
      <c r="I23" s="59"/>
      <c r="L23" s="99" t="s">
        <v>945</v>
      </c>
      <c r="M23" s="112">
        <f>M12/4</f>
        <v>2280439.25</v>
      </c>
      <c r="N23" s="112">
        <f>M23*(1-O23)</f>
        <v>1249224.6211500003</v>
      </c>
      <c r="O23" s="115">
        <v>0.45219999999999999</v>
      </c>
      <c r="P23" s="113" t="s">
        <v>955</v>
      </c>
      <c r="T23" s="37">
        <f>T12</f>
        <v>5.8089141863092837E-2</v>
      </c>
    </row>
    <row r="24" spans="1:22" ht="54" x14ac:dyDescent="0.25">
      <c r="A24" s="90" t="s">
        <v>885</v>
      </c>
      <c r="B24" s="116">
        <v>196051253945</v>
      </c>
      <c r="C24" s="116">
        <v>163783595965</v>
      </c>
      <c r="D24" s="96">
        <v>92658574200</v>
      </c>
      <c r="E24" s="109">
        <f>B10+B12+B15+B17+B19+B21+B23</f>
        <v>167990659238</v>
      </c>
      <c r="G24" s="90" t="s">
        <v>238</v>
      </c>
      <c r="H24" s="88">
        <f>(H21-I21)/I21</f>
        <v>-2.4361533391212435</v>
      </c>
      <c r="I24" s="88"/>
      <c r="L24" s="99" t="s">
        <v>946</v>
      </c>
      <c r="M24" s="112">
        <f>M13/4</f>
        <v>255609.75</v>
      </c>
      <c r="N24" s="112">
        <f>M24*(1-O24)</f>
        <v>75149.266500000012</v>
      </c>
      <c r="O24" s="115">
        <v>0.70599999999999996</v>
      </c>
      <c r="P24" s="114" t="s">
        <v>956</v>
      </c>
      <c r="T24" s="37">
        <f>T13</f>
        <v>6.5110925578656378E-3</v>
      </c>
    </row>
    <row r="25" spans="1:22" ht="54" x14ac:dyDescent="0.25">
      <c r="A25" s="107" t="s">
        <v>238</v>
      </c>
      <c r="B25" s="88">
        <f>(B24-C24)/C24</f>
        <v>0.19701397926868994</v>
      </c>
      <c r="C25" s="88">
        <f>(C24-D24)/D24</f>
        <v>0.76760323994927171</v>
      </c>
      <c r="D25" s="87" t="s">
        <v>855</v>
      </c>
      <c r="G25" s="90" t="s">
        <v>875</v>
      </c>
      <c r="H25" s="59">
        <v>6783.88</v>
      </c>
      <c r="I25" s="59">
        <v>6508.21</v>
      </c>
      <c r="L25" s="99" t="s">
        <v>949</v>
      </c>
      <c r="M25" s="112">
        <f>M14/4</f>
        <v>17679.5</v>
      </c>
      <c r="N25" s="112">
        <f>M25*(1-O25)</f>
        <v>13270.232699999999</v>
      </c>
      <c r="O25" s="115">
        <v>0.24940000000000001</v>
      </c>
      <c r="P25" s="114" t="s">
        <v>957</v>
      </c>
      <c r="T25" s="37">
        <f>T14</f>
        <v>4.5034612676858192E-4</v>
      </c>
    </row>
    <row r="26" spans="1:22" ht="18" x14ac:dyDescent="0.25">
      <c r="A26" s="90" t="s">
        <v>926</v>
      </c>
      <c r="B26" s="96">
        <v>4550431059.1599998</v>
      </c>
      <c r="C26" s="96">
        <v>3642479791.5100002</v>
      </c>
      <c r="D26" s="96">
        <v>3025759800</v>
      </c>
      <c r="G26" s="90" t="s">
        <v>238</v>
      </c>
      <c r="H26" s="88">
        <f>(H25-I25)/I25</f>
        <v>4.2357268742096534E-2</v>
      </c>
      <c r="I26" s="88"/>
      <c r="L26" s="99" t="s">
        <v>964</v>
      </c>
      <c r="M26" s="112">
        <f>M15/4</f>
        <v>9587137</v>
      </c>
      <c r="N26" s="112">
        <f>M26*(1-O26)</f>
        <v>9571797.5807999987</v>
      </c>
      <c r="O26" s="115">
        <v>1.6000000000000001E-3</v>
      </c>
      <c r="P26" s="114" t="s">
        <v>957</v>
      </c>
      <c r="T26" s="37">
        <f>T15</f>
        <v>0.24421109277693157</v>
      </c>
    </row>
    <row r="27" spans="1:22" ht="54" x14ac:dyDescent="0.25">
      <c r="A27" s="107" t="s">
        <v>238</v>
      </c>
      <c r="B27" s="88">
        <f>(B26-C26)/C26</f>
        <v>0.24926734522076946</v>
      </c>
      <c r="C27" s="88">
        <f>(C26-D26)/D26</f>
        <v>0.20382318236563265</v>
      </c>
      <c r="D27" s="87" t="s">
        <v>855</v>
      </c>
      <c r="G27" s="90" t="s">
        <v>876</v>
      </c>
      <c r="H27" s="59">
        <v>40489.449999999997</v>
      </c>
      <c r="I27" s="59">
        <v>-11611.57</v>
      </c>
      <c r="L27" s="107" t="s">
        <v>969</v>
      </c>
      <c r="M27" s="67">
        <f>SUM(M21:M26)*1000</f>
        <v>25013813905.172417</v>
      </c>
      <c r="N27" s="67">
        <f>SUM(N21:N26)*1000</f>
        <v>17769435906.266376</v>
      </c>
      <c r="T27" s="37">
        <f>SUM(T21:T26)</f>
        <v>0.94322074523081934</v>
      </c>
    </row>
    <row r="28" spans="1:22" ht="18" x14ac:dyDescent="0.25">
      <c r="A28" s="90" t="s">
        <v>932</v>
      </c>
      <c r="B28" s="96">
        <v>927327000</v>
      </c>
      <c r="C28" s="96">
        <v>779755700</v>
      </c>
      <c r="D28" s="96">
        <v>485748200</v>
      </c>
      <c r="G28" s="90"/>
      <c r="H28" s="59"/>
      <c r="I28" s="59"/>
      <c r="L28" s="99" t="s">
        <v>970</v>
      </c>
      <c r="M28" s="67">
        <f>V21*1000</f>
        <v>23207077000</v>
      </c>
      <c r="N28" s="67">
        <v>15099848032</v>
      </c>
    </row>
    <row r="29" spans="1:22" ht="18" x14ac:dyDescent="0.25">
      <c r="A29" s="107" t="s">
        <v>238</v>
      </c>
      <c r="B29" s="88">
        <f>(B28-C28)/C28</f>
        <v>0.18925324944723071</v>
      </c>
      <c r="C29" s="88">
        <f>(C28-D28)/D28</f>
        <v>0.60526729692462067</v>
      </c>
      <c r="D29" s="87" t="s">
        <v>855</v>
      </c>
      <c r="G29" s="90"/>
      <c r="H29" s="59"/>
      <c r="I29" s="59"/>
      <c r="L29" s="99" t="s">
        <v>971</v>
      </c>
      <c r="M29" s="67">
        <v>30500532480</v>
      </c>
      <c r="N29" s="67">
        <v>21096640357</v>
      </c>
      <c r="Q29">
        <v>4</v>
      </c>
      <c r="R29" s="37">
        <f>3.59/23.2</f>
        <v>0.15474137931034482</v>
      </c>
      <c r="S29" s="59">
        <f>S10</f>
        <v>27730028.133704737</v>
      </c>
      <c r="T29" s="37">
        <f>T10</f>
        <v>0.63395907190616074</v>
      </c>
      <c r="U29" s="67">
        <f>Q29*R29*S29*1000</f>
        <v>17163931206.896551</v>
      </c>
      <c r="V29" s="67">
        <f>U29/T29</f>
        <v>27074194482.758617</v>
      </c>
    </row>
    <row r="30" spans="1:22" ht="18" x14ac:dyDescent="0.25">
      <c r="A30" s="90" t="s">
        <v>929</v>
      </c>
      <c r="B30" s="96">
        <v>74566108.890000001</v>
      </c>
      <c r="C30" s="96">
        <v>5935016.5199999996</v>
      </c>
      <c r="D30" s="96">
        <v>-1156874800</v>
      </c>
      <c r="E30" s="60"/>
      <c r="G30" s="90"/>
      <c r="H30" s="59"/>
      <c r="I30" s="59"/>
    </row>
    <row r="31" spans="1:22" ht="18" x14ac:dyDescent="0.25">
      <c r="A31" s="107" t="s">
        <v>238</v>
      </c>
      <c r="B31" s="88">
        <f>(B30-C30)/C30</f>
        <v>11.563757596752234</v>
      </c>
      <c r="C31" s="88">
        <f>(C30-D30)/D30</f>
        <v>-1.0051302150587083</v>
      </c>
      <c r="D31" s="87" t="s">
        <v>855</v>
      </c>
      <c r="G31" s="90"/>
      <c r="H31" s="59"/>
      <c r="I31" s="59"/>
    </row>
    <row r="32" spans="1:22" ht="36" x14ac:dyDescent="0.25">
      <c r="A32" s="90" t="s">
        <v>930</v>
      </c>
      <c r="B32" s="96">
        <v>-890436142.57000005</v>
      </c>
      <c r="C32" s="96">
        <v>-1060812745.63</v>
      </c>
      <c r="D32" s="96">
        <v>-125073200</v>
      </c>
      <c r="G32" s="90"/>
      <c r="H32" s="59"/>
      <c r="I32" s="59"/>
    </row>
    <row r="33" spans="1:9" ht="18" x14ac:dyDescent="0.25">
      <c r="A33" s="107" t="s">
        <v>238</v>
      </c>
      <c r="B33" s="88">
        <f>(B32-C32)/C32</f>
        <v>-0.16060949848299189</v>
      </c>
      <c r="C33" s="88">
        <f>(C32-D32)/D32</f>
        <v>7.4815351780397403</v>
      </c>
      <c r="D33" s="87" t="s">
        <v>855</v>
      </c>
      <c r="G33" s="90" t="s">
        <v>238</v>
      </c>
      <c r="H33" s="88">
        <f>(H27-I27)/I27</f>
        <v>-4.4869918538147724</v>
      </c>
      <c r="I33" s="88"/>
    </row>
    <row r="34" spans="1:9" ht="36" x14ac:dyDescent="0.25">
      <c r="A34" s="90" t="s">
        <v>931</v>
      </c>
      <c r="B34" s="96">
        <v>290391548.23000002</v>
      </c>
      <c r="C34" s="96">
        <v>396709093.36000001</v>
      </c>
      <c r="D34" s="96">
        <v>560402200</v>
      </c>
    </row>
    <row r="35" spans="1:9" ht="18" x14ac:dyDescent="0.25">
      <c r="A35" s="107" t="s">
        <v>238</v>
      </c>
      <c r="B35" s="88">
        <f>(B34-C34)/C34</f>
        <v>-0.26799876007258661</v>
      </c>
      <c r="C35" s="88">
        <f>(C34-D34)/D34</f>
        <v>-0.29209932908900071</v>
      </c>
      <c r="D35" s="87" t="s">
        <v>855</v>
      </c>
    </row>
    <row r="36" spans="1:9" ht="18" x14ac:dyDescent="0.25">
      <c r="A36" s="90" t="s">
        <v>928</v>
      </c>
      <c r="B36" s="96">
        <v>200000000</v>
      </c>
      <c r="C36" s="96">
        <v>150000000</v>
      </c>
      <c r="D36" s="96">
        <v>100000000</v>
      </c>
    </row>
    <row r="37" spans="1:9" ht="18" x14ac:dyDescent="0.25">
      <c r="A37" s="107" t="s">
        <v>238</v>
      </c>
      <c r="B37" s="88">
        <f>(B36-C36)/C36</f>
        <v>0.33333333333333331</v>
      </c>
      <c r="C37" s="88">
        <f>(C36-D36)/D36</f>
        <v>0.5</v>
      </c>
      <c r="D37" s="87" t="s">
        <v>855</v>
      </c>
    </row>
    <row r="38" spans="1:9" ht="54" x14ac:dyDescent="0.25">
      <c r="A38" s="90" t="s">
        <v>851</v>
      </c>
      <c r="B38" s="96">
        <v>1934670685.0799999</v>
      </c>
      <c r="C38" s="96">
        <v>884066572.95000005</v>
      </c>
      <c r="D38" s="96">
        <v>381387328.10000002</v>
      </c>
    </row>
    <row r="39" spans="1:9" ht="18" x14ac:dyDescent="0.25">
      <c r="A39" s="107" t="s">
        <v>238</v>
      </c>
      <c r="B39" s="88">
        <f>(B38-C38)/C38</f>
        <v>1.1883766950087125</v>
      </c>
      <c r="C39" s="88">
        <f>(C38-D38)/D38</f>
        <v>1.3180281771663824</v>
      </c>
      <c r="D39" s="87" t="s">
        <v>855</v>
      </c>
    </row>
    <row r="40" spans="1:9" ht="54" x14ac:dyDescent="0.25">
      <c r="A40" s="90" t="s">
        <v>867</v>
      </c>
      <c r="B40" s="96">
        <v>1775009197.0699999</v>
      </c>
      <c r="C40" s="96">
        <v>1006495359.46</v>
      </c>
      <c r="D40" s="96">
        <v>661948769.32000005</v>
      </c>
    </row>
    <row r="41" spans="1:9" ht="18" x14ac:dyDescent="0.25">
      <c r="A41" s="107" t="s">
        <v>238</v>
      </c>
      <c r="B41" s="88">
        <f>(B40-C40)/C40</f>
        <v>0.76355427810647747</v>
      </c>
      <c r="C41" s="88">
        <f>(C40-D40)/D40</f>
        <v>0.52050340767902969</v>
      </c>
      <c r="D41" s="87" t="s">
        <v>855</v>
      </c>
    </row>
    <row r="42" spans="1:9" ht="90" x14ac:dyDescent="0.25">
      <c r="A42" s="90" t="s">
        <v>852</v>
      </c>
      <c r="B42" s="96">
        <v>1775676065.6600001</v>
      </c>
      <c r="C42" s="96">
        <v>1000952056.4</v>
      </c>
      <c r="D42" s="96">
        <v>642700186.20000005</v>
      </c>
    </row>
    <row r="43" spans="1:9" ht="21" x14ac:dyDescent="0.25">
      <c r="A43" s="107" t="s">
        <v>238</v>
      </c>
      <c r="B43" s="88">
        <f>(B42-C42)/C42</f>
        <v>0.7739871298594998</v>
      </c>
      <c r="C43" s="88">
        <f>(C42-D42)/D42</f>
        <v>0.55741678296093811</v>
      </c>
      <c r="D43" s="87" t="s">
        <v>855</v>
      </c>
      <c r="F43" s="95"/>
    </row>
    <row r="44" spans="1:9" ht="18" x14ac:dyDescent="0.25">
      <c r="A44" s="90" t="s">
        <v>886</v>
      </c>
      <c r="B44" s="97">
        <v>10.27</v>
      </c>
      <c r="C44" s="97">
        <v>5.92</v>
      </c>
      <c r="D44" s="97">
        <v>3.89</v>
      </c>
    </row>
    <row r="45" spans="1:9" ht="18" x14ac:dyDescent="0.25">
      <c r="A45" s="107" t="s">
        <v>238</v>
      </c>
      <c r="B45" s="88">
        <f>(B44-C44)/C44</f>
        <v>0.73479729729729726</v>
      </c>
      <c r="C45" s="88">
        <f>(C44-D44)/D44</f>
        <v>0.52185089974293053</v>
      </c>
      <c r="D45" s="87" t="s">
        <v>855</v>
      </c>
    </row>
    <row r="46" spans="1:9" ht="19" x14ac:dyDescent="0.25">
      <c r="A46" s="90" t="s">
        <v>897</v>
      </c>
      <c r="B46" s="111">
        <f>B48*B49*B50</f>
        <v>0.26609384999999997</v>
      </c>
      <c r="C46" s="111">
        <f>C48*C49*C50</f>
        <v>0.20617983999999998</v>
      </c>
      <c r="D46" s="111">
        <f>D48*D49*D50</f>
        <v>0.16048001999999997</v>
      </c>
    </row>
    <row r="47" spans="1:9" ht="18" x14ac:dyDescent="0.25">
      <c r="A47" s="90" t="s">
        <v>877</v>
      </c>
      <c r="B47" s="88">
        <v>0.85189999999999999</v>
      </c>
      <c r="C47" s="88">
        <v>0.85099999999999998</v>
      </c>
      <c r="D47" s="88">
        <v>0.81940000000000002</v>
      </c>
    </row>
    <row r="48" spans="1:9" ht="19" x14ac:dyDescent="0.25">
      <c r="A48" s="90" t="s">
        <v>898</v>
      </c>
      <c r="B48" s="111">
        <v>0.2407</v>
      </c>
      <c r="C48" s="111">
        <v>0.18729999999999999</v>
      </c>
      <c r="D48" s="111">
        <v>0.16139999999999999</v>
      </c>
    </row>
    <row r="49" spans="1:4" ht="36" x14ac:dyDescent="0.25">
      <c r="A49" s="90" t="s">
        <v>899</v>
      </c>
      <c r="B49" s="92">
        <v>0.67</v>
      </c>
      <c r="C49" s="93">
        <v>0.64</v>
      </c>
      <c r="D49" s="93">
        <v>0.61</v>
      </c>
    </row>
    <row r="50" spans="1:4" ht="19" x14ac:dyDescent="0.25">
      <c r="A50" s="90" t="s">
        <v>900</v>
      </c>
      <c r="B50" s="92">
        <v>1.65</v>
      </c>
      <c r="C50" s="92">
        <v>1.72</v>
      </c>
      <c r="D50" s="93">
        <v>1.63</v>
      </c>
    </row>
    <row r="51" spans="1:4" x14ac:dyDescent="0.15">
      <c r="A51" s="74" t="s">
        <v>856</v>
      </c>
    </row>
    <row r="52" spans="1:4" x14ac:dyDescent="0.15">
      <c r="A52" s="130" t="s">
        <v>921</v>
      </c>
      <c r="B52" s="130"/>
      <c r="C52" s="130"/>
      <c r="D52" s="130"/>
    </row>
    <row r="53" spans="1:4" x14ac:dyDescent="0.15">
      <c r="A53" s="130"/>
      <c r="B53" s="130"/>
      <c r="C53" s="130"/>
      <c r="D53" s="130"/>
    </row>
    <row r="54" spans="1:4" x14ac:dyDescent="0.15">
      <c r="A54" s="130"/>
      <c r="B54" s="130"/>
      <c r="C54" s="130"/>
      <c r="D54" s="130"/>
    </row>
    <row r="55" spans="1:4" x14ac:dyDescent="0.15">
      <c r="A55" s="130"/>
      <c r="B55" s="130"/>
      <c r="C55" s="130"/>
      <c r="D55" s="130"/>
    </row>
    <row r="56" spans="1:4" x14ac:dyDescent="0.15">
      <c r="A56" s="130"/>
      <c r="B56" s="130"/>
      <c r="C56" s="130"/>
      <c r="D56" s="130"/>
    </row>
    <row r="59" spans="1:4" x14ac:dyDescent="0.15">
      <c r="A59" s="131" t="s">
        <v>888</v>
      </c>
      <c r="B59" s="131"/>
      <c r="C59" s="131"/>
      <c r="D59" s="131"/>
    </row>
    <row r="60" spans="1:4" ht="18" x14ac:dyDescent="0.25">
      <c r="A60" s="90" t="s">
        <v>845</v>
      </c>
      <c r="B60" s="90" t="s">
        <v>538</v>
      </c>
      <c r="C60" s="90" t="s">
        <v>853</v>
      </c>
      <c r="D60" s="90" t="s">
        <v>854</v>
      </c>
    </row>
    <row r="61" spans="1:4" ht="36" x14ac:dyDescent="0.25">
      <c r="A61" s="90" t="s">
        <v>889</v>
      </c>
      <c r="B61">
        <v>28.74</v>
      </c>
      <c r="C61">
        <v>32.97</v>
      </c>
      <c r="D61">
        <v>39.159999999999997</v>
      </c>
    </row>
    <row r="62" spans="1:4" ht="18" x14ac:dyDescent="0.25">
      <c r="A62" s="90" t="s">
        <v>238</v>
      </c>
      <c r="B62" s="88">
        <f>(B61-C61)/C61</f>
        <v>-0.12829845313921748</v>
      </c>
      <c r="C62" s="88">
        <f>(C61-D61)/D61</f>
        <v>-0.15806945863125635</v>
      </c>
      <c r="D62" s="87" t="s">
        <v>855</v>
      </c>
    </row>
    <row r="63" spans="1:4" ht="36" x14ac:dyDescent="0.25">
      <c r="A63" s="90" t="s">
        <v>890</v>
      </c>
      <c r="B63">
        <v>212.35</v>
      </c>
      <c r="C63">
        <v>190.88</v>
      </c>
      <c r="D63">
        <v>202.35</v>
      </c>
    </row>
    <row r="64" spans="1:4" ht="18" x14ac:dyDescent="0.25">
      <c r="A64" s="90" t="s">
        <v>238</v>
      </c>
      <c r="B64" s="88">
        <f>(B63-C63)/C63</f>
        <v>0.11247904442581727</v>
      </c>
      <c r="C64" s="88">
        <f>(C63-D63)/D63</f>
        <v>-5.6683963429701008E-2</v>
      </c>
      <c r="D64" s="87" t="s">
        <v>855</v>
      </c>
    </row>
    <row r="65" spans="1:4" ht="72" x14ac:dyDescent="0.25">
      <c r="A65" s="90" t="s">
        <v>891</v>
      </c>
      <c r="B65">
        <f>426337.41-69684</f>
        <v>356653.41</v>
      </c>
      <c r="C65">
        <f>278653.37-59959</f>
        <v>218694.37</v>
      </c>
      <c r="D65">
        <f>211710.44-46690</f>
        <v>165020.44</v>
      </c>
    </row>
    <row r="66" spans="1:4" ht="18" x14ac:dyDescent="0.25">
      <c r="A66" s="90" t="s">
        <v>238</v>
      </c>
      <c r="B66" s="88">
        <f>(B65-C65)/C65</f>
        <v>0.63083032270103701</v>
      </c>
      <c r="C66" s="88">
        <f>(C65-D65)/D65</f>
        <v>0.32525625310416084</v>
      </c>
      <c r="D66" s="87" t="s">
        <v>855</v>
      </c>
    </row>
    <row r="67" spans="1:4" ht="18" x14ac:dyDescent="0.25">
      <c r="A67" s="90" t="s">
        <v>892</v>
      </c>
      <c r="B67">
        <v>209698.84</v>
      </c>
      <c r="C67">
        <v>166748.78</v>
      </c>
      <c r="D67">
        <v>124282.89</v>
      </c>
    </row>
    <row r="68" spans="1:4" ht="18" x14ac:dyDescent="0.25">
      <c r="A68" s="90" t="s">
        <v>238</v>
      </c>
      <c r="B68" s="88">
        <f>(B67-C67)/C67</f>
        <v>0.25757345870836357</v>
      </c>
      <c r="C68" s="88">
        <f>(C67-D67)/D67</f>
        <v>0.34168733926287037</v>
      </c>
      <c r="D68" s="87" t="s">
        <v>855</v>
      </c>
    </row>
    <row r="69" spans="1:4" ht="72" x14ac:dyDescent="0.25">
      <c r="A69" s="90" t="s">
        <v>893</v>
      </c>
      <c r="B69" s="37">
        <f>B24/B10</f>
        <v>1.2484929277164853</v>
      </c>
      <c r="C69" s="37">
        <f>C24/C10</f>
        <v>1.2755470901739969</v>
      </c>
      <c r="D69" s="37">
        <f>D24/D10</f>
        <v>1.2303487626346388</v>
      </c>
    </row>
    <row r="70" spans="1:4" ht="18" x14ac:dyDescent="0.25">
      <c r="A70" s="90" t="s">
        <v>238</v>
      </c>
      <c r="B70" s="88">
        <f>(B69-C69)/C69</f>
        <v>-2.1209850005475789E-2</v>
      </c>
      <c r="C70" s="88">
        <f>(C69-D69)/D69</f>
        <v>3.6736191323971878E-2</v>
      </c>
      <c r="D70" s="87" t="s">
        <v>855</v>
      </c>
    </row>
    <row r="71" spans="1:4" ht="54" x14ac:dyDescent="0.25">
      <c r="A71" s="90" t="s">
        <v>894</v>
      </c>
      <c r="B71" s="37">
        <f>B38/B40</f>
        <v>1.0899496680206235</v>
      </c>
      <c r="C71" s="37">
        <f>C38/C40</f>
        <v>0.87836130056706385</v>
      </c>
      <c r="D71" s="37">
        <f>D38/D40</f>
        <v>0.576158376261939</v>
      </c>
    </row>
    <row r="72" spans="1:4" ht="18" x14ac:dyDescent="0.25">
      <c r="A72" s="90" t="s">
        <v>238</v>
      </c>
      <c r="B72" s="88">
        <f>(B71-C71)/C71</f>
        <v>0.24088990181712211</v>
      </c>
      <c r="C72" s="88">
        <f>(C71-D71)/D71</f>
        <v>0.52451363506296445</v>
      </c>
      <c r="D72" s="87" t="s">
        <v>855</v>
      </c>
    </row>
    <row r="73" spans="1:4" ht="36" x14ac:dyDescent="0.25">
      <c r="A73" s="90" t="s">
        <v>895</v>
      </c>
      <c r="B73" s="37" t="e">
        <f>B40/#REF!</f>
        <v>#REF!</v>
      </c>
      <c r="C73" s="37" t="e">
        <f>C40/#REF!</f>
        <v>#REF!</v>
      </c>
      <c r="D73" s="37" t="e">
        <f>D40/#REF!</f>
        <v>#REF!</v>
      </c>
    </row>
    <row r="74" spans="1:4" ht="18" x14ac:dyDescent="0.25">
      <c r="A74" s="90" t="s">
        <v>238</v>
      </c>
      <c r="B74" s="88" t="e">
        <f>(B73-C73)/C73</f>
        <v>#REF!</v>
      </c>
      <c r="C74" s="88" t="e">
        <f>(C73-D73)/D73</f>
        <v>#REF!</v>
      </c>
      <c r="D74" s="87" t="s">
        <v>855</v>
      </c>
    </row>
  </sheetData>
  <mergeCells count="25">
    <mergeCell ref="U21:U22"/>
    <mergeCell ref="V21:V22"/>
    <mergeCell ref="T10:T11"/>
    <mergeCell ref="M21:M22"/>
    <mergeCell ref="N21:N22"/>
    <mergeCell ref="O21:O22"/>
    <mergeCell ref="T21:T22"/>
    <mergeCell ref="S10:S11"/>
    <mergeCell ref="M8:S8"/>
    <mergeCell ref="M19:S19"/>
    <mergeCell ref="P21:P22"/>
    <mergeCell ref="Q21:Q22"/>
    <mergeCell ref="R21:R22"/>
    <mergeCell ref="S21:S22"/>
    <mergeCell ref="P10:P11"/>
    <mergeCell ref="Q10:Q11"/>
    <mergeCell ref="R10:R11"/>
    <mergeCell ref="A52:D56"/>
    <mergeCell ref="A59:D59"/>
    <mergeCell ref="B2:F2"/>
    <mergeCell ref="B3:F3"/>
    <mergeCell ref="B4:F4"/>
    <mergeCell ref="B5:F5"/>
    <mergeCell ref="A7:K7"/>
    <mergeCell ref="A8:D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22" sqref="F22"/>
    </sheetView>
  </sheetViews>
  <sheetFormatPr baseColWidth="10" defaultRowHeight="15" x14ac:dyDescent="0.15"/>
  <cols>
    <col min="2" max="2" width="17.5" bestFit="1" customWidth="1"/>
    <col min="3" max="3" width="17" bestFit="1" customWidth="1"/>
    <col min="4" max="4" width="15.6640625" bestFit="1" customWidth="1"/>
    <col min="5" max="5" width="18.5" bestFit="1" customWidth="1"/>
    <col min="8" max="9" width="15.6640625" bestFit="1" customWidth="1"/>
  </cols>
  <sheetData>
    <row r="1" spans="1:16" ht="26" x14ac:dyDescent="0.15">
      <c r="A1" s="63" t="s">
        <v>711</v>
      </c>
    </row>
    <row r="2" spans="1:16" ht="30" x14ac:dyDescent="0.15">
      <c r="A2" s="43" t="s">
        <v>859</v>
      </c>
      <c r="B2" s="132"/>
      <c r="C2" s="133"/>
      <c r="D2" s="133"/>
      <c r="E2" s="133"/>
      <c r="F2" s="133"/>
      <c r="G2" s="75"/>
      <c r="H2" s="75"/>
      <c r="I2" s="75"/>
      <c r="J2" s="78"/>
      <c r="K2" s="75"/>
      <c r="L2" s="75"/>
      <c r="M2" s="75"/>
      <c r="N2" s="75"/>
      <c r="O2" s="75"/>
      <c r="P2" s="75"/>
    </row>
    <row r="3" spans="1:16" ht="30" x14ac:dyDescent="0.15">
      <c r="A3" s="43" t="s">
        <v>860</v>
      </c>
      <c r="B3" s="132"/>
      <c r="C3" s="133"/>
      <c r="D3" s="133"/>
      <c r="E3" s="133"/>
      <c r="F3" s="133"/>
      <c r="G3" s="75"/>
      <c r="J3" s="78"/>
      <c r="K3" s="75"/>
      <c r="L3" s="75"/>
      <c r="M3" s="75"/>
      <c r="N3" s="75"/>
      <c r="O3" s="75"/>
      <c r="P3" s="75"/>
    </row>
    <row r="4" spans="1:16" ht="30" x14ac:dyDescent="0.15">
      <c r="A4" s="43" t="s">
        <v>862</v>
      </c>
      <c r="B4" s="132"/>
      <c r="C4" s="133"/>
      <c r="D4" s="133"/>
      <c r="E4" s="133"/>
      <c r="F4" s="133"/>
      <c r="H4" s="75"/>
      <c r="I4" s="75"/>
      <c r="J4" s="78"/>
      <c r="K4" s="75"/>
      <c r="L4" s="75"/>
      <c r="M4" s="75"/>
      <c r="N4" s="75"/>
      <c r="O4" s="75"/>
      <c r="P4" s="75"/>
    </row>
    <row r="5" spans="1:16" x14ac:dyDescent="0.15">
      <c r="A5" s="43" t="s">
        <v>864</v>
      </c>
      <c r="B5" s="132"/>
      <c r="C5" s="133"/>
      <c r="D5" s="133"/>
      <c r="E5" s="133"/>
      <c r="F5" s="133"/>
      <c r="I5" s="75"/>
      <c r="J5" s="78"/>
      <c r="K5" s="75"/>
      <c r="L5" s="75"/>
      <c r="M5" s="75"/>
      <c r="N5" s="75"/>
      <c r="O5" s="75"/>
      <c r="P5" s="75"/>
    </row>
    <row r="7" spans="1:16" x14ac:dyDescent="0.15">
      <c r="A7" s="122" t="s">
        <v>919</v>
      </c>
      <c r="B7" s="122"/>
      <c r="C7" s="122"/>
      <c r="D7" s="122"/>
      <c r="E7" s="122"/>
      <c r="F7" s="122"/>
      <c r="G7" s="122"/>
      <c r="H7" s="122"/>
      <c r="I7" s="122"/>
      <c r="J7" s="122"/>
      <c r="K7" s="122"/>
    </row>
    <row r="8" spans="1:16" ht="18" x14ac:dyDescent="0.25">
      <c r="A8" s="131" t="s">
        <v>887</v>
      </c>
      <c r="B8" s="131"/>
      <c r="C8" s="131"/>
      <c r="D8" s="131"/>
      <c r="F8" s="74"/>
      <c r="G8" s="90" t="s">
        <v>845</v>
      </c>
      <c r="H8" s="90" t="s">
        <v>538</v>
      </c>
      <c r="I8" s="90" t="s">
        <v>853</v>
      </c>
      <c r="J8" s="74"/>
      <c r="K8" s="74"/>
      <c r="M8" s="90" t="s">
        <v>538</v>
      </c>
    </row>
    <row r="9" spans="1:16" ht="18" x14ac:dyDescent="0.25">
      <c r="A9" s="90" t="s">
        <v>845</v>
      </c>
      <c r="B9" s="90" t="s">
        <v>538</v>
      </c>
      <c r="C9" s="90" t="s">
        <v>853</v>
      </c>
      <c r="D9" s="90" t="s">
        <v>854</v>
      </c>
      <c r="E9" s="74"/>
      <c r="F9" s="74"/>
      <c r="G9" s="90" t="s">
        <v>866</v>
      </c>
      <c r="H9" s="87">
        <v>5722273431.3599997</v>
      </c>
      <c r="I9" s="87">
        <v>4766156893.3100004</v>
      </c>
      <c r="J9" s="74"/>
      <c r="K9" s="74"/>
      <c r="L9" s="90" t="s">
        <v>845</v>
      </c>
      <c r="M9" s="90" t="s">
        <v>883</v>
      </c>
      <c r="N9" s="90" t="s">
        <v>884</v>
      </c>
      <c r="O9" s="90" t="s">
        <v>878</v>
      </c>
    </row>
    <row r="10" spans="1:16" ht="18" x14ac:dyDescent="0.25">
      <c r="A10" s="90" t="s">
        <v>866</v>
      </c>
      <c r="B10" s="96">
        <v>7373701266.96</v>
      </c>
      <c r="C10" s="96">
        <v>5374994708.3100004</v>
      </c>
      <c r="D10" s="96">
        <v>4102261578.0999999</v>
      </c>
      <c r="E10" s="74"/>
      <c r="F10" s="74"/>
      <c r="G10" s="90" t="s">
        <v>238</v>
      </c>
      <c r="H10" s="88">
        <f>(H9-I9)/I9</f>
        <v>0.20060534293196453</v>
      </c>
      <c r="I10" s="88"/>
      <c r="J10" s="74"/>
      <c r="K10" s="74"/>
      <c r="L10" s="90" t="s">
        <v>879</v>
      </c>
      <c r="M10" s="59">
        <v>227230.16</v>
      </c>
      <c r="N10" s="59">
        <v>46576.639999999999</v>
      </c>
      <c r="O10">
        <v>79.5</v>
      </c>
    </row>
    <row r="11" spans="1:16" ht="18" x14ac:dyDescent="0.25">
      <c r="A11" s="107" t="s">
        <v>238</v>
      </c>
      <c r="B11" s="88">
        <f>(B10-C10)/C10</f>
        <v>0.37185274909385552</v>
      </c>
      <c r="C11" s="88">
        <f>(C10-D10)/D10</f>
        <v>0.31025157854499336</v>
      </c>
      <c r="D11" s="87" t="s">
        <v>855</v>
      </c>
      <c r="E11" s="74"/>
      <c r="F11" s="74"/>
      <c r="G11" s="90" t="s">
        <v>870</v>
      </c>
      <c r="H11" s="59">
        <v>319094.33</v>
      </c>
      <c r="I11" s="59">
        <v>274435.8</v>
      </c>
      <c r="J11" s="74"/>
      <c r="K11" s="74"/>
      <c r="L11" s="90" t="s">
        <v>880</v>
      </c>
      <c r="M11" s="59">
        <v>278752.48</v>
      </c>
      <c r="N11" s="59">
        <v>252625.7</v>
      </c>
      <c r="O11">
        <v>9.3699999999999992</v>
      </c>
    </row>
    <row r="12" spans="1:16" ht="35" customHeight="1" x14ac:dyDescent="0.25">
      <c r="A12" s="90" t="s">
        <v>920</v>
      </c>
      <c r="B12" s="96">
        <v>157575010.90000001</v>
      </c>
      <c r="C12" s="96">
        <v>99442933.069999993</v>
      </c>
      <c r="D12" s="96">
        <v>1026248000</v>
      </c>
      <c r="E12" s="74"/>
      <c r="F12" s="74"/>
      <c r="G12" s="90" t="s">
        <v>238</v>
      </c>
      <c r="H12" s="88">
        <f>(H11-I11)/I11</f>
        <v>0.16272851428275767</v>
      </c>
      <c r="I12" s="88"/>
      <c r="J12" s="74"/>
      <c r="K12" s="74"/>
      <c r="L12" s="90" t="s">
        <v>881</v>
      </c>
      <c r="M12" s="59">
        <v>63526.73</v>
      </c>
      <c r="N12" s="59">
        <v>19052.02</v>
      </c>
      <c r="O12">
        <v>70.010000000000005</v>
      </c>
    </row>
    <row r="13" spans="1:16" ht="18" x14ac:dyDescent="0.25">
      <c r="A13" s="107" t="s">
        <v>238</v>
      </c>
      <c r="B13" s="88">
        <f>(B12-C12)/C12</f>
        <v>0.58457726492318574</v>
      </c>
      <c r="C13" s="88">
        <f>(C12-D12)/D12</f>
        <v>-0.90310048538949661</v>
      </c>
      <c r="D13" s="87" t="s">
        <v>855</v>
      </c>
      <c r="E13" s="74"/>
      <c r="F13" s="74"/>
      <c r="G13" s="90" t="s">
        <v>871</v>
      </c>
      <c r="H13" s="59">
        <v>52306.27</v>
      </c>
      <c r="I13" s="59">
        <v>39206.94</v>
      </c>
      <c r="J13" s="74"/>
      <c r="K13" s="74"/>
      <c r="L13" s="90" t="s">
        <v>882</v>
      </c>
      <c r="M13" s="59">
        <v>1084.3599999999999</v>
      </c>
      <c r="N13">
        <v>689.28</v>
      </c>
      <c r="O13">
        <v>36.43</v>
      </c>
    </row>
    <row r="14" spans="1:16" ht="36" x14ac:dyDescent="0.25">
      <c r="A14" s="90" t="s">
        <v>922</v>
      </c>
      <c r="B14" s="96">
        <f>136586244.56+894774090.27</f>
        <v>1031360334.8299999</v>
      </c>
      <c r="C14" s="96">
        <f>88698832.84+717499875.97</f>
        <v>806198708.81000006</v>
      </c>
      <c r="D14" s="96">
        <f>75236900+537502400</f>
        <v>612739300</v>
      </c>
      <c r="E14" s="110" t="s">
        <v>925</v>
      </c>
      <c r="F14" s="74"/>
      <c r="G14" s="90" t="s">
        <v>238</v>
      </c>
      <c r="H14" s="88">
        <f>(H13-I13)/I13</f>
        <v>0.33410743098033141</v>
      </c>
      <c r="I14" s="88"/>
      <c r="J14" s="74"/>
      <c r="K14" s="74"/>
    </row>
    <row r="15" spans="1:16" ht="18" x14ac:dyDescent="0.25">
      <c r="A15" s="107" t="s">
        <v>927</v>
      </c>
      <c r="B15" s="96">
        <f>C14-B14</f>
        <v>-225161626.01999986</v>
      </c>
      <c r="C15" s="96">
        <f>D14-C14</f>
        <v>-193459408.81000006</v>
      </c>
      <c r="D15" s="87" t="s">
        <v>855</v>
      </c>
      <c r="G15" s="90" t="s">
        <v>872</v>
      </c>
      <c r="H15" s="59">
        <v>27316.38</v>
      </c>
      <c r="I15" s="59">
        <v>24089</v>
      </c>
    </row>
    <row r="16" spans="1:16" ht="18" x14ac:dyDescent="0.25">
      <c r="A16" s="90" t="s">
        <v>923</v>
      </c>
      <c r="B16" s="96">
        <v>823191456.66999996</v>
      </c>
      <c r="C16" s="96">
        <v>1070787825.85</v>
      </c>
      <c r="D16" s="96">
        <v>406589600</v>
      </c>
      <c r="E16" s="74"/>
      <c r="F16" s="74"/>
      <c r="G16" s="90" t="s">
        <v>238</v>
      </c>
      <c r="H16" s="88">
        <f>(H15-I15)/I15</f>
        <v>0.13397733405288725</v>
      </c>
      <c r="I16" s="88"/>
      <c r="J16" s="74"/>
      <c r="K16" s="74"/>
    </row>
    <row r="17" spans="1:11" ht="18" x14ac:dyDescent="0.25">
      <c r="A17" s="107" t="s">
        <v>924</v>
      </c>
      <c r="B17" s="96">
        <f>B16-C16</f>
        <v>-247596369.18000007</v>
      </c>
      <c r="C17" s="96">
        <f>C16-D16</f>
        <v>664198225.85000002</v>
      </c>
      <c r="D17" s="87" t="s">
        <v>855</v>
      </c>
      <c r="G17" s="90" t="s">
        <v>873</v>
      </c>
      <c r="H17" s="59">
        <v>11943.21</v>
      </c>
      <c r="I17" s="59">
        <v>10081.42</v>
      </c>
    </row>
    <row r="18" spans="1:11" ht="54" x14ac:dyDescent="0.25">
      <c r="A18" s="90" t="s">
        <v>885</v>
      </c>
      <c r="B18" s="108">
        <v>7157778241.54</v>
      </c>
      <c r="C18" s="96">
        <v>6016689053.4099998</v>
      </c>
      <c r="D18" s="96">
        <v>4035760800</v>
      </c>
      <c r="E18" s="109">
        <f>B10+B12+B15+B17</f>
        <v>7058518282.6599998</v>
      </c>
      <c r="F18" s="74"/>
      <c r="G18" s="90" t="s">
        <v>238</v>
      </c>
      <c r="H18" s="88">
        <f>(H17-I17)/I17</f>
        <v>0.18467537311212101</v>
      </c>
      <c r="I18" s="88"/>
      <c r="J18" s="74"/>
      <c r="K18" s="74"/>
    </row>
    <row r="19" spans="1:11" ht="18" x14ac:dyDescent="0.25">
      <c r="A19" s="107" t="s">
        <v>238</v>
      </c>
      <c r="B19" s="88">
        <f>(B18-C18)/C18</f>
        <v>0.18965400704616436</v>
      </c>
      <c r="C19" s="88">
        <f>(C18-D18)/D18</f>
        <v>0.49084382142023875</v>
      </c>
      <c r="D19" s="87" t="s">
        <v>855</v>
      </c>
      <c r="G19" s="90" t="s">
        <v>874</v>
      </c>
      <c r="H19" s="59">
        <v>-4495.41</v>
      </c>
      <c r="I19" s="59">
        <v>-1010.05</v>
      </c>
    </row>
    <row r="20" spans="1:11" ht="18" x14ac:dyDescent="0.25">
      <c r="A20" s="90" t="s">
        <v>926</v>
      </c>
      <c r="B20" s="96">
        <v>4550431059.1599998</v>
      </c>
      <c r="C20" s="96">
        <v>3642479791.5100002</v>
      </c>
      <c r="D20" s="96">
        <v>3025759800</v>
      </c>
      <c r="E20" s="74"/>
      <c r="F20" s="74"/>
      <c r="G20" s="90" t="s">
        <v>238</v>
      </c>
      <c r="H20" s="88">
        <f>(H19-I19)/I19</f>
        <v>3.4506806593732984</v>
      </c>
      <c r="I20" s="88"/>
      <c r="J20" s="74"/>
      <c r="K20" s="74"/>
    </row>
    <row r="21" spans="1:11" ht="54" x14ac:dyDescent="0.25">
      <c r="A21" s="107" t="s">
        <v>238</v>
      </c>
      <c r="B21" s="88">
        <f>(B20-C20)/C20</f>
        <v>0.24926734522076946</v>
      </c>
      <c r="C21" s="88">
        <f>(C20-D20)/D20</f>
        <v>0.20382318236563265</v>
      </c>
      <c r="D21" s="87" t="s">
        <v>855</v>
      </c>
      <c r="G21" s="90" t="s">
        <v>851</v>
      </c>
      <c r="H21" s="59">
        <v>-87937.22</v>
      </c>
      <c r="I21" s="59">
        <v>61231.08</v>
      </c>
    </row>
    <row r="22" spans="1:11" ht="18" x14ac:dyDescent="0.25">
      <c r="A22" s="90" t="s">
        <v>932</v>
      </c>
      <c r="B22" s="96">
        <v>927327000</v>
      </c>
      <c r="C22" s="96">
        <v>779755700</v>
      </c>
      <c r="D22" s="96">
        <v>485748200</v>
      </c>
      <c r="G22" s="90"/>
      <c r="H22" s="59"/>
      <c r="I22" s="59"/>
    </row>
    <row r="23" spans="1:11" ht="18" x14ac:dyDescent="0.25">
      <c r="A23" s="107" t="s">
        <v>238</v>
      </c>
      <c r="B23" s="88">
        <f>(B22-C22)/C22</f>
        <v>0.18925324944723071</v>
      </c>
      <c r="C23" s="88">
        <f>(C22-D22)/D22</f>
        <v>0.60526729692462067</v>
      </c>
      <c r="D23" s="87" t="s">
        <v>855</v>
      </c>
      <c r="G23" s="90"/>
      <c r="H23" s="59"/>
      <c r="I23" s="59"/>
    </row>
    <row r="24" spans="1:11" ht="18" x14ac:dyDescent="0.25">
      <c r="A24" s="90" t="s">
        <v>929</v>
      </c>
      <c r="B24" s="96">
        <v>74566108.890000001</v>
      </c>
      <c r="C24" s="96">
        <v>5935016.5199999996</v>
      </c>
      <c r="D24" s="96">
        <v>-1156874800</v>
      </c>
      <c r="G24" s="90" t="s">
        <v>238</v>
      </c>
      <c r="H24" s="88">
        <f>(H21-I21)/I21</f>
        <v>-2.4361533391212435</v>
      </c>
      <c r="I24" s="88"/>
    </row>
    <row r="25" spans="1:11" ht="54" x14ac:dyDescent="0.25">
      <c r="A25" s="107" t="s">
        <v>238</v>
      </c>
      <c r="B25" s="88">
        <f>(B24-C24)/C24</f>
        <v>11.563757596752234</v>
      </c>
      <c r="C25" s="88">
        <f>(C24-D24)/D24</f>
        <v>-1.0051302150587083</v>
      </c>
      <c r="D25" s="87" t="s">
        <v>855</v>
      </c>
      <c r="G25" s="90" t="s">
        <v>875</v>
      </c>
      <c r="H25" s="59">
        <v>6783.88</v>
      </c>
      <c r="I25" s="59">
        <v>6508.21</v>
      </c>
    </row>
    <row r="26" spans="1:11" ht="36" x14ac:dyDescent="0.25">
      <c r="A26" s="90" t="s">
        <v>930</v>
      </c>
      <c r="B26" s="96">
        <v>-890436142.57000005</v>
      </c>
      <c r="C26" s="96">
        <v>-1060812745.63</v>
      </c>
      <c r="D26" s="96">
        <v>-125073200</v>
      </c>
      <c r="G26" s="90" t="s">
        <v>238</v>
      </c>
      <c r="H26" s="88">
        <f>(H25-I25)/I25</f>
        <v>4.2357268742096534E-2</v>
      </c>
      <c r="I26" s="88"/>
    </row>
    <row r="27" spans="1:11" ht="54" x14ac:dyDescent="0.25">
      <c r="A27" s="107" t="s">
        <v>238</v>
      </c>
      <c r="B27" s="88">
        <f>(B26-C26)/C26</f>
        <v>-0.16060949848299189</v>
      </c>
      <c r="C27" s="88">
        <f>(C26-D26)/D26</f>
        <v>7.4815351780397403</v>
      </c>
      <c r="D27" s="87" t="s">
        <v>855</v>
      </c>
      <c r="G27" s="90" t="s">
        <v>876</v>
      </c>
      <c r="H27" s="59">
        <v>40489.449999999997</v>
      </c>
      <c r="I27" s="59">
        <v>-11611.57</v>
      </c>
    </row>
    <row r="28" spans="1:11" ht="36" x14ac:dyDescent="0.25">
      <c r="A28" s="90" t="s">
        <v>931</v>
      </c>
      <c r="B28" s="96">
        <v>290391548.23000002</v>
      </c>
      <c r="C28" s="96">
        <v>396709093.36000001</v>
      </c>
      <c r="D28" s="96">
        <v>560402200</v>
      </c>
      <c r="G28" s="90"/>
      <c r="H28" s="59"/>
      <c r="I28" s="59"/>
    </row>
    <row r="29" spans="1:11" ht="18" x14ac:dyDescent="0.25">
      <c r="A29" s="107" t="s">
        <v>238</v>
      </c>
      <c r="B29" s="88">
        <f>(B28-C28)/C28</f>
        <v>-0.26799876007258661</v>
      </c>
      <c r="C29" s="88">
        <f>(C28-D28)/D28</f>
        <v>-0.29209932908900071</v>
      </c>
      <c r="D29" s="87" t="s">
        <v>855</v>
      </c>
      <c r="G29" s="90"/>
      <c r="H29" s="59"/>
      <c r="I29" s="59"/>
    </row>
    <row r="30" spans="1:11" ht="18" x14ac:dyDescent="0.25">
      <c r="A30" s="90" t="s">
        <v>928</v>
      </c>
      <c r="B30" s="96">
        <v>200000000</v>
      </c>
      <c r="C30" s="96">
        <v>150000000</v>
      </c>
      <c r="D30" s="96">
        <v>100000000</v>
      </c>
      <c r="E30" s="60"/>
      <c r="G30" s="90"/>
      <c r="H30" s="59"/>
      <c r="I30" s="59"/>
    </row>
    <row r="31" spans="1:11" ht="18" x14ac:dyDescent="0.25">
      <c r="A31" s="107" t="s">
        <v>238</v>
      </c>
      <c r="B31" s="88">
        <f>(B30-C30)/C30</f>
        <v>0.33333333333333331</v>
      </c>
      <c r="C31" s="88">
        <f>(C30-D30)/D30</f>
        <v>0.5</v>
      </c>
      <c r="D31" s="87" t="s">
        <v>855</v>
      </c>
      <c r="G31" s="90"/>
      <c r="H31" s="59"/>
      <c r="I31" s="59"/>
    </row>
    <row r="32" spans="1:11" ht="54" x14ac:dyDescent="0.25">
      <c r="A32" s="90" t="s">
        <v>851</v>
      </c>
      <c r="B32" s="96">
        <v>1934670685.0799999</v>
      </c>
      <c r="C32" s="96">
        <v>884066572.95000005</v>
      </c>
      <c r="D32" s="96">
        <v>381387328.10000002</v>
      </c>
      <c r="G32" s="90"/>
      <c r="H32" s="59"/>
      <c r="I32" s="59"/>
    </row>
    <row r="33" spans="1:9" ht="18" x14ac:dyDescent="0.25">
      <c r="A33" s="107" t="s">
        <v>238</v>
      </c>
      <c r="B33" s="88">
        <f>(B32-C32)/C32</f>
        <v>1.1883766950087125</v>
      </c>
      <c r="C33" s="88">
        <f>(C32-D32)/D32</f>
        <v>1.3180281771663824</v>
      </c>
      <c r="D33" s="87" t="s">
        <v>855</v>
      </c>
      <c r="G33" s="90" t="s">
        <v>238</v>
      </c>
      <c r="H33" s="88">
        <f>(H27-I27)/I27</f>
        <v>-4.4869918538147724</v>
      </c>
      <c r="I33" s="88"/>
    </row>
    <row r="34" spans="1:9" ht="54" x14ac:dyDescent="0.25">
      <c r="A34" s="90" t="s">
        <v>867</v>
      </c>
      <c r="B34" s="96">
        <v>1775009197.0699999</v>
      </c>
      <c r="C34" s="96">
        <v>1006495359.46</v>
      </c>
      <c r="D34" s="96">
        <v>661948769.32000005</v>
      </c>
    </row>
    <row r="35" spans="1:9" ht="18" x14ac:dyDescent="0.25">
      <c r="A35" s="107" t="s">
        <v>238</v>
      </c>
      <c r="B35" s="88">
        <f>(B34-C34)/C34</f>
        <v>0.76355427810647747</v>
      </c>
      <c r="C35" s="88">
        <f>(C34-D34)/D34</f>
        <v>0.52050340767902969</v>
      </c>
      <c r="D35" s="87" t="s">
        <v>855</v>
      </c>
    </row>
    <row r="36" spans="1:9" ht="90" x14ac:dyDescent="0.25">
      <c r="A36" s="90" t="s">
        <v>852</v>
      </c>
      <c r="B36" s="96">
        <v>1775676065.6600001</v>
      </c>
      <c r="C36" s="96">
        <v>1000952056.4</v>
      </c>
      <c r="D36" s="96">
        <v>642700186.20000005</v>
      </c>
    </row>
    <row r="37" spans="1:9" ht="18" x14ac:dyDescent="0.25">
      <c r="A37" s="107" t="s">
        <v>238</v>
      </c>
      <c r="B37" s="88">
        <f>(B36-C36)/C36</f>
        <v>0.7739871298594998</v>
      </c>
      <c r="C37" s="88">
        <f>(C36-D36)/D36</f>
        <v>0.55741678296093811</v>
      </c>
      <c r="D37" s="87" t="s">
        <v>855</v>
      </c>
    </row>
    <row r="38" spans="1:9" ht="18" x14ac:dyDescent="0.25">
      <c r="A38" s="90" t="s">
        <v>886</v>
      </c>
      <c r="B38" s="97">
        <v>10.27</v>
      </c>
      <c r="C38" s="97">
        <v>5.92</v>
      </c>
      <c r="D38" s="97">
        <v>3.89</v>
      </c>
    </row>
    <row r="39" spans="1:9" ht="18" x14ac:dyDescent="0.25">
      <c r="A39" s="107" t="s">
        <v>238</v>
      </c>
      <c r="B39" s="88">
        <f>(B38-C38)/C38</f>
        <v>0.73479729729729726</v>
      </c>
      <c r="C39" s="88">
        <f>(C38-D38)/D38</f>
        <v>0.52185089974293053</v>
      </c>
      <c r="D39" s="87" t="s">
        <v>855</v>
      </c>
    </row>
    <row r="40" spans="1:9" ht="19" x14ac:dyDescent="0.25">
      <c r="A40" s="90" t="s">
        <v>897</v>
      </c>
      <c r="B40" s="111">
        <f>B42*B43*B44</f>
        <v>0.26609384999999997</v>
      </c>
      <c r="C40" s="111">
        <f>C42*C43*C44</f>
        <v>0.20617983999999998</v>
      </c>
      <c r="D40" s="111">
        <f>D42*D43*D44</f>
        <v>0.16048001999999997</v>
      </c>
    </row>
    <row r="41" spans="1:9" ht="18" x14ac:dyDescent="0.25">
      <c r="A41" s="90" t="s">
        <v>877</v>
      </c>
      <c r="B41" s="88">
        <v>0.85189999999999999</v>
      </c>
      <c r="C41" s="88">
        <v>0.85099999999999998</v>
      </c>
      <c r="D41" s="88">
        <v>0.81940000000000002</v>
      </c>
    </row>
    <row r="42" spans="1:9" ht="19" x14ac:dyDescent="0.25">
      <c r="A42" s="90" t="s">
        <v>898</v>
      </c>
      <c r="B42" s="111">
        <v>0.2407</v>
      </c>
      <c r="C42" s="111">
        <v>0.18729999999999999</v>
      </c>
      <c r="D42" s="111">
        <v>0.16139999999999999</v>
      </c>
    </row>
    <row r="43" spans="1:9" ht="36" x14ac:dyDescent="0.25">
      <c r="A43" s="90" t="s">
        <v>899</v>
      </c>
      <c r="B43" s="92">
        <v>0.67</v>
      </c>
      <c r="C43" s="93">
        <v>0.64</v>
      </c>
      <c r="D43" s="93">
        <v>0.61</v>
      </c>
      <c r="F43" s="95"/>
    </row>
    <row r="44" spans="1:9" ht="19" x14ac:dyDescent="0.25">
      <c r="A44" s="90" t="s">
        <v>900</v>
      </c>
      <c r="B44" s="92">
        <v>1.65</v>
      </c>
      <c r="C44" s="92">
        <v>1.72</v>
      </c>
      <c r="D44" s="93">
        <v>1.63</v>
      </c>
    </row>
    <row r="45" spans="1:9" x14ac:dyDescent="0.15">
      <c r="A45" s="74" t="s">
        <v>856</v>
      </c>
    </row>
    <row r="46" spans="1:9" x14ac:dyDescent="0.15">
      <c r="A46" s="130" t="s">
        <v>921</v>
      </c>
      <c r="B46" s="130"/>
      <c r="C46" s="130"/>
      <c r="D46" s="130"/>
    </row>
    <row r="47" spans="1:9" x14ac:dyDescent="0.15">
      <c r="A47" s="130"/>
      <c r="B47" s="130"/>
      <c r="C47" s="130"/>
      <c r="D47" s="130"/>
    </row>
    <row r="48" spans="1:9" x14ac:dyDescent="0.15">
      <c r="A48" s="130"/>
      <c r="B48" s="130"/>
      <c r="C48" s="130"/>
      <c r="D48" s="130"/>
    </row>
    <row r="49" spans="1:4" x14ac:dyDescent="0.15">
      <c r="A49" s="130"/>
      <c r="B49" s="130"/>
      <c r="C49" s="130"/>
      <c r="D49" s="130"/>
    </row>
    <row r="50" spans="1:4" x14ac:dyDescent="0.15">
      <c r="A50" s="130"/>
      <c r="B50" s="130"/>
      <c r="C50" s="130"/>
      <c r="D50" s="130"/>
    </row>
    <row r="53" spans="1:4" x14ac:dyDescent="0.15">
      <c r="A53" s="131" t="s">
        <v>888</v>
      </c>
      <c r="B53" s="131"/>
      <c r="C53" s="131"/>
      <c r="D53" s="131"/>
    </row>
    <row r="54" spans="1:4" ht="18" x14ac:dyDescent="0.25">
      <c r="A54" s="90" t="s">
        <v>845</v>
      </c>
      <c r="B54" s="90" t="s">
        <v>538</v>
      </c>
      <c r="C54" s="90" t="s">
        <v>853</v>
      </c>
      <c r="D54" s="90" t="s">
        <v>854</v>
      </c>
    </row>
    <row r="55" spans="1:4" ht="36" x14ac:dyDescent="0.25">
      <c r="A55" s="90" t="s">
        <v>889</v>
      </c>
      <c r="B55">
        <v>28.74</v>
      </c>
      <c r="C55">
        <v>32.97</v>
      </c>
      <c r="D55">
        <v>39.159999999999997</v>
      </c>
    </row>
    <row r="56" spans="1:4" ht="18" x14ac:dyDescent="0.25">
      <c r="A56" s="90" t="s">
        <v>238</v>
      </c>
      <c r="B56" s="88">
        <f>(B55-C55)/C55</f>
        <v>-0.12829845313921748</v>
      </c>
      <c r="C56" s="88">
        <f>(C55-D55)/D55</f>
        <v>-0.15806945863125635</v>
      </c>
      <c r="D56" s="87" t="s">
        <v>855</v>
      </c>
    </row>
    <row r="57" spans="1:4" ht="36" x14ac:dyDescent="0.25">
      <c r="A57" s="90" t="s">
        <v>890</v>
      </c>
      <c r="B57">
        <v>212.35</v>
      </c>
      <c r="C57">
        <v>190.88</v>
      </c>
      <c r="D57">
        <v>202.35</v>
      </c>
    </row>
    <row r="58" spans="1:4" ht="18" x14ac:dyDescent="0.25">
      <c r="A58" s="90" t="s">
        <v>238</v>
      </c>
      <c r="B58" s="88">
        <f>(B57-C57)/C57</f>
        <v>0.11247904442581727</v>
      </c>
      <c r="C58" s="88">
        <f>(C57-D57)/D57</f>
        <v>-5.6683963429701008E-2</v>
      </c>
      <c r="D58" s="87" t="s">
        <v>855</v>
      </c>
    </row>
    <row r="59" spans="1:4" ht="72" x14ac:dyDescent="0.25">
      <c r="A59" s="90" t="s">
        <v>891</v>
      </c>
      <c r="B59">
        <f>426337.41-69684</f>
        <v>356653.41</v>
      </c>
      <c r="C59">
        <f>278653.37-59959</f>
        <v>218694.37</v>
      </c>
      <c r="D59">
        <f>211710.44-46690</f>
        <v>165020.44</v>
      </c>
    </row>
    <row r="60" spans="1:4" ht="18" x14ac:dyDescent="0.25">
      <c r="A60" s="90" t="s">
        <v>238</v>
      </c>
      <c r="B60" s="88">
        <f>(B59-C59)/C59</f>
        <v>0.63083032270103701</v>
      </c>
      <c r="C60" s="88">
        <f>(C59-D59)/D59</f>
        <v>0.32525625310416084</v>
      </c>
      <c r="D60" s="87" t="s">
        <v>855</v>
      </c>
    </row>
    <row r="61" spans="1:4" ht="18" x14ac:dyDescent="0.25">
      <c r="A61" s="90" t="s">
        <v>892</v>
      </c>
      <c r="B61">
        <v>209698.84</v>
      </c>
      <c r="C61">
        <v>166748.78</v>
      </c>
      <c r="D61">
        <v>124282.89</v>
      </c>
    </row>
    <row r="62" spans="1:4" ht="18" x14ac:dyDescent="0.25">
      <c r="A62" s="90" t="s">
        <v>238</v>
      </c>
      <c r="B62" s="88">
        <f>(B61-C61)/C61</f>
        <v>0.25757345870836357</v>
      </c>
      <c r="C62" s="88">
        <f>(C61-D61)/D61</f>
        <v>0.34168733926287037</v>
      </c>
      <c r="D62" s="87" t="s">
        <v>855</v>
      </c>
    </row>
    <row r="63" spans="1:4" ht="72" x14ac:dyDescent="0.25">
      <c r="A63" s="90" t="s">
        <v>893</v>
      </c>
      <c r="B63" s="37">
        <f>B18/B10</f>
        <v>0.97071714494489958</v>
      </c>
      <c r="C63" s="37">
        <f>C18/C10</f>
        <v>1.1193851119719074</v>
      </c>
      <c r="D63" s="37">
        <f>D18/D10</f>
        <v>0.98378923995119771</v>
      </c>
    </row>
    <row r="64" spans="1:4" ht="18" x14ac:dyDescent="0.25">
      <c r="A64" s="90" t="s">
        <v>238</v>
      </c>
      <c r="B64" s="88">
        <f>(B63-C63)/C63</f>
        <v>-0.13281217110804208</v>
      </c>
      <c r="C64" s="88">
        <f>(C63-D63)/D63</f>
        <v>0.13783020439157892</v>
      </c>
      <c r="D64" s="87" t="s">
        <v>855</v>
      </c>
    </row>
    <row r="65" spans="1:4" ht="54" x14ac:dyDescent="0.25">
      <c r="A65" s="90" t="s">
        <v>894</v>
      </c>
      <c r="B65" s="37">
        <f>B32/B34</f>
        <v>1.0899496680206235</v>
      </c>
      <c r="C65" s="37">
        <f>C32/C34</f>
        <v>0.87836130056706385</v>
      </c>
      <c r="D65" s="37">
        <f>D32/D34</f>
        <v>0.576158376261939</v>
      </c>
    </row>
    <row r="66" spans="1:4" ht="18" x14ac:dyDescent="0.25">
      <c r="A66" s="90" t="s">
        <v>238</v>
      </c>
      <c r="B66" s="88">
        <f>(B65-C65)/C65</f>
        <v>0.24088990181712211</v>
      </c>
      <c r="C66" s="88">
        <f>(C65-D65)/D65</f>
        <v>0.52451363506296445</v>
      </c>
      <c r="D66" s="87" t="s">
        <v>855</v>
      </c>
    </row>
    <row r="67" spans="1:4" ht="36" x14ac:dyDescent="0.25">
      <c r="A67" s="90" t="s">
        <v>895</v>
      </c>
      <c r="B67" s="37" t="e">
        <f>B34/#REF!</f>
        <v>#REF!</v>
      </c>
      <c r="C67" s="37" t="e">
        <f>C34/#REF!</f>
        <v>#REF!</v>
      </c>
      <c r="D67" s="37" t="e">
        <f>D34/#REF!</f>
        <v>#REF!</v>
      </c>
    </row>
    <row r="68" spans="1:4" ht="18" x14ac:dyDescent="0.25">
      <c r="A68" s="90" t="s">
        <v>238</v>
      </c>
      <c r="B68" s="88" t="e">
        <f>(B67-C67)/C67</f>
        <v>#REF!</v>
      </c>
      <c r="C68" s="88" t="e">
        <f>(C67-D67)/D67</f>
        <v>#REF!</v>
      </c>
      <c r="D68" s="87" t="s">
        <v>855</v>
      </c>
    </row>
  </sheetData>
  <mergeCells count="8">
    <mergeCell ref="A46:D50"/>
    <mergeCell ref="A53:D53"/>
    <mergeCell ref="B2:F2"/>
    <mergeCell ref="B3:F3"/>
    <mergeCell ref="B4:F4"/>
    <mergeCell ref="B5:F5"/>
    <mergeCell ref="A7:K7"/>
    <mergeCell ref="A8:D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A11" sqref="A11"/>
    </sheetView>
  </sheetViews>
  <sheetFormatPr baseColWidth="10" defaultRowHeight="15" x14ac:dyDescent="0.15"/>
  <cols>
    <col min="2" max="3" width="17" bestFit="1" customWidth="1"/>
    <col min="4" max="4" width="16.6640625" bestFit="1" customWidth="1"/>
    <col min="6" max="6" width="11.83203125" customWidth="1"/>
    <col min="8" max="9" width="15.6640625" bestFit="1" customWidth="1"/>
  </cols>
  <sheetData>
    <row r="1" spans="1:16" ht="26" x14ac:dyDescent="0.15">
      <c r="A1" s="63" t="s">
        <v>711</v>
      </c>
    </row>
    <row r="2" spans="1:16" ht="30" x14ac:dyDescent="0.15">
      <c r="A2" s="43" t="s">
        <v>859</v>
      </c>
      <c r="B2" s="132" t="s">
        <v>858</v>
      </c>
      <c r="C2" s="133"/>
      <c r="D2" s="133"/>
      <c r="E2" s="133"/>
      <c r="F2" s="133"/>
      <c r="G2" s="75"/>
      <c r="H2" s="75"/>
      <c r="I2" s="75"/>
      <c r="J2" s="78"/>
      <c r="K2" s="75"/>
      <c r="L2" s="75"/>
      <c r="M2" s="75"/>
      <c r="N2" s="75"/>
      <c r="O2" s="75"/>
      <c r="P2" s="75"/>
    </row>
    <row r="3" spans="1:16" ht="30" x14ac:dyDescent="0.15">
      <c r="A3" s="43" t="s">
        <v>860</v>
      </c>
      <c r="B3" s="132" t="s">
        <v>861</v>
      </c>
      <c r="C3" s="133"/>
      <c r="D3" s="133"/>
      <c r="E3" s="133"/>
      <c r="F3" s="133"/>
      <c r="G3" s="75"/>
      <c r="H3" s="75"/>
      <c r="I3" s="75"/>
      <c r="J3" s="78"/>
      <c r="K3" s="75"/>
      <c r="L3" s="75"/>
      <c r="M3" s="75"/>
      <c r="N3" s="75"/>
      <c r="O3" s="75"/>
      <c r="P3" s="75"/>
    </row>
    <row r="4" spans="1:16" ht="30" x14ac:dyDescent="0.15">
      <c r="A4" s="43" t="s">
        <v>862</v>
      </c>
      <c r="B4" s="132" t="s">
        <v>863</v>
      </c>
      <c r="C4" s="133"/>
      <c r="D4" s="133"/>
      <c r="E4" s="133"/>
      <c r="F4" s="133"/>
      <c r="H4" s="75"/>
      <c r="I4" s="75"/>
      <c r="J4" s="78"/>
      <c r="K4" s="75"/>
      <c r="L4" s="75"/>
      <c r="M4" s="75"/>
      <c r="N4" s="75"/>
      <c r="O4" s="75"/>
      <c r="P4" s="75"/>
    </row>
    <row r="5" spans="1:16" x14ac:dyDescent="0.15">
      <c r="A5" s="43" t="s">
        <v>864</v>
      </c>
      <c r="B5" s="132" t="s">
        <v>865</v>
      </c>
      <c r="C5" s="133"/>
      <c r="D5" s="133"/>
      <c r="E5" s="133"/>
      <c r="F5" s="133"/>
      <c r="H5" s="75"/>
      <c r="I5" s="75"/>
      <c r="J5" s="78"/>
      <c r="K5" s="75"/>
      <c r="L5" s="75"/>
      <c r="M5" s="75"/>
      <c r="N5" s="75"/>
      <c r="O5" s="75"/>
      <c r="P5" s="75"/>
    </row>
    <row r="6" spans="1:16" x14ac:dyDescent="0.15">
      <c r="A6" s="122" t="s">
        <v>850</v>
      </c>
      <c r="B6" s="122"/>
      <c r="C6" s="122"/>
      <c r="D6" s="122"/>
      <c r="E6" s="122"/>
      <c r="F6" s="122"/>
      <c r="G6" s="122"/>
      <c r="H6" s="122"/>
      <c r="I6" s="122"/>
      <c r="J6" s="122"/>
      <c r="K6" s="122"/>
    </row>
    <row r="7" spans="1:16" ht="18" x14ac:dyDescent="0.25">
      <c r="A7" s="131" t="s">
        <v>887</v>
      </c>
      <c r="B7" s="131"/>
      <c r="C7" s="131"/>
      <c r="D7" s="131"/>
      <c r="F7" s="74"/>
      <c r="G7" s="90" t="s">
        <v>845</v>
      </c>
      <c r="H7" s="90" t="s">
        <v>538</v>
      </c>
      <c r="I7" s="90" t="s">
        <v>853</v>
      </c>
      <c r="J7" s="74"/>
      <c r="K7" s="74"/>
      <c r="M7" s="90" t="s">
        <v>538</v>
      </c>
    </row>
    <row r="8" spans="1:16"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6" ht="18" x14ac:dyDescent="0.25">
      <c r="A9" s="90" t="s">
        <v>866</v>
      </c>
      <c r="B9" s="87">
        <v>5722273431.3599997</v>
      </c>
      <c r="C9" s="87">
        <v>4766156893.3100004</v>
      </c>
      <c r="D9" s="87">
        <v>3713953975.9499998</v>
      </c>
      <c r="E9" s="74"/>
      <c r="F9" s="74"/>
      <c r="G9" s="90" t="s">
        <v>238</v>
      </c>
      <c r="H9" s="88">
        <f>(H8-I8)/I8</f>
        <v>0.20060534293196453</v>
      </c>
      <c r="I9" s="88"/>
      <c r="J9" s="74"/>
      <c r="K9" s="74"/>
      <c r="L9" s="90" t="s">
        <v>879</v>
      </c>
      <c r="M9" s="59">
        <v>227230.16</v>
      </c>
      <c r="N9" s="59">
        <v>46576.639999999999</v>
      </c>
      <c r="O9">
        <v>79.5</v>
      </c>
    </row>
    <row r="10" spans="1:16" ht="18" x14ac:dyDescent="0.25">
      <c r="A10" s="90" t="s">
        <v>238</v>
      </c>
      <c r="B10" s="88">
        <f>(B9-C9)/C9</f>
        <v>0.20060534293196453</v>
      </c>
      <c r="C10" s="88">
        <f>(C9-D9)/D9</f>
        <v>0.28331070448735313</v>
      </c>
      <c r="D10" s="87" t="s">
        <v>855</v>
      </c>
      <c r="E10" s="74"/>
      <c r="F10" s="74"/>
      <c r="G10" s="90" t="s">
        <v>870</v>
      </c>
      <c r="H10" s="59">
        <v>319094.33</v>
      </c>
      <c r="I10" s="59">
        <v>274435.8</v>
      </c>
      <c r="J10" s="74"/>
      <c r="K10" s="74"/>
      <c r="L10" s="90" t="s">
        <v>880</v>
      </c>
      <c r="M10" s="59">
        <v>278752.48</v>
      </c>
      <c r="N10" s="59">
        <v>252625.7</v>
      </c>
      <c r="O10">
        <v>9.3699999999999992</v>
      </c>
    </row>
    <row r="11" spans="1:16" ht="35" customHeight="1"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6"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6" ht="54" x14ac:dyDescent="0.25">
      <c r="A13" s="90" t="s">
        <v>867</v>
      </c>
      <c r="B13" s="87">
        <v>1374376823.8</v>
      </c>
      <c r="C13" s="87">
        <v>1142932917.5599999</v>
      </c>
      <c r="D13" s="87">
        <v>807018675.03999996</v>
      </c>
      <c r="E13" s="74"/>
      <c r="F13" s="74"/>
      <c r="G13" s="90" t="s">
        <v>238</v>
      </c>
      <c r="H13" s="88">
        <f>(H12-I12)/I12</f>
        <v>0.33410743098033141</v>
      </c>
      <c r="I13" s="88"/>
      <c r="J13" s="74"/>
      <c r="K13" s="74"/>
    </row>
    <row r="14" spans="1:16" ht="18" x14ac:dyDescent="0.25">
      <c r="A14" s="90" t="s">
        <v>238</v>
      </c>
      <c r="B14" s="88">
        <f>(B13-C13)/C13</f>
        <v>0.20249999163039245</v>
      </c>
      <c r="C14" s="88">
        <f>(C13-D13)/D13</f>
        <v>0.4162409779468243</v>
      </c>
      <c r="D14" s="87" t="s">
        <v>855</v>
      </c>
      <c r="G14" s="90" t="s">
        <v>872</v>
      </c>
      <c r="H14" s="59">
        <v>27316.38</v>
      </c>
      <c r="I14" s="59">
        <v>24089</v>
      </c>
    </row>
    <row r="15" spans="1:16" ht="90" x14ac:dyDescent="0.25">
      <c r="A15" s="90" t="s">
        <v>852</v>
      </c>
      <c r="B15" s="87">
        <v>1354605040.01</v>
      </c>
      <c r="C15" s="87">
        <v>1123918192.5899999</v>
      </c>
      <c r="D15" s="87">
        <v>775252280.49000001</v>
      </c>
      <c r="E15" s="74"/>
      <c r="F15" s="74"/>
      <c r="G15" s="90" t="s">
        <v>238</v>
      </c>
      <c r="H15" s="88">
        <f>(H14-I14)/I14</f>
        <v>0.13397733405288725</v>
      </c>
      <c r="I15" s="88"/>
      <c r="J15" s="74"/>
      <c r="K15" s="74"/>
    </row>
    <row r="16" spans="1:16" ht="18" x14ac:dyDescent="0.25">
      <c r="A16" s="90" t="s">
        <v>238</v>
      </c>
      <c r="B16" s="88">
        <f>(B15-C15)/C15</f>
        <v>0.20525234749372329</v>
      </c>
      <c r="C16" s="88">
        <f>(C15-D15)/D15</f>
        <v>0.44974509701490306</v>
      </c>
      <c r="D16" s="87" t="s">
        <v>855</v>
      </c>
      <c r="G16" s="90" t="s">
        <v>873</v>
      </c>
      <c r="H16" s="59">
        <v>11943.21</v>
      </c>
      <c r="I16" s="59">
        <v>10081.42</v>
      </c>
    </row>
    <row r="17" spans="1:11" ht="18" x14ac:dyDescent="0.25">
      <c r="A17" s="90" t="s">
        <v>886</v>
      </c>
      <c r="B17" s="47">
        <v>2.25</v>
      </c>
      <c r="C17" s="47">
        <v>1.86</v>
      </c>
      <c r="D17" s="47">
        <v>1.28</v>
      </c>
      <c r="E17" s="74"/>
      <c r="F17" s="74"/>
      <c r="G17" s="90" t="s">
        <v>238</v>
      </c>
      <c r="H17" s="88">
        <f>(H16-I16)/I16</f>
        <v>0.18467537311212101</v>
      </c>
      <c r="I17" s="88"/>
      <c r="J17" s="74"/>
      <c r="K17" s="74"/>
    </row>
    <row r="18" spans="1:11" ht="18" x14ac:dyDescent="0.25">
      <c r="A18" s="90" t="s">
        <v>238</v>
      </c>
      <c r="B18" s="88">
        <f>(B17-C17)/C17</f>
        <v>0.20967741935483863</v>
      </c>
      <c r="C18" s="88">
        <f>(C17-D17)/D17</f>
        <v>0.45312500000000006</v>
      </c>
      <c r="D18" s="87" t="s">
        <v>855</v>
      </c>
      <c r="G18" s="90" t="s">
        <v>874</v>
      </c>
      <c r="H18" s="59">
        <v>-4495.41</v>
      </c>
      <c r="I18" s="59">
        <v>-1010.05</v>
      </c>
    </row>
    <row r="19" spans="1:11" ht="54" x14ac:dyDescent="0.25">
      <c r="A19" s="90" t="s">
        <v>851</v>
      </c>
      <c r="B19" s="89">
        <v>-879372169.02999997</v>
      </c>
      <c r="C19" s="87">
        <v>612310818.61000001</v>
      </c>
      <c r="D19" s="87">
        <v>676933316.36000001</v>
      </c>
      <c r="E19" s="74"/>
      <c r="F19" s="74"/>
      <c r="G19" s="90" t="s">
        <v>238</v>
      </c>
      <c r="H19" s="88">
        <f>(H18-I18)/I18</f>
        <v>3.4506806593732984</v>
      </c>
      <c r="I19" s="88"/>
      <c r="J19" s="74"/>
      <c r="K19" s="74"/>
    </row>
    <row r="20" spans="1:11" ht="54" x14ac:dyDescent="0.25">
      <c r="A20" s="90" t="s">
        <v>238</v>
      </c>
      <c r="B20" s="88">
        <f>(B19-C19)/C19</f>
        <v>-2.4361532448932599</v>
      </c>
      <c r="C20" s="88">
        <f>(C19-D19)/D19</f>
        <v>-9.5463609469670571E-2</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87">
        <v>8810796390.7299995</v>
      </c>
      <c r="C25" s="87">
        <v>6657757885.1800003</v>
      </c>
      <c r="D25" s="87">
        <v>5648277442.5799999</v>
      </c>
      <c r="G25" s="90" t="s">
        <v>238</v>
      </c>
      <c r="H25" s="88">
        <f>(H24-I24)/I24</f>
        <v>4.2357268742096534E-2</v>
      </c>
      <c r="I25" s="88"/>
    </row>
    <row r="26" spans="1:11" ht="54" x14ac:dyDescent="0.25">
      <c r="A26" s="90" t="s">
        <v>238</v>
      </c>
      <c r="B26" s="88">
        <f>(B25-C25)/C25</f>
        <v>0.32338792468596794</v>
      </c>
      <c r="C26" s="88">
        <f>(C25-D25)/D25</f>
        <v>0.17872359367299306</v>
      </c>
      <c r="D26" s="87" t="s">
        <v>855</v>
      </c>
      <c r="G26" s="90" t="s">
        <v>876</v>
      </c>
      <c r="H26" s="59">
        <v>40489.449999999997</v>
      </c>
      <c r="I26" s="59">
        <v>-11611.57</v>
      </c>
    </row>
    <row r="27" spans="1:11" ht="18" x14ac:dyDescent="0.25">
      <c r="A27" s="90" t="s">
        <v>897</v>
      </c>
      <c r="B27" s="88">
        <v>0.23599999999999999</v>
      </c>
      <c r="C27" s="88">
        <v>0.24979999999999999</v>
      </c>
      <c r="D27" s="88">
        <v>0.21160000000000001</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0.74</v>
      </c>
      <c r="C30" s="94">
        <v>0.77</v>
      </c>
      <c r="D30" s="94">
        <v>0.7</v>
      </c>
      <c r="G30" s="90"/>
      <c r="H30" s="59"/>
      <c r="I30" s="59"/>
    </row>
    <row r="31" spans="1:11" ht="18" x14ac:dyDescent="0.25">
      <c r="A31" s="90" t="s">
        <v>900</v>
      </c>
      <c r="B31" s="94">
        <v>1.33</v>
      </c>
      <c r="C31" s="94">
        <v>1.34</v>
      </c>
      <c r="D31" s="94">
        <v>1.4</v>
      </c>
      <c r="G31" s="90"/>
      <c r="H31" s="59"/>
      <c r="I31" s="59"/>
    </row>
    <row r="32" spans="1:11" ht="18" x14ac:dyDescent="0.25">
      <c r="A32" s="74" t="s">
        <v>856</v>
      </c>
      <c r="G32" s="90" t="s">
        <v>238</v>
      </c>
      <c r="H32" s="88">
        <f>(H26-I26)/I26</f>
        <v>-4.4869918538147724</v>
      </c>
      <c r="I32" s="88"/>
    </row>
    <row r="33" spans="1:4" x14ac:dyDescent="0.15">
      <c r="A33" s="124" t="s">
        <v>857</v>
      </c>
      <c r="B33" s="124"/>
      <c r="C33" s="124"/>
      <c r="D33" s="124"/>
    </row>
    <row r="34" spans="1:4" x14ac:dyDescent="0.15">
      <c r="A34" s="124"/>
      <c r="B34" s="124"/>
      <c r="C34" s="124"/>
      <c r="D34" s="124"/>
    </row>
    <row r="35" spans="1:4" x14ac:dyDescent="0.15">
      <c r="A35" s="124"/>
      <c r="B35" s="124"/>
      <c r="C35" s="124"/>
      <c r="D35" s="124"/>
    </row>
    <row r="36" spans="1:4" x14ac:dyDescent="0.15">
      <c r="A36" s="124"/>
      <c r="B36" s="124"/>
      <c r="C36" s="124"/>
      <c r="D36" s="124"/>
    </row>
    <row r="37" spans="1:4" x14ac:dyDescent="0.15">
      <c r="A37" s="124"/>
      <c r="B37" s="124"/>
      <c r="C37" s="124"/>
      <c r="D37" s="124"/>
    </row>
    <row r="40" spans="1:4" x14ac:dyDescent="0.15">
      <c r="A40" s="131" t="s">
        <v>888</v>
      </c>
      <c r="B40" s="131"/>
      <c r="C40" s="131"/>
      <c r="D40" s="131"/>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1.1130298938976566</v>
      </c>
      <c r="C50" s="37">
        <f>C11/C9</f>
        <v>1.0790660457923555</v>
      </c>
      <c r="D50" s="37">
        <f>D11/D9</f>
        <v>1.2357642904893629</v>
      </c>
    </row>
    <row r="51" spans="1:4" ht="18" x14ac:dyDescent="0.25">
      <c r="A51" s="90" t="s">
        <v>238</v>
      </c>
      <c r="B51" s="88">
        <f>(B50-C50)/C50</f>
        <v>3.147522641244957E-2</v>
      </c>
      <c r="C51" s="88">
        <f>(C50-D50)/D50</f>
        <v>-0.12680269684355</v>
      </c>
      <c r="D51" s="87" t="s">
        <v>855</v>
      </c>
    </row>
    <row r="52" spans="1:4" ht="54" x14ac:dyDescent="0.25">
      <c r="A52" s="90" t="s">
        <v>894</v>
      </c>
      <c r="B52" s="37">
        <f>B19/B13</f>
        <v>-0.63983338033788517</v>
      </c>
      <c r="C52" s="37">
        <f>C19/C13</f>
        <v>0.53573644542253362</v>
      </c>
      <c r="D52" s="37">
        <f>D19/D13</f>
        <v>0.83880749888030504</v>
      </c>
    </row>
    <row r="53" spans="1:4" ht="18" x14ac:dyDescent="0.25">
      <c r="A53" s="90" t="s">
        <v>238</v>
      </c>
      <c r="B53" s="88">
        <f>(B52-C52)/C52</f>
        <v>-2.1943062410720455</v>
      </c>
      <c r="C53" s="88">
        <f>(C52-D52)/D52</f>
        <v>-0.36131180737216873</v>
      </c>
      <c r="D53" s="87" t="s">
        <v>855</v>
      </c>
    </row>
    <row r="54" spans="1:4" ht="36" x14ac:dyDescent="0.25">
      <c r="A54" s="90" t="s">
        <v>895</v>
      </c>
      <c r="B54" s="37">
        <f>B13/B21</f>
        <v>20.259450694882574</v>
      </c>
      <c r="C54" s="37">
        <f>C13/C21</f>
        <v>17.561401945542631</v>
      </c>
      <c r="D54" s="37">
        <f>D13/D21</f>
        <v>12.783826458265018</v>
      </c>
    </row>
    <row r="55" spans="1:4" ht="18" x14ac:dyDescent="0.25">
      <c r="A55" s="90" t="s">
        <v>238</v>
      </c>
      <c r="B55" s="88">
        <f>(B54-C54)/C54</f>
        <v>0.15363515724464991</v>
      </c>
      <c r="C55" s="88">
        <f>(C54-D54)/D54</f>
        <v>0.37372030220175645</v>
      </c>
      <c r="D55" s="87" t="s">
        <v>855</v>
      </c>
    </row>
  </sheetData>
  <mergeCells count="8">
    <mergeCell ref="A40:D40"/>
    <mergeCell ref="A6:K6"/>
    <mergeCell ref="A33:D37"/>
    <mergeCell ref="B2:F2"/>
    <mergeCell ref="B3:F3"/>
    <mergeCell ref="B4:F4"/>
    <mergeCell ref="B5:F5"/>
    <mergeCell ref="A7:D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F64" sqref="F64"/>
    </sheetView>
  </sheetViews>
  <sheetFormatPr baseColWidth="10" defaultRowHeight="15" x14ac:dyDescent="0.15"/>
  <cols>
    <col min="2" max="2" width="12.1640625" style="37" bestFit="1" customWidth="1"/>
    <col min="3" max="4" width="10.83203125" style="37"/>
    <col min="5" max="5" width="11.6640625" style="37" bestFit="1" customWidth="1"/>
    <col min="6" max="13" width="10.83203125" style="37"/>
  </cols>
  <sheetData>
    <row r="1" spans="1:13" ht="30" customHeight="1" x14ac:dyDescent="0.25">
      <c r="A1" s="139" t="s">
        <v>911</v>
      </c>
      <c r="B1" s="133"/>
      <c r="C1"/>
      <c r="D1"/>
      <c r="E1"/>
      <c r="F1"/>
      <c r="G1"/>
      <c r="H1"/>
      <c r="I1"/>
      <c r="J1"/>
      <c r="K1"/>
      <c r="L1"/>
      <c r="M1"/>
    </row>
    <row r="2" spans="1:13" x14ac:dyDescent="0.15">
      <c r="B2" s="140" t="s">
        <v>538</v>
      </c>
      <c r="C2" s="140"/>
      <c r="D2" s="140"/>
      <c r="E2" s="140"/>
      <c r="F2" s="140"/>
      <c r="G2" s="140"/>
      <c r="H2" s="140"/>
      <c r="I2" s="140"/>
      <c r="J2" s="140"/>
      <c r="K2" s="140"/>
      <c r="L2" s="140"/>
      <c r="M2" s="140"/>
    </row>
    <row r="3" spans="1:13" x14ac:dyDescent="0.15">
      <c r="B3" s="36" t="s">
        <v>31</v>
      </c>
      <c r="C3" s="36" t="s">
        <v>433</v>
      </c>
      <c r="D3" s="36" t="s">
        <v>434</v>
      </c>
      <c r="E3" s="36" t="s">
        <v>435</v>
      </c>
      <c r="F3" s="36" t="s">
        <v>436</v>
      </c>
      <c r="G3" s="36" t="s">
        <v>437</v>
      </c>
      <c r="H3" s="36" t="s">
        <v>438</v>
      </c>
      <c r="I3" s="36" t="s">
        <v>439</v>
      </c>
      <c r="J3" s="36" t="s">
        <v>440</v>
      </c>
      <c r="K3" s="36" t="s">
        <v>441</v>
      </c>
      <c r="L3" s="36" t="s">
        <v>442</v>
      </c>
      <c r="M3" s="36" t="s">
        <v>443</v>
      </c>
    </row>
    <row r="4" spans="1:13" ht="31" x14ac:dyDescent="0.2">
      <c r="A4" s="43" t="s">
        <v>914</v>
      </c>
      <c r="B4" s="44">
        <v>45.2</v>
      </c>
      <c r="C4" s="44">
        <v>27.6</v>
      </c>
      <c r="D4" s="44">
        <v>48.64</v>
      </c>
      <c r="E4" s="44">
        <v>49.19</v>
      </c>
      <c r="F4" s="44">
        <v>52</v>
      </c>
      <c r="G4" s="44">
        <v>54.61</v>
      </c>
      <c r="H4" s="44">
        <v>52.48</v>
      </c>
      <c r="I4" s="44">
        <v>53.02</v>
      </c>
      <c r="J4" s="105">
        <v>55.97</v>
      </c>
      <c r="K4" s="44">
        <v>57.57</v>
      </c>
      <c r="L4" s="102">
        <v>71.2</v>
      </c>
      <c r="M4" s="102">
        <v>67.34</v>
      </c>
    </row>
    <row r="5" spans="1:13" ht="18" x14ac:dyDescent="0.2">
      <c r="A5" s="43" t="s">
        <v>913</v>
      </c>
      <c r="B5" s="104">
        <v>0.13500000000000001</v>
      </c>
      <c r="C5" s="104">
        <v>0.3876</v>
      </c>
      <c r="D5" s="104">
        <v>0.23350000000000001</v>
      </c>
      <c r="E5" s="104">
        <v>0.31080000000000002</v>
      </c>
      <c r="F5" s="104">
        <v>0.24399999999999999</v>
      </c>
      <c r="G5" s="104">
        <v>0.29099999999999998</v>
      </c>
      <c r="H5" s="104">
        <v>0.28599999999999998</v>
      </c>
      <c r="I5" s="104">
        <v>0.29299999999999998</v>
      </c>
      <c r="J5" s="106">
        <v>0.25040000000000001</v>
      </c>
      <c r="K5" s="104">
        <v>0.2271</v>
      </c>
      <c r="L5" s="103">
        <v>0.215</v>
      </c>
      <c r="M5" s="103">
        <v>0.2429</v>
      </c>
    </row>
    <row r="6" spans="1:13" ht="31" x14ac:dyDescent="0.2">
      <c r="A6" s="43" t="s">
        <v>915</v>
      </c>
      <c r="B6" s="44">
        <v>596.79999999999995</v>
      </c>
      <c r="C6" s="44">
        <v>350.2</v>
      </c>
      <c r="D6" s="44">
        <v>596</v>
      </c>
      <c r="E6" s="44">
        <v>592.5</v>
      </c>
      <c r="F6" s="44">
        <v>615</v>
      </c>
      <c r="G6" s="44">
        <v>643.20000000000005</v>
      </c>
      <c r="H6" s="44">
        <v>608.4</v>
      </c>
      <c r="I6" s="44">
        <v>616.79999999999995</v>
      </c>
      <c r="J6" s="105">
        <v>649.20000000000005</v>
      </c>
      <c r="K6" s="44">
        <v>658</v>
      </c>
      <c r="L6" s="102">
        <v>796.7</v>
      </c>
      <c r="M6" s="102">
        <v>772.2</v>
      </c>
    </row>
    <row r="7" spans="1:13" ht="18" x14ac:dyDescent="0.2">
      <c r="A7" s="43" t="s">
        <v>913</v>
      </c>
      <c r="B7" s="104">
        <v>0.2</v>
      </c>
      <c r="C7" s="104">
        <v>0.21010000000000001</v>
      </c>
      <c r="D7" s="104">
        <v>0.2301</v>
      </c>
      <c r="E7" s="104">
        <v>0.26819999999999999</v>
      </c>
      <c r="F7" s="104">
        <v>0.23499999999999999</v>
      </c>
      <c r="G7" s="104">
        <v>0.26500000000000001</v>
      </c>
      <c r="H7" s="104">
        <v>0.26300000000000001</v>
      </c>
      <c r="I7" s="104">
        <v>0.26200000000000001</v>
      </c>
      <c r="J7" s="106">
        <v>0.22239999999999999</v>
      </c>
      <c r="K7" s="104">
        <v>0.23169999999999999</v>
      </c>
      <c r="L7" s="103">
        <v>0.22900000000000001</v>
      </c>
      <c r="M7" s="103">
        <v>0.26669999999999999</v>
      </c>
    </row>
    <row r="8" spans="1:13" ht="31" x14ac:dyDescent="0.2">
      <c r="A8" s="43" t="s">
        <v>916</v>
      </c>
      <c r="B8" s="44">
        <v>13.2</v>
      </c>
      <c r="C8" s="44">
        <v>12.69</v>
      </c>
      <c r="D8" s="44">
        <v>12.25</v>
      </c>
      <c r="E8" s="44">
        <v>12.04</v>
      </c>
      <c r="F8" s="44">
        <v>11.83</v>
      </c>
      <c r="G8" s="44">
        <v>11.8</v>
      </c>
      <c r="H8" s="44">
        <v>11.6</v>
      </c>
      <c r="I8" s="44">
        <v>11.6</v>
      </c>
      <c r="J8" s="105">
        <v>11.6</v>
      </c>
      <c r="K8" s="44">
        <v>11.43</v>
      </c>
      <c r="L8" s="102">
        <v>11.18</v>
      </c>
      <c r="M8" s="102">
        <v>11.47</v>
      </c>
    </row>
    <row r="9" spans="1:13" ht="18" x14ac:dyDescent="0.2">
      <c r="A9" s="43" t="s">
        <v>913</v>
      </c>
      <c r="B9" s="104">
        <v>5.7000000000000002E-2</v>
      </c>
      <c r="C9" s="104">
        <v>-0.12790000000000001</v>
      </c>
      <c r="D9" s="104">
        <v>-2.7000000000000001E-3</v>
      </c>
      <c r="E9" s="104">
        <v>-3.2500000000000001E-2</v>
      </c>
      <c r="F9" s="104">
        <v>-6.0000000000000001E-3</v>
      </c>
      <c r="G9" s="104">
        <v>-2.1000000000000001E-2</v>
      </c>
      <c r="H9" s="104">
        <v>-1.6E-2</v>
      </c>
      <c r="I9" s="104">
        <v>-2.4E-2</v>
      </c>
      <c r="J9" s="106">
        <v>-2.1999999999999999E-2</v>
      </c>
      <c r="K9" s="104">
        <v>3.8E-3</v>
      </c>
      <c r="L9" s="103">
        <v>1.14E-2</v>
      </c>
      <c r="M9" s="103">
        <v>1.9199999999999998E-2</v>
      </c>
    </row>
    <row r="10" spans="1:13" ht="31" x14ac:dyDescent="0.2">
      <c r="A10" s="43" t="s">
        <v>912</v>
      </c>
      <c r="B10"/>
      <c r="C10"/>
      <c r="D10"/>
      <c r="E10" s="95"/>
      <c r="F10"/>
      <c r="G10"/>
      <c r="H10"/>
      <c r="I10"/>
      <c r="J10"/>
      <c r="K10"/>
      <c r="L10"/>
      <c r="M10"/>
    </row>
    <row r="11" spans="1:13" x14ac:dyDescent="0.15">
      <c r="B11" s="140" t="s">
        <v>539</v>
      </c>
      <c r="C11" s="140"/>
      <c r="D11" s="140"/>
      <c r="E11" s="140"/>
      <c r="F11" s="140"/>
      <c r="G11" s="140"/>
      <c r="H11" s="140"/>
      <c r="I11" s="140"/>
      <c r="J11" s="140"/>
      <c r="K11" s="140"/>
      <c r="L11" s="140"/>
      <c r="M11" s="140"/>
    </row>
    <row r="12" spans="1:13" x14ac:dyDescent="0.15">
      <c r="B12" s="36" t="s">
        <v>31</v>
      </c>
      <c r="C12" s="36" t="s">
        <v>433</v>
      </c>
      <c r="D12" s="36" t="s">
        <v>434</v>
      </c>
      <c r="E12" s="36" t="s">
        <v>435</v>
      </c>
      <c r="F12" s="36" t="s">
        <v>436</v>
      </c>
      <c r="G12" s="36" t="s">
        <v>437</v>
      </c>
      <c r="H12" s="36" t="s">
        <v>438</v>
      </c>
      <c r="I12" s="36" t="s">
        <v>439</v>
      </c>
      <c r="J12" s="36" t="s">
        <v>440</v>
      </c>
      <c r="K12" s="36" t="s">
        <v>441</v>
      </c>
      <c r="L12" s="36" t="s">
        <v>442</v>
      </c>
      <c r="M12" s="36" t="s">
        <v>443</v>
      </c>
    </row>
    <row r="13" spans="1:13" ht="32" x14ac:dyDescent="0.25">
      <c r="A13" s="43" t="s">
        <v>914</v>
      </c>
      <c r="B13" s="95">
        <v>37.81</v>
      </c>
      <c r="C13" s="95">
        <v>27.7</v>
      </c>
      <c r="D13" s="95">
        <v>59.84</v>
      </c>
      <c r="E13" s="118">
        <v>65</v>
      </c>
      <c r="F13"/>
      <c r="G13"/>
      <c r="H13"/>
      <c r="I13"/>
      <c r="J13"/>
      <c r="K13"/>
      <c r="L13"/>
      <c r="M13"/>
    </row>
    <row r="14" spans="1:13" ht="22" x14ac:dyDescent="0.25">
      <c r="A14" s="43" t="s">
        <v>913</v>
      </c>
      <c r="B14" s="101">
        <v>-0.16400000000000001</v>
      </c>
      <c r="C14" s="101">
        <v>2E-3</v>
      </c>
      <c r="D14" s="101">
        <v>0.2303</v>
      </c>
      <c r="E14" s="119">
        <v>0.32100000000000001</v>
      </c>
      <c r="F14"/>
      <c r="G14"/>
      <c r="H14"/>
      <c r="I14"/>
      <c r="J14"/>
      <c r="K14"/>
      <c r="L14"/>
      <c r="M14"/>
    </row>
    <row r="15" spans="1:13" ht="32" x14ac:dyDescent="0.25">
      <c r="A15" s="43" t="s">
        <v>915</v>
      </c>
      <c r="B15" s="95">
        <v>500.5</v>
      </c>
      <c r="C15" s="95">
        <v>364.4</v>
      </c>
      <c r="D15" s="95">
        <v>669.1</v>
      </c>
      <c r="E15" s="118">
        <v>720.9</v>
      </c>
      <c r="F15"/>
      <c r="G15"/>
      <c r="H15"/>
      <c r="I15"/>
      <c r="J15"/>
      <c r="K15"/>
      <c r="L15"/>
      <c r="M15"/>
    </row>
    <row r="16" spans="1:13" ht="22" x14ac:dyDescent="0.25">
      <c r="A16" s="43" t="s">
        <v>913</v>
      </c>
      <c r="B16" s="95" t="s">
        <v>918</v>
      </c>
      <c r="C16" s="101">
        <v>4.1000000000000002E-2</v>
      </c>
      <c r="D16" s="95" t="s">
        <v>917</v>
      </c>
      <c r="E16" s="119">
        <v>0.217</v>
      </c>
      <c r="F16"/>
      <c r="G16"/>
      <c r="H16"/>
      <c r="I16"/>
      <c r="J16"/>
      <c r="K16"/>
      <c r="L16"/>
      <c r="M16"/>
    </row>
    <row r="17" spans="1:13" ht="32" x14ac:dyDescent="0.25">
      <c r="A17" s="43" t="s">
        <v>916</v>
      </c>
      <c r="B17" s="95">
        <v>13.24</v>
      </c>
      <c r="C17" s="95">
        <v>13.18</v>
      </c>
      <c r="D17" s="95">
        <v>11.18</v>
      </c>
      <c r="E17" s="118">
        <v>11.18</v>
      </c>
      <c r="F17"/>
      <c r="G17"/>
      <c r="H17"/>
      <c r="I17"/>
      <c r="J17"/>
      <c r="K17"/>
      <c r="L17"/>
      <c r="M17"/>
    </row>
    <row r="18" spans="1:13" ht="22" x14ac:dyDescent="0.25">
      <c r="A18" s="43" t="s">
        <v>913</v>
      </c>
      <c r="B18" s="101">
        <v>3.2000000000000002E-3</v>
      </c>
      <c r="C18" s="101">
        <v>3.8399999999999997E-2</v>
      </c>
      <c r="D18" s="101">
        <v>-8.7499999999999994E-2</v>
      </c>
      <c r="E18" s="119">
        <v>-8.7499999999999994E-2</v>
      </c>
      <c r="F18"/>
      <c r="G18"/>
      <c r="H18"/>
      <c r="I18"/>
      <c r="J18"/>
      <c r="K18"/>
      <c r="L18"/>
      <c r="M18"/>
    </row>
    <row r="19" spans="1:13" ht="31" x14ac:dyDescent="0.2">
      <c r="A19" s="43" t="s">
        <v>912</v>
      </c>
      <c r="B19"/>
      <c r="C19"/>
      <c r="D19"/>
      <c r="E19" s="95"/>
      <c r="F19"/>
      <c r="G19"/>
      <c r="H19"/>
      <c r="I19"/>
      <c r="J19"/>
      <c r="K19"/>
      <c r="L19"/>
      <c r="M19"/>
    </row>
    <row r="20" spans="1:13" x14ac:dyDescent="0.15">
      <c r="B20" s="141" t="s">
        <v>538</v>
      </c>
      <c r="C20" s="141"/>
      <c r="D20" s="141"/>
      <c r="E20" s="141"/>
      <c r="F20" s="141"/>
      <c r="G20" s="141"/>
      <c r="H20" s="141"/>
      <c r="I20" s="141"/>
      <c r="J20" s="141"/>
      <c r="K20" s="141"/>
      <c r="L20" s="141"/>
      <c r="M20" s="141"/>
    </row>
    <row r="21" spans="1:13" s="34" customFormat="1" x14ac:dyDescent="0.15">
      <c r="A21" s="34" t="s">
        <v>444</v>
      </c>
      <c r="B21" s="36" t="s">
        <v>31</v>
      </c>
      <c r="C21" s="36" t="s">
        <v>433</v>
      </c>
      <c r="D21" s="36" t="s">
        <v>434</v>
      </c>
      <c r="E21" s="36" t="s">
        <v>435</v>
      </c>
      <c r="F21" s="36" t="s">
        <v>436</v>
      </c>
      <c r="G21" s="36" t="s">
        <v>437</v>
      </c>
      <c r="H21" s="36" t="s">
        <v>438</v>
      </c>
      <c r="I21" s="36" t="s">
        <v>439</v>
      </c>
      <c r="J21" s="36" t="s">
        <v>440</v>
      </c>
      <c r="K21" s="36" t="s">
        <v>441</v>
      </c>
      <c r="L21" s="36" t="s">
        <v>442</v>
      </c>
      <c r="M21" s="36" t="s">
        <v>443</v>
      </c>
    </row>
    <row r="22" spans="1:13" x14ac:dyDescent="0.15">
      <c r="A22" s="34" t="s">
        <v>430</v>
      </c>
      <c r="B22" s="37">
        <v>0.38469999999999999</v>
      </c>
      <c r="C22" s="37">
        <v>-0.16619999999999999</v>
      </c>
      <c r="D22" s="37">
        <v>0.14330000000000001</v>
      </c>
      <c r="E22" s="37">
        <v>0.1135</v>
      </c>
      <c r="F22" s="37">
        <v>0.12540000000000001</v>
      </c>
      <c r="G22" s="37">
        <v>0.14269999999999999</v>
      </c>
      <c r="H22" s="37">
        <v>0.19120000000000001</v>
      </c>
      <c r="I22" s="37">
        <v>0.2306</v>
      </c>
      <c r="J22" s="37">
        <v>0.2233</v>
      </c>
      <c r="K22" s="37">
        <v>0.2445</v>
      </c>
      <c r="L22" s="37">
        <v>0.24970000000000001</v>
      </c>
      <c r="M22" s="37">
        <v>0.2792</v>
      </c>
    </row>
    <row r="23" spans="1:13" x14ac:dyDescent="0.15">
      <c r="A23" s="34" t="s">
        <v>431</v>
      </c>
      <c r="B23" s="37">
        <v>0.27410000000000001</v>
      </c>
      <c r="C23" s="37">
        <v>-0.16850000000000001</v>
      </c>
      <c r="D23" s="37">
        <v>7.3400000000000007E-2</v>
      </c>
      <c r="E23" s="37">
        <v>6.5600000000000006E-2</v>
      </c>
      <c r="F23" s="37">
        <v>0.1019</v>
      </c>
      <c r="G23" s="37">
        <v>0.15790000000000001</v>
      </c>
      <c r="H23" s="37">
        <v>0.22589999999999999</v>
      </c>
      <c r="I23" s="37">
        <v>0.32779999999999998</v>
      </c>
      <c r="J23" s="37">
        <v>0.37990000000000002</v>
      </c>
      <c r="K23" s="37">
        <v>0.48470000000000002</v>
      </c>
      <c r="L23" s="37">
        <v>0.47920000000000001</v>
      </c>
      <c r="M23" s="37">
        <v>0.57840000000000003</v>
      </c>
    </row>
    <row r="24" spans="1:13" x14ac:dyDescent="0.15">
      <c r="A24" s="34" t="s">
        <v>432</v>
      </c>
      <c r="B24" s="37">
        <v>8.6599999999999996E-2</v>
      </c>
      <c r="C24" s="37">
        <v>2.7000000000000001E-3</v>
      </c>
      <c r="D24" s="37">
        <v>6.4799999999999996E-2</v>
      </c>
      <c r="E24" s="37">
        <v>4.4900000000000002E-2</v>
      </c>
      <c r="F24" s="37">
        <v>2.1399999999999999E-2</v>
      </c>
      <c r="G24" s="37">
        <v>-1.2800000000000001E-2</v>
      </c>
      <c r="H24" s="37">
        <v>-2.8400000000000002E-2</v>
      </c>
      <c r="I24" s="37">
        <v>-7.3200000000000001E-2</v>
      </c>
      <c r="J24" s="37">
        <v>-0.1132</v>
      </c>
      <c r="K24" s="37">
        <v>-0.1618</v>
      </c>
      <c r="L24" s="37">
        <v>-0.15529999999999999</v>
      </c>
      <c r="M24" s="37">
        <v>-0.18940000000000001</v>
      </c>
    </row>
    <row r="25" spans="1:13" x14ac:dyDescent="0.15">
      <c r="B25" s="141" t="s">
        <v>539</v>
      </c>
      <c r="C25" s="141"/>
      <c r="D25" s="141"/>
      <c r="E25" s="141"/>
      <c r="F25" s="141"/>
      <c r="G25" s="141"/>
      <c r="H25" s="141"/>
      <c r="I25" s="141"/>
      <c r="J25" s="141"/>
      <c r="K25" s="141"/>
      <c r="L25" s="141"/>
      <c r="M25" s="141"/>
    </row>
    <row r="26" spans="1:13" s="34" customFormat="1" x14ac:dyDescent="0.15">
      <c r="A26" s="34" t="s">
        <v>444</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430</v>
      </c>
      <c r="B27" s="37">
        <v>0.10639999999999999</v>
      </c>
      <c r="C27" s="37">
        <v>0.77300000000000002</v>
      </c>
      <c r="D27" s="37">
        <v>0.48559999999999998</v>
      </c>
      <c r="E27" s="37">
        <v>0.48909999999999998</v>
      </c>
    </row>
    <row r="28" spans="1:13" x14ac:dyDescent="0.15">
      <c r="A28" s="34" t="s">
        <v>431</v>
      </c>
      <c r="B28" s="37">
        <v>0.40450000000000003</v>
      </c>
      <c r="C28" s="37">
        <v>1.1889000000000001</v>
      </c>
      <c r="D28" s="37">
        <v>0.9345</v>
      </c>
      <c r="E28" s="37">
        <v>0.88</v>
      </c>
    </row>
    <row r="29" spans="1:13" x14ac:dyDescent="0.15">
      <c r="A29" s="34" t="s">
        <v>432</v>
      </c>
      <c r="B29" s="37">
        <v>-0.21229999999999999</v>
      </c>
      <c r="C29" s="37">
        <v>-0.19009999999999999</v>
      </c>
      <c r="D29" s="37">
        <v>-0.23200000000000001</v>
      </c>
      <c r="E29" s="37">
        <v>-0.2079</v>
      </c>
    </row>
    <row r="30" spans="1:13" x14ac:dyDescent="0.15">
      <c r="A30" s="34"/>
      <c r="B30" s="38"/>
    </row>
    <row r="32" spans="1:13" x14ac:dyDescent="0.15">
      <c r="B32" s="141" t="s">
        <v>538</v>
      </c>
      <c r="C32" s="141"/>
      <c r="D32" s="141"/>
      <c r="E32" s="141"/>
      <c r="F32" s="141"/>
      <c r="G32" s="141"/>
      <c r="H32" s="141"/>
      <c r="I32" s="141"/>
      <c r="J32" s="141"/>
      <c r="K32" s="141"/>
      <c r="L32" s="141"/>
      <c r="M32" s="141"/>
    </row>
    <row r="33" spans="1:13" s="34" customFormat="1" x14ac:dyDescent="0.15">
      <c r="A33" s="34" t="s">
        <v>445</v>
      </c>
      <c r="B33" s="36" t="s">
        <v>31</v>
      </c>
      <c r="C33" s="36" t="s">
        <v>433</v>
      </c>
      <c r="D33" s="36" t="s">
        <v>434</v>
      </c>
      <c r="E33" s="36" t="s">
        <v>435</v>
      </c>
      <c r="F33" s="36" t="s">
        <v>436</v>
      </c>
      <c r="G33" s="36" t="s">
        <v>437</v>
      </c>
      <c r="H33" s="36" t="s">
        <v>438</v>
      </c>
      <c r="I33" s="36" t="s">
        <v>439</v>
      </c>
      <c r="J33" s="36" t="s">
        <v>440</v>
      </c>
      <c r="K33" s="36" t="s">
        <v>441</v>
      </c>
      <c r="L33" s="36" t="s">
        <v>442</v>
      </c>
      <c r="M33" s="36" t="s">
        <v>443</v>
      </c>
    </row>
    <row r="34" spans="1:13" x14ac:dyDescent="0.15">
      <c r="A34" s="34" t="s">
        <v>430</v>
      </c>
      <c r="B34" s="37">
        <v>1.4092</v>
      </c>
      <c r="C34" s="37">
        <v>2.0272999999999999</v>
      </c>
      <c r="D34" s="37">
        <v>1.5319</v>
      </c>
      <c r="E34" s="37">
        <v>1.7887999999999999</v>
      </c>
      <c r="F34" s="37">
        <v>1.8680000000000001</v>
      </c>
      <c r="G34" s="37">
        <v>2.0192000000000001</v>
      </c>
      <c r="H34" s="37">
        <v>2.1888999999999998</v>
      </c>
      <c r="I34" s="37">
        <v>1.9372</v>
      </c>
      <c r="J34" s="37">
        <v>1.5858000000000001</v>
      </c>
      <c r="K34" s="37">
        <v>1.4996</v>
      </c>
      <c r="L34" s="37">
        <v>1.3342000000000001</v>
      </c>
      <c r="M34" s="37">
        <v>1.6521999999999999</v>
      </c>
    </row>
    <row r="35" spans="1:13" x14ac:dyDescent="0.15">
      <c r="A35" s="34" t="s">
        <v>431</v>
      </c>
      <c r="B35" s="37">
        <v>0.35599999999999998</v>
      </c>
      <c r="C35" s="37">
        <v>0.75</v>
      </c>
      <c r="D35" s="37">
        <v>0.35060000000000002</v>
      </c>
      <c r="E35" s="37">
        <v>0.43480000000000002</v>
      </c>
      <c r="F35" s="37">
        <v>0.43</v>
      </c>
      <c r="G35" s="37">
        <v>0.54779999999999995</v>
      </c>
      <c r="H35" s="37">
        <v>0.56130000000000002</v>
      </c>
      <c r="I35" s="37">
        <v>0.45119999999999999</v>
      </c>
      <c r="J35" s="37">
        <v>0.40570000000000001</v>
      </c>
      <c r="K35" s="37">
        <v>0.30270000000000002</v>
      </c>
      <c r="L35" s="37">
        <v>0.38200000000000001</v>
      </c>
      <c r="M35" s="37">
        <v>0.48609999999999998</v>
      </c>
    </row>
    <row r="36" spans="1:13" x14ac:dyDescent="0.15">
      <c r="A36" s="34" t="s">
        <v>432</v>
      </c>
      <c r="B36" s="37">
        <v>0.77110000000000001</v>
      </c>
      <c r="C36" s="37">
        <v>0.72819999999999996</v>
      </c>
      <c r="D36" s="37">
        <v>0.875</v>
      </c>
      <c r="E36" s="37">
        <v>0.93979999999999997</v>
      </c>
      <c r="F36" s="37">
        <v>1.0126999999999999</v>
      </c>
      <c r="G36" s="37">
        <v>0.95089999999999997</v>
      </c>
      <c r="H36" s="37">
        <v>1.0455000000000001</v>
      </c>
      <c r="I36" s="37">
        <v>1.0253000000000001</v>
      </c>
      <c r="J36" s="37">
        <v>0.84119999999999995</v>
      </c>
      <c r="K36" s="37">
        <v>0.91720000000000002</v>
      </c>
      <c r="L36" s="37">
        <v>0.69069999999999998</v>
      </c>
      <c r="M36" s="37">
        <v>0.78820000000000001</v>
      </c>
    </row>
    <row r="37" spans="1:13" x14ac:dyDescent="0.15">
      <c r="B37" s="141" t="s">
        <v>539</v>
      </c>
      <c r="C37" s="141"/>
      <c r="D37" s="141"/>
      <c r="E37" s="141"/>
      <c r="F37" s="141"/>
      <c r="G37" s="141"/>
      <c r="H37" s="141"/>
      <c r="I37" s="141"/>
      <c r="J37" s="141"/>
      <c r="K37" s="141"/>
      <c r="L37" s="141"/>
      <c r="M37" s="141"/>
    </row>
    <row r="38" spans="1:13" s="34" customFormat="1" x14ac:dyDescent="0.15">
      <c r="A38" s="34" t="s">
        <v>445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3" x14ac:dyDescent="0.15">
      <c r="A39" s="34" t="s">
        <v>430</v>
      </c>
      <c r="B39" s="37">
        <v>-0.22900000000000001</v>
      </c>
      <c r="C39" s="37">
        <v>-0.26479999999999998</v>
      </c>
      <c r="D39" s="37">
        <v>-3.7600000000000001E-2</v>
      </c>
      <c r="E39" s="37">
        <v>-3.6499999999999998E-2</v>
      </c>
    </row>
    <row r="40" spans="1:13" x14ac:dyDescent="0.15">
      <c r="A40" s="34" t="s">
        <v>431</v>
      </c>
      <c r="B40" s="37">
        <v>-3.95E-2</v>
      </c>
      <c r="C40" s="37">
        <v>-0.1341</v>
      </c>
      <c r="D40" s="37">
        <v>0.25319999999999998</v>
      </c>
      <c r="E40" s="37">
        <v>0.45200000000000001</v>
      </c>
    </row>
    <row r="41" spans="1:13" x14ac:dyDescent="0.15">
      <c r="A41" s="34" t="s">
        <v>432</v>
      </c>
      <c r="B41" s="37">
        <v>-0.1966</v>
      </c>
      <c r="C41" s="37">
        <v>-0.1517</v>
      </c>
      <c r="D41" s="37">
        <v>-0.23330000000000001</v>
      </c>
      <c r="E41" s="37">
        <v>-0.33539999999999998</v>
      </c>
    </row>
    <row r="42" spans="1:13" x14ac:dyDescent="0.15">
      <c r="A42" s="34"/>
      <c r="B42" s="38"/>
    </row>
    <row r="44" spans="1:13" x14ac:dyDescent="0.15">
      <c r="B44" s="141" t="s">
        <v>538</v>
      </c>
      <c r="C44" s="141"/>
      <c r="D44" s="141"/>
      <c r="E44" s="141"/>
      <c r="F44" s="141"/>
      <c r="G44" s="141"/>
      <c r="H44" s="141"/>
      <c r="I44" s="141"/>
      <c r="J44" s="141"/>
      <c r="K44" s="141"/>
      <c r="L44" s="141"/>
      <c r="M44" s="141"/>
    </row>
    <row r="45" spans="1:13" s="34" customFormat="1" x14ac:dyDescent="0.15">
      <c r="A45" s="34" t="s">
        <v>447</v>
      </c>
      <c r="B45" s="36" t="s">
        <v>31</v>
      </c>
      <c r="C45" s="36" t="s">
        <v>433</v>
      </c>
      <c r="D45" s="36" t="s">
        <v>434</v>
      </c>
      <c r="E45" s="36" t="s">
        <v>435</v>
      </c>
      <c r="F45" s="36" t="s">
        <v>436</v>
      </c>
      <c r="G45" s="36" t="s">
        <v>437</v>
      </c>
      <c r="H45" s="36" t="s">
        <v>438</v>
      </c>
      <c r="I45" s="36" t="s">
        <v>439</v>
      </c>
      <c r="J45" s="36" t="s">
        <v>440</v>
      </c>
      <c r="K45" s="36" t="s">
        <v>441</v>
      </c>
      <c r="L45" s="36" t="s">
        <v>442</v>
      </c>
      <c r="M45" s="36" t="s">
        <v>443</v>
      </c>
    </row>
    <row r="46" spans="1:13" x14ac:dyDescent="0.15">
      <c r="A46" s="34" t="s">
        <v>430</v>
      </c>
      <c r="B46" s="37">
        <v>0.23880000000000001</v>
      </c>
      <c r="C46" s="37">
        <v>0.39739999999999998</v>
      </c>
      <c r="D46" s="37">
        <v>0.19489999999999999</v>
      </c>
      <c r="E46" s="37">
        <v>0.16889999999999999</v>
      </c>
      <c r="F46" s="37">
        <v>0.1293</v>
      </c>
      <c r="G46" s="37">
        <v>0.21110000000000001</v>
      </c>
      <c r="H46" s="37">
        <v>0.24629999999999999</v>
      </c>
      <c r="I46" s="37">
        <v>0.23649999999999999</v>
      </c>
      <c r="J46" s="37">
        <v>0.16700000000000001</v>
      </c>
      <c r="K46" s="37">
        <v>0.16039999999999999</v>
      </c>
      <c r="L46" s="37">
        <v>0.13639999999999999</v>
      </c>
      <c r="M46" s="37">
        <v>4.7199999999999999E-2</v>
      </c>
    </row>
    <row r="47" spans="1:13" x14ac:dyDescent="0.15">
      <c r="A47" s="34" t="s">
        <v>431</v>
      </c>
      <c r="B47" s="37">
        <v>0.36130000000000001</v>
      </c>
      <c r="C47" s="37">
        <v>0.62770000000000004</v>
      </c>
      <c r="D47" s="37">
        <v>0.34770000000000001</v>
      </c>
      <c r="E47" s="37">
        <v>0.32279999999999998</v>
      </c>
      <c r="F47" s="37">
        <v>0.28199999999999997</v>
      </c>
      <c r="G47" s="37">
        <v>0.35909999999999997</v>
      </c>
      <c r="H47" s="37">
        <v>0.41570000000000001</v>
      </c>
      <c r="I47" s="37">
        <v>0.4884</v>
      </c>
      <c r="J47" s="37">
        <v>0.4219</v>
      </c>
      <c r="K47" s="37">
        <v>0.36940000000000001</v>
      </c>
      <c r="L47" s="37">
        <v>0.32050000000000001</v>
      </c>
      <c r="M47" s="37">
        <v>0.32150000000000001</v>
      </c>
    </row>
    <row r="48" spans="1:13" x14ac:dyDescent="0.15">
      <c r="A48" s="34" t="s">
        <v>432</v>
      </c>
      <c r="B48" s="37">
        <v>-8.9899999999999994E-2</v>
      </c>
      <c r="C48" s="37">
        <v>-0.14149999999999999</v>
      </c>
      <c r="D48" s="37">
        <v>-0.1134</v>
      </c>
      <c r="E48" s="37">
        <v>-0.1163</v>
      </c>
      <c r="F48" s="37">
        <v>-0.1192</v>
      </c>
      <c r="G48" s="37">
        <v>-0.1089</v>
      </c>
      <c r="H48" s="37">
        <v>-0.1196</v>
      </c>
      <c r="I48" s="37">
        <v>-0.16930000000000001</v>
      </c>
      <c r="J48" s="37">
        <v>-0.17929999999999999</v>
      </c>
      <c r="K48" s="37">
        <v>-0.15260000000000001</v>
      </c>
      <c r="L48" s="37">
        <v>-0.13950000000000001</v>
      </c>
      <c r="M48" s="37">
        <v>-0.20760000000000001</v>
      </c>
    </row>
    <row r="49" spans="1:13" x14ac:dyDescent="0.15">
      <c r="B49" s="141" t="s">
        <v>539</v>
      </c>
      <c r="C49" s="141"/>
      <c r="D49" s="141"/>
      <c r="E49" s="141"/>
      <c r="F49" s="141"/>
      <c r="G49" s="141"/>
      <c r="H49" s="141"/>
      <c r="I49" s="141"/>
      <c r="J49" s="141"/>
      <c r="K49" s="141"/>
      <c r="L49" s="141"/>
      <c r="M49" s="141"/>
    </row>
    <row r="50" spans="1:13" s="34" customFormat="1" x14ac:dyDescent="0.15">
      <c r="A50" s="34" t="s">
        <v>447</v>
      </c>
      <c r="B50" s="36" t="s">
        <v>31</v>
      </c>
      <c r="C50" s="36" t="s">
        <v>433</v>
      </c>
      <c r="D50" s="36" t="s">
        <v>434</v>
      </c>
      <c r="E50" s="36" t="s">
        <v>435</v>
      </c>
      <c r="F50" s="36" t="s">
        <v>436</v>
      </c>
      <c r="G50" s="36" t="s">
        <v>437</v>
      </c>
      <c r="H50" s="36" t="s">
        <v>438</v>
      </c>
      <c r="I50" s="36" t="s">
        <v>439</v>
      </c>
      <c r="J50" s="36" t="s">
        <v>440</v>
      </c>
      <c r="K50" s="36" t="s">
        <v>441</v>
      </c>
      <c r="L50" s="36" t="s">
        <v>442</v>
      </c>
      <c r="M50" s="36" t="s">
        <v>443</v>
      </c>
    </row>
    <row r="51" spans="1:13" x14ac:dyDescent="0.15">
      <c r="A51" s="34" t="s">
        <v>430</v>
      </c>
      <c r="B51" s="37">
        <v>-0.23669999999999999</v>
      </c>
      <c r="C51" s="37">
        <v>-0.3569</v>
      </c>
      <c r="D51" s="37">
        <v>-6.4399999999999999E-2</v>
      </c>
      <c r="E51" s="37">
        <v>6.4799999999999996E-2</v>
      </c>
    </row>
    <row r="52" spans="1:13" x14ac:dyDescent="0.15">
      <c r="A52" s="34" t="s">
        <v>431</v>
      </c>
      <c r="B52" s="37">
        <v>-0.10680000000000001</v>
      </c>
      <c r="C52" s="37">
        <v>-0.219</v>
      </c>
      <c r="D52" s="37">
        <v>0.2036</v>
      </c>
      <c r="E52" s="37">
        <v>0.40889999999999999</v>
      </c>
    </row>
    <row r="53" spans="1:13" x14ac:dyDescent="0.15">
      <c r="A53" s="34" t="s">
        <v>432</v>
      </c>
      <c r="B53" s="37">
        <v>-0.1454</v>
      </c>
      <c r="C53" s="37">
        <v>-0.17660000000000001</v>
      </c>
      <c r="D53" s="37">
        <v>-0.22270000000000001</v>
      </c>
      <c r="E53" s="37">
        <v>-0.2442</v>
      </c>
    </row>
    <row r="54" spans="1:13" x14ac:dyDescent="0.15">
      <c r="A54" s="34"/>
      <c r="B54" s="38"/>
    </row>
    <row r="56" spans="1:13" x14ac:dyDescent="0.15">
      <c r="B56" s="141" t="s">
        <v>538</v>
      </c>
      <c r="C56" s="141"/>
      <c r="D56" s="141"/>
      <c r="E56" s="141"/>
      <c r="F56" s="141"/>
      <c r="G56" s="141"/>
      <c r="H56" s="141"/>
      <c r="I56" s="141"/>
      <c r="J56" s="141"/>
      <c r="K56" s="141"/>
      <c r="L56" s="141"/>
      <c r="M56" s="141"/>
    </row>
    <row r="57" spans="1:13" s="34" customFormat="1" x14ac:dyDescent="0.15">
      <c r="A57" s="34" t="s">
        <v>448</v>
      </c>
      <c r="B57" s="36" t="s">
        <v>31</v>
      </c>
      <c r="C57" s="36" t="s">
        <v>433</v>
      </c>
      <c r="D57" s="36" t="s">
        <v>434</v>
      </c>
      <c r="E57" s="36" t="s">
        <v>435</v>
      </c>
      <c r="F57" s="36" t="s">
        <v>436</v>
      </c>
      <c r="G57" s="36" t="s">
        <v>437</v>
      </c>
      <c r="H57" s="36" t="s">
        <v>438</v>
      </c>
      <c r="I57" s="36" t="s">
        <v>439</v>
      </c>
      <c r="J57" s="36" t="s">
        <v>440</v>
      </c>
      <c r="K57" s="36" t="s">
        <v>441</v>
      </c>
      <c r="L57" s="36" t="s">
        <v>442</v>
      </c>
      <c r="M57" s="36" t="s">
        <v>443</v>
      </c>
    </row>
    <row r="58" spans="1:13" x14ac:dyDescent="0.15">
      <c r="A58" s="34" t="s">
        <v>430</v>
      </c>
      <c r="B58" s="37">
        <v>0.39710000000000001</v>
      </c>
      <c r="C58" s="37">
        <v>0.77659999999999996</v>
      </c>
      <c r="D58" s="37">
        <v>0.3649</v>
      </c>
      <c r="E58" s="37">
        <v>0.50180000000000002</v>
      </c>
      <c r="F58" s="37">
        <v>0.44240000000000002</v>
      </c>
      <c r="G58" s="37">
        <v>0.41830000000000001</v>
      </c>
      <c r="H58" s="37">
        <v>0.33179999999999998</v>
      </c>
      <c r="I58" s="37">
        <v>0.34889999999999999</v>
      </c>
      <c r="J58" s="37">
        <v>0.30330000000000001</v>
      </c>
      <c r="K58" s="37">
        <v>0.19439999999999999</v>
      </c>
      <c r="L58" s="37">
        <v>0.38059999999999999</v>
      </c>
      <c r="M58" s="37">
        <v>0.26329999999999998</v>
      </c>
    </row>
    <row r="59" spans="1:13" x14ac:dyDescent="0.15">
      <c r="A59" s="34" t="s">
        <v>431</v>
      </c>
      <c r="B59" s="37">
        <v>0.42959999999999998</v>
      </c>
      <c r="C59" s="37">
        <v>0.81340000000000001</v>
      </c>
      <c r="D59" s="37">
        <v>0.34460000000000002</v>
      </c>
      <c r="E59" s="37">
        <v>0.43709999999999999</v>
      </c>
      <c r="F59" s="37">
        <v>0.4753</v>
      </c>
      <c r="G59" s="37">
        <v>0.54420000000000002</v>
      </c>
      <c r="H59" s="37">
        <v>0.52229999999999999</v>
      </c>
      <c r="I59" s="37">
        <v>0.55569999999999997</v>
      </c>
      <c r="J59" s="37">
        <v>0.50639999999999996</v>
      </c>
      <c r="K59" s="37">
        <v>0.37380000000000002</v>
      </c>
      <c r="L59" s="37">
        <v>0.39090000000000003</v>
      </c>
      <c r="M59" s="37">
        <v>0.26090000000000002</v>
      </c>
    </row>
    <row r="60" spans="1:13" x14ac:dyDescent="0.15">
      <c r="A60" s="34" t="s">
        <v>432</v>
      </c>
      <c r="B60" s="37">
        <v>-2.3099999999999999E-2</v>
      </c>
      <c r="C60" s="37">
        <v>-2.1999999999999999E-2</v>
      </c>
      <c r="D60" s="37">
        <v>1.44E-2</v>
      </c>
      <c r="E60" s="37">
        <v>4.7600000000000003E-2</v>
      </c>
      <c r="F60" s="37">
        <v>-2.2599999999999999E-2</v>
      </c>
      <c r="G60" s="37">
        <v>-8.3599999999999994E-2</v>
      </c>
      <c r="H60" s="37">
        <v>-0.125</v>
      </c>
      <c r="I60" s="37">
        <v>-0.1348</v>
      </c>
      <c r="J60" s="37">
        <v>-0.13500000000000001</v>
      </c>
      <c r="K60" s="37">
        <v>-0.1323</v>
      </c>
      <c r="L60" s="37">
        <v>-9.1000000000000004E-3</v>
      </c>
      <c r="M60" s="37">
        <v>0</v>
      </c>
    </row>
    <row r="61" spans="1:13" x14ac:dyDescent="0.15">
      <c r="B61" s="141" t="s">
        <v>539</v>
      </c>
      <c r="C61" s="141"/>
      <c r="D61" s="141"/>
      <c r="E61" s="141"/>
      <c r="F61" s="141"/>
      <c r="G61" s="141"/>
      <c r="H61" s="141"/>
      <c r="I61" s="141"/>
      <c r="J61" s="141"/>
      <c r="K61" s="141"/>
      <c r="L61" s="141"/>
      <c r="M61" s="141"/>
    </row>
    <row r="62" spans="1:13" s="34" customFormat="1" x14ac:dyDescent="0.15">
      <c r="A62" s="34" t="s">
        <v>448</v>
      </c>
      <c r="B62" s="36" t="s">
        <v>31</v>
      </c>
      <c r="C62" s="36" t="s">
        <v>433</v>
      </c>
      <c r="D62" s="36" t="s">
        <v>434</v>
      </c>
      <c r="E62" s="36" t="s">
        <v>435</v>
      </c>
      <c r="F62" s="36" t="s">
        <v>436</v>
      </c>
      <c r="G62" s="36" t="s">
        <v>437</v>
      </c>
      <c r="H62" s="36" t="s">
        <v>438</v>
      </c>
      <c r="I62" s="36" t="s">
        <v>439</v>
      </c>
      <c r="J62" s="36" t="s">
        <v>440</v>
      </c>
      <c r="K62" s="36" t="s">
        <v>441</v>
      </c>
      <c r="L62" s="36" t="s">
        <v>442</v>
      </c>
      <c r="M62" s="36" t="s">
        <v>443</v>
      </c>
    </row>
    <row r="63" spans="1:13" x14ac:dyDescent="0.15">
      <c r="A63" s="34" t="s">
        <v>430</v>
      </c>
      <c r="B63" s="37">
        <v>-0.23230000000000001</v>
      </c>
      <c r="C63" s="37">
        <v>-0.47660000000000002</v>
      </c>
      <c r="D63" s="37">
        <v>-4.2200000000000001E-2</v>
      </c>
      <c r="E63" s="37">
        <v>1.6299999999999999E-2</v>
      </c>
    </row>
    <row r="64" spans="1:13" x14ac:dyDescent="0.15">
      <c r="A64" s="34" t="s">
        <v>431</v>
      </c>
      <c r="B64" s="37">
        <v>-0.2145</v>
      </c>
      <c r="C64" s="37">
        <v>-0.37259999999999999</v>
      </c>
      <c r="D64" s="37">
        <v>8.5400000000000004E-2</v>
      </c>
      <c r="E64" s="37">
        <v>0.31609999999999999</v>
      </c>
    </row>
    <row r="65" spans="1:5" x14ac:dyDescent="0.15">
      <c r="A65" s="34" t="s">
        <v>432</v>
      </c>
      <c r="B65" s="37">
        <v>-2.3699999999999999E-2</v>
      </c>
      <c r="C65" s="37">
        <v>-0.16569999999999999</v>
      </c>
      <c r="D65" s="37">
        <v>-0.11650000000000001</v>
      </c>
      <c r="E65" s="37">
        <v>-0.2273</v>
      </c>
    </row>
    <row r="66" spans="1:5" x14ac:dyDescent="0.15">
      <c r="A66" s="34"/>
      <c r="B66" s="38"/>
    </row>
  </sheetData>
  <mergeCells count="11">
    <mergeCell ref="A1:B1"/>
    <mergeCell ref="B2:M2"/>
    <mergeCell ref="B11:M11"/>
    <mergeCell ref="B61:M61"/>
    <mergeCell ref="B20:M20"/>
    <mergeCell ref="B32:M32"/>
    <mergeCell ref="B44:M44"/>
    <mergeCell ref="B56:M56"/>
    <mergeCell ref="B25:M25"/>
    <mergeCell ref="B37:M37"/>
    <mergeCell ref="B49:M4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6"/>
  <sheetViews>
    <sheetView topLeftCell="P20" zoomScale="89" workbookViewId="0">
      <selection activeCell="AA36" sqref="AA36"/>
    </sheetView>
  </sheetViews>
  <sheetFormatPr baseColWidth="10" defaultRowHeight="15" x14ac:dyDescent="0.15"/>
  <cols>
    <col min="1" max="1" width="13.6640625" customWidth="1"/>
    <col min="14" max="14" width="12.5" bestFit="1" customWidth="1"/>
    <col min="15" max="15" width="23.1640625" customWidth="1"/>
    <col min="16" max="16" width="20.6640625" customWidth="1"/>
    <col min="17" max="17" width="12.83203125" bestFit="1" customWidth="1"/>
    <col min="18" max="18" width="18.5" bestFit="1" customWidth="1"/>
    <col min="19" max="19" width="14" bestFit="1" customWidth="1"/>
    <col min="20" max="20" width="12.83203125" bestFit="1" customWidth="1"/>
    <col min="21" max="22" width="12" bestFit="1" customWidth="1"/>
    <col min="23" max="23" width="20.1640625" bestFit="1" customWidth="1"/>
    <col min="24" max="24" width="18.5" bestFit="1" customWidth="1"/>
    <col min="25" max="25" width="12.5" bestFit="1" customWidth="1"/>
    <col min="26" max="26" width="18.5" bestFit="1" customWidth="1"/>
    <col min="31" max="31" width="12" customWidth="1"/>
    <col min="32" max="32" width="13.5" customWidth="1"/>
  </cols>
  <sheetData>
    <row r="1" spans="1:16" ht="31" customHeight="1" x14ac:dyDescent="0.15">
      <c r="A1" s="63" t="s">
        <v>711</v>
      </c>
    </row>
    <row r="2" spans="1:16" x14ac:dyDescent="0.15">
      <c r="A2" s="43" t="s">
        <v>712</v>
      </c>
      <c r="B2" s="147" t="s">
        <v>713</v>
      </c>
      <c r="C2" s="122"/>
      <c r="D2" s="122"/>
      <c r="E2" s="122"/>
      <c r="F2" s="122"/>
      <c r="G2" s="122"/>
      <c r="H2" s="122"/>
      <c r="I2" s="122"/>
      <c r="J2" s="122"/>
    </row>
    <row r="3" spans="1:16" ht="30" x14ac:dyDescent="0.15">
      <c r="A3" s="43" t="s">
        <v>714</v>
      </c>
      <c r="B3" s="132" t="s">
        <v>715</v>
      </c>
      <c r="C3" s="133"/>
      <c r="D3" s="133"/>
      <c r="E3" s="133"/>
      <c r="F3" s="133"/>
      <c r="G3" s="133"/>
      <c r="H3" s="133"/>
      <c r="I3" s="55"/>
      <c r="J3" s="55"/>
    </row>
    <row r="4" spans="1:16" ht="30" x14ac:dyDescent="0.15">
      <c r="A4" s="43" t="s">
        <v>716</v>
      </c>
      <c r="B4" s="148" t="s">
        <v>717</v>
      </c>
      <c r="C4" s="124"/>
      <c r="D4" s="124"/>
      <c r="E4" s="124"/>
      <c r="F4" s="124"/>
      <c r="G4" s="124"/>
      <c r="H4" s="124"/>
      <c r="I4" s="124"/>
      <c r="J4" s="124"/>
      <c r="K4" s="124"/>
      <c r="L4" s="124"/>
    </row>
    <row r="5" spans="1:16" ht="30" x14ac:dyDescent="0.15">
      <c r="A5" s="43" t="s">
        <v>718</v>
      </c>
      <c r="B5" s="132" t="s">
        <v>719</v>
      </c>
      <c r="C5" s="133"/>
      <c r="D5" s="133"/>
      <c r="E5" s="133"/>
      <c r="F5" s="53"/>
      <c r="G5" s="53"/>
      <c r="H5" s="53"/>
      <c r="I5" s="53"/>
      <c r="J5" s="53"/>
      <c r="K5" s="53"/>
      <c r="L5" s="53"/>
    </row>
    <row r="6" spans="1:16" ht="30" x14ac:dyDescent="0.15">
      <c r="A6" s="43" t="s">
        <v>720</v>
      </c>
      <c r="B6" s="132" t="s">
        <v>721</v>
      </c>
      <c r="C6" s="133"/>
      <c r="D6" s="133"/>
      <c r="E6" s="133"/>
      <c r="F6" s="133"/>
      <c r="G6" s="133"/>
      <c r="H6" s="133"/>
      <c r="I6" s="133"/>
      <c r="J6" s="133"/>
      <c r="K6" s="133"/>
      <c r="L6" s="133"/>
      <c r="M6" s="133"/>
      <c r="N6" s="133"/>
    </row>
    <row r="7" spans="1:16" ht="30" x14ac:dyDescent="0.15">
      <c r="A7" s="43" t="s">
        <v>722</v>
      </c>
      <c r="B7" s="132" t="s">
        <v>742</v>
      </c>
      <c r="C7" s="133"/>
      <c r="D7" s="133"/>
      <c r="E7" s="133"/>
      <c r="F7" s="133"/>
      <c r="G7" s="133"/>
      <c r="H7" s="133"/>
      <c r="I7" s="133"/>
      <c r="J7" s="57"/>
      <c r="K7" s="57"/>
      <c r="L7" s="57"/>
      <c r="M7" s="57"/>
      <c r="N7" s="57"/>
    </row>
    <row r="8" spans="1:16" x14ac:dyDescent="0.15">
      <c r="A8" s="43" t="s">
        <v>726</v>
      </c>
      <c r="B8" s="132" t="s">
        <v>723</v>
      </c>
      <c r="C8" s="133"/>
      <c r="D8" s="133"/>
      <c r="E8" s="57"/>
      <c r="F8" s="57"/>
      <c r="G8" s="57"/>
      <c r="H8" s="57"/>
      <c r="I8" s="57"/>
      <c r="J8" s="57"/>
      <c r="K8" s="57"/>
      <c r="L8" s="57"/>
      <c r="M8" s="57"/>
      <c r="N8" s="57"/>
    </row>
    <row r="9" spans="1:16" x14ac:dyDescent="0.15">
      <c r="A9" s="43" t="s">
        <v>827</v>
      </c>
      <c r="B9" s="132" t="s">
        <v>724</v>
      </c>
      <c r="C9" s="133"/>
      <c r="D9" s="133"/>
      <c r="E9" s="57"/>
      <c r="F9" s="57"/>
      <c r="G9" s="57"/>
      <c r="H9" s="57"/>
      <c r="I9" s="57"/>
      <c r="J9" s="57"/>
      <c r="K9" s="57"/>
      <c r="L9" s="57"/>
      <c r="M9" s="57"/>
      <c r="N9" s="57"/>
    </row>
    <row r="10" spans="1:16" x14ac:dyDescent="0.15">
      <c r="A10" s="43" t="s">
        <v>826</v>
      </c>
      <c r="B10" s="132" t="s">
        <v>725</v>
      </c>
      <c r="C10" s="133"/>
      <c r="D10" s="133"/>
      <c r="E10" s="57"/>
      <c r="F10" s="57"/>
      <c r="G10" s="57"/>
      <c r="H10" s="57"/>
      <c r="I10" s="57"/>
      <c r="J10" s="57"/>
      <c r="K10" s="57"/>
      <c r="L10" s="57"/>
      <c r="M10" s="57"/>
      <c r="N10" s="57"/>
    </row>
    <row r="11" spans="1:16" ht="30" x14ac:dyDescent="0.15">
      <c r="A11" s="43" t="s">
        <v>828</v>
      </c>
      <c r="B11" s="132" t="s">
        <v>727</v>
      </c>
      <c r="C11" s="133"/>
      <c r="D11" s="133"/>
      <c r="E11" s="133"/>
      <c r="F11" s="133"/>
      <c r="G11" s="133"/>
      <c r="H11" s="133"/>
      <c r="I11" s="133"/>
      <c r="J11" s="133"/>
      <c r="K11" s="133"/>
      <c r="L11" s="133"/>
      <c r="M11" s="133"/>
      <c r="N11" s="133"/>
      <c r="O11" s="133"/>
      <c r="P11" s="133"/>
    </row>
    <row r="12" spans="1:16" ht="30" x14ac:dyDescent="0.15">
      <c r="A12" s="43" t="s">
        <v>829</v>
      </c>
      <c r="B12" s="132" t="s">
        <v>728</v>
      </c>
      <c r="C12" s="133"/>
      <c r="D12" s="133"/>
      <c r="E12" s="133"/>
      <c r="F12" s="133"/>
      <c r="G12" s="133"/>
      <c r="H12" s="133"/>
      <c r="I12" s="133"/>
      <c r="J12" s="133"/>
      <c r="K12" s="57"/>
      <c r="L12" s="57"/>
      <c r="M12" s="57"/>
      <c r="N12" s="57"/>
      <c r="O12" s="57"/>
      <c r="P12" s="57"/>
    </row>
    <row r="13" spans="1:16" ht="30" x14ac:dyDescent="0.15">
      <c r="A13" s="43" t="s">
        <v>830</v>
      </c>
      <c r="B13" s="132" t="s">
        <v>729</v>
      </c>
      <c r="C13" s="133"/>
      <c r="D13" s="133"/>
      <c r="E13" s="57"/>
      <c r="F13" s="57"/>
      <c r="G13" s="57"/>
      <c r="H13" s="57"/>
      <c r="I13" s="57"/>
      <c r="J13" s="57"/>
      <c r="K13" s="57"/>
      <c r="L13" s="57"/>
      <c r="M13" s="57"/>
      <c r="N13" s="57"/>
      <c r="O13" s="57"/>
      <c r="P13" s="57"/>
    </row>
    <row r="14" spans="1:16" x14ac:dyDescent="0.15">
      <c r="A14" s="43" t="s">
        <v>831</v>
      </c>
      <c r="B14" s="132" t="s">
        <v>730</v>
      </c>
      <c r="C14" s="133"/>
      <c r="D14" s="133"/>
      <c r="E14" s="133"/>
      <c r="F14" s="133"/>
      <c r="G14" s="133"/>
      <c r="H14" s="133"/>
      <c r="I14" s="57"/>
      <c r="J14" s="57"/>
      <c r="K14" s="57"/>
      <c r="L14" s="57"/>
      <c r="M14" s="57"/>
      <c r="N14" s="57"/>
      <c r="O14" s="57"/>
      <c r="P14" s="57"/>
    </row>
    <row r="15" spans="1:16" x14ac:dyDescent="0.15">
      <c r="A15" s="43" t="s">
        <v>832</v>
      </c>
      <c r="B15" s="132" t="s">
        <v>731</v>
      </c>
      <c r="C15" s="133"/>
      <c r="D15" s="133"/>
      <c r="E15" s="133"/>
      <c r="F15" s="133"/>
      <c r="G15" s="133"/>
      <c r="H15" s="133"/>
      <c r="I15" s="57"/>
      <c r="J15" s="57"/>
      <c r="K15" s="57"/>
      <c r="L15" s="57"/>
      <c r="M15" s="57"/>
      <c r="N15" s="57"/>
      <c r="O15" s="57"/>
      <c r="P15" s="57"/>
    </row>
    <row r="16" spans="1:16" x14ac:dyDescent="0.15">
      <c r="A16" s="43" t="s">
        <v>833</v>
      </c>
      <c r="B16" s="132" t="s">
        <v>732</v>
      </c>
      <c r="C16" s="133"/>
      <c r="D16" s="133"/>
      <c r="E16" s="133"/>
      <c r="F16" s="133"/>
      <c r="G16" s="133"/>
      <c r="H16" s="133"/>
      <c r="I16" s="57"/>
      <c r="J16" s="57"/>
      <c r="K16" s="57"/>
      <c r="L16" s="57"/>
      <c r="M16" s="57"/>
      <c r="N16" s="57"/>
      <c r="O16" s="57"/>
      <c r="P16" s="57"/>
    </row>
    <row r="18" spans="1:61" ht="30" customHeight="1" x14ac:dyDescent="0.25">
      <c r="A18" s="139" t="s">
        <v>551</v>
      </c>
      <c r="B18" s="133"/>
    </row>
    <row r="19" spans="1:61" x14ac:dyDescent="0.15">
      <c r="B19" s="140" t="s">
        <v>538</v>
      </c>
      <c r="C19" s="140"/>
      <c r="D19" s="140"/>
      <c r="E19" s="140"/>
      <c r="F19" s="140"/>
      <c r="G19" s="140"/>
      <c r="H19" s="140"/>
      <c r="I19" s="140"/>
      <c r="J19" s="140"/>
      <c r="K19" s="140"/>
      <c r="L19" s="140"/>
      <c r="M19" s="140"/>
    </row>
    <row r="20" spans="1:61" x14ac:dyDescent="0.15">
      <c r="B20" s="36" t="s">
        <v>31</v>
      </c>
      <c r="C20" s="36"/>
      <c r="D20" s="36"/>
      <c r="E20" s="36"/>
      <c r="F20" s="36"/>
      <c r="G20" s="36" t="s">
        <v>433</v>
      </c>
      <c r="H20" s="36"/>
      <c r="I20" s="36"/>
      <c r="J20" s="36"/>
      <c r="K20" s="36"/>
      <c r="L20" s="36" t="s">
        <v>434</v>
      </c>
      <c r="M20" s="36"/>
      <c r="N20" s="36"/>
      <c r="O20" s="36"/>
      <c r="P20" s="36"/>
      <c r="Q20" s="36" t="s">
        <v>435</v>
      </c>
      <c r="R20" s="36"/>
      <c r="S20" s="36"/>
      <c r="T20" s="36"/>
      <c r="U20" s="36"/>
      <c r="V20" s="36" t="s">
        <v>436</v>
      </c>
      <c r="W20" s="36"/>
      <c r="X20" s="36"/>
      <c r="Y20" s="36"/>
      <c r="Z20" s="36"/>
      <c r="AA20" s="36" t="s">
        <v>437</v>
      </c>
      <c r="AB20" s="36"/>
      <c r="AC20" s="36"/>
      <c r="AD20" s="36"/>
      <c r="AE20" s="36"/>
      <c r="AF20" s="36" t="s">
        <v>438</v>
      </c>
      <c r="AG20" s="36"/>
      <c r="AH20" s="36"/>
      <c r="AI20" s="36"/>
      <c r="AJ20" s="36"/>
      <c r="AK20" s="36" t="s">
        <v>439</v>
      </c>
      <c r="AL20" s="36"/>
      <c r="AM20" s="36"/>
      <c r="AN20" s="36"/>
      <c r="AO20" s="36"/>
      <c r="AP20" s="36" t="s">
        <v>440</v>
      </c>
      <c r="AQ20" s="36"/>
      <c r="AR20" s="36"/>
      <c r="AS20" s="36"/>
      <c r="AT20" s="36"/>
      <c r="AU20" s="36" t="s">
        <v>441</v>
      </c>
      <c r="AV20" s="36"/>
      <c r="AW20" s="36"/>
      <c r="AX20" s="36"/>
      <c r="AY20" s="36"/>
      <c r="AZ20" s="36" t="s">
        <v>442</v>
      </c>
      <c r="BA20" s="36"/>
      <c r="BB20" s="36"/>
      <c r="BC20" s="36"/>
      <c r="BD20" s="36"/>
      <c r="BE20" s="36" t="s">
        <v>443</v>
      </c>
      <c r="BF20" s="36"/>
      <c r="BG20" s="36"/>
      <c r="BH20" s="36"/>
      <c r="BI20" s="36"/>
    </row>
    <row r="21" spans="1:61" ht="32" customHeight="1" x14ac:dyDescent="0.15">
      <c r="B21" s="36" t="s">
        <v>542</v>
      </c>
      <c r="C21" s="36" t="s">
        <v>543</v>
      </c>
      <c r="D21" s="36" t="s">
        <v>544</v>
      </c>
      <c r="E21" s="36" t="s">
        <v>545</v>
      </c>
      <c r="F21" s="36" t="s">
        <v>546</v>
      </c>
      <c r="G21" s="36" t="s">
        <v>542</v>
      </c>
      <c r="H21" s="36" t="s">
        <v>543</v>
      </c>
      <c r="I21" s="36" t="s">
        <v>544</v>
      </c>
      <c r="J21" s="36" t="s">
        <v>545</v>
      </c>
      <c r="K21" s="36" t="s">
        <v>546</v>
      </c>
      <c r="L21" s="36" t="s">
        <v>542</v>
      </c>
      <c r="M21" s="36" t="s">
        <v>543</v>
      </c>
      <c r="N21" s="36" t="s">
        <v>544</v>
      </c>
      <c r="O21" s="36" t="s">
        <v>545</v>
      </c>
      <c r="P21" s="36" t="s">
        <v>546</v>
      </c>
      <c r="Q21" s="36" t="s">
        <v>542</v>
      </c>
      <c r="R21" s="36" t="s">
        <v>543</v>
      </c>
      <c r="S21" s="36" t="s">
        <v>544</v>
      </c>
      <c r="T21" s="36" t="s">
        <v>545</v>
      </c>
      <c r="U21" s="36" t="s">
        <v>546</v>
      </c>
      <c r="V21" s="36" t="s">
        <v>542</v>
      </c>
      <c r="W21" s="36" t="s">
        <v>543</v>
      </c>
      <c r="X21" s="36" t="s">
        <v>544</v>
      </c>
      <c r="Y21" s="36" t="s">
        <v>545</v>
      </c>
      <c r="Z21" s="36" t="s">
        <v>546</v>
      </c>
      <c r="AA21" s="36" t="s">
        <v>542</v>
      </c>
      <c r="AB21" s="36" t="s">
        <v>543</v>
      </c>
      <c r="AC21" s="36" t="s">
        <v>544</v>
      </c>
      <c r="AD21" s="36" t="s">
        <v>545</v>
      </c>
      <c r="AE21" s="36" t="s">
        <v>546</v>
      </c>
      <c r="AF21" s="36" t="s">
        <v>542</v>
      </c>
      <c r="AG21" s="36" t="s">
        <v>543</v>
      </c>
      <c r="AH21" s="36" t="s">
        <v>544</v>
      </c>
      <c r="AI21" s="36" t="s">
        <v>545</v>
      </c>
      <c r="AJ21" s="36" t="s">
        <v>546</v>
      </c>
      <c r="AK21" s="36" t="s">
        <v>542</v>
      </c>
      <c r="AL21" s="36" t="s">
        <v>543</v>
      </c>
      <c r="AM21" s="36" t="s">
        <v>544</v>
      </c>
      <c r="AN21" s="36" t="s">
        <v>545</v>
      </c>
      <c r="AO21" s="36" t="s">
        <v>546</v>
      </c>
      <c r="AP21" s="36" t="s">
        <v>542</v>
      </c>
      <c r="AQ21" s="36" t="s">
        <v>543</v>
      </c>
      <c r="AR21" s="36" t="s">
        <v>544</v>
      </c>
      <c r="AS21" s="36" t="s">
        <v>545</v>
      </c>
      <c r="AT21" s="36" t="s">
        <v>546</v>
      </c>
      <c r="AU21" s="36" t="s">
        <v>542</v>
      </c>
      <c r="AV21" s="36" t="s">
        <v>543</v>
      </c>
      <c r="AW21" s="36" t="s">
        <v>544</v>
      </c>
      <c r="AX21" s="36" t="s">
        <v>545</v>
      </c>
      <c r="AY21" s="36" t="s">
        <v>546</v>
      </c>
      <c r="AZ21" s="36" t="s">
        <v>542</v>
      </c>
      <c r="BA21" s="36" t="s">
        <v>543</v>
      </c>
      <c r="BB21" s="36" t="s">
        <v>544</v>
      </c>
      <c r="BC21" s="36" t="s">
        <v>545</v>
      </c>
      <c r="BD21" s="36" t="s">
        <v>546</v>
      </c>
      <c r="BE21" s="36" t="s">
        <v>542</v>
      </c>
      <c r="BF21" s="36" t="s">
        <v>543</v>
      </c>
      <c r="BG21" s="36" t="s">
        <v>544</v>
      </c>
      <c r="BH21" s="36" t="s">
        <v>545</v>
      </c>
      <c r="BI21" s="36" t="s">
        <v>546</v>
      </c>
    </row>
    <row r="22" spans="1:61" ht="31" x14ac:dyDescent="0.2">
      <c r="A22" s="43" t="s">
        <v>541</v>
      </c>
      <c r="B22" s="44"/>
      <c r="T22">
        <v>1035</v>
      </c>
      <c r="V22">
        <v>1037</v>
      </c>
      <c r="W22">
        <v>1040</v>
      </c>
      <c r="X22">
        <v>1024</v>
      </c>
      <c r="Y22">
        <v>1605</v>
      </c>
      <c r="Z22">
        <v>1006</v>
      </c>
      <c r="AB22">
        <v>1035</v>
      </c>
      <c r="AG22">
        <v>1112</v>
      </c>
      <c r="AH22">
        <v>1140</v>
      </c>
      <c r="AI22">
        <v>1149</v>
      </c>
      <c r="AK22">
        <v>1166</v>
      </c>
      <c r="AL22">
        <v>1146</v>
      </c>
      <c r="AM22">
        <v>1195</v>
      </c>
      <c r="AN22">
        <v>1139</v>
      </c>
      <c r="AP22">
        <v>1082</v>
      </c>
      <c r="AQ22">
        <v>1047</v>
      </c>
      <c r="AR22">
        <v>1047</v>
      </c>
      <c r="AS22">
        <v>1084</v>
      </c>
      <c r="AU22">
        <v>1047</v>
      </c>
      <c r="AV22">
        <v>1107</v>
      </c>
      <c r="AW22">
        <v>1096</v>
      </c>
      <c r="AX22">
        <v>1055</v>
      </c>
      <c r="AZ22">
        <v>1046</v>
      </c>
      <c r="BA22">
        <v>1048</v>
      </c>
      <c r="BB22">
        <v>1052</v>
      </c>
      <c r="BC22">
        <v>1030</v>
      </c>
      <c r="BE22">
        <v>1000</v>
      </c>
      <c r="BF22">
        <v>982</v>
      </c>
      <c r="BG22">
        <v>1006</v>
      </c>
      <c r="BH22">
        <v>998</v>
      </c>
    </row>
    <row r="23" spans="1:61" ht="30" x14ac:dyDescent="0.15">
      <c r="A23" s="43" t="s">
        <v>548</v>
      </c>
      <c r="T23">
        <v>825</v>
      </c>
      <c r="V23">
        <v>825</v>
      </c>
      <c r="W23">
        <v>802</v>
      </c>
      <c r="X23">
        <v>752</v>
      </c>
      <c r="Y23">
        <v>764</v>
      </c>
      <c r="Z23">
        <v>737</v>
      </c>
      <c r="AB23">
        <v>749</v>
      </c>
      <c r="AG23">
        <v>915</v>
      </c>
      <c r="AH23">
        <v>943</v>
      </c>
      <c r="AI23">
        <v>962</v>
      </c>
      <c r="AK23">
        <v>990</v>
      </c>
      <c r="AL23">
        <v>1035</v>
      </c>
      <c r="AM23">
        <v>997</v>
      </c>
      <c r="AN23">
        <v>929</v>
      </c>
      <c r="AP23">
        <v>779</v>
      </c>
      <c r="AQ23">
        <v>719</v>
      </c>
      <c r="AR23">
        <v>719</v>
      </c>
      <c r="AS23">
        <v>760</v>
      </c>
      <c r="AU23">
        <v>719</v>
      </c>
      <c r="AV23">
        <v>859</v>
      </c>
      <c r="AW23">
        <v>772</v>
      </c>
      <c r="AX23">
        <v>737</v>
      </c>
      <c r="AZ23">
        <v>715</v>
      </c>
      <c r="BA23">
        <v>712</v>
      </c>
      <c r="BB23">
        <v>723</v>
      </c>
      <c r="BC23">
        <v>709</v>
      </c>
      <c r="BE23">
        <v>689</v>
      </c>
      <c r="BF23">
        <v>685</v>
      </c>
      <c r="BG23">
        <v>696</v>
      </c>
      <c r="BH23">
        <v>682</v>
      </c>
    </row>
    <row r="24" spans="1:61" ht="30" x14ac:dyDescent="0.15">
      <c r="A24" s="43" t="s">
        <v>547</v>
      </c>
      <c r="T24">
        <v>139</v>
      </c>
      <c r="V24">
        <v>142</v>
      </c>
      <c r="W24">
        <v>133</v>
      </c>
      <c r="X24">
        <v>128</v>
      </c>
      <c r="Y24">
        <v>129</v>
      </c>
      <c r="Z24">
        <v>129</v>
      </c>
      <c r="AB24">
        <v>133</v>
      </c>
      <c r="AG24">
        <v>142</v>
      </c>
      <c r="AH24">
        <v>144</v>
      </c>
      <c r="AI24">
        <v>150</v>
      </c>
      <c r="AK24">
        <v>152</v>
      </c>
      <c r="AL24">
        <v>152</v>
      </c>
      <c r="AM24">
        <v>155</v>
      </c>
      <c r="AN24">
        <v>146</v>
      </c>
      <c r="AP24">
        <v>134</v>
      </c>
      <c r="AQ24">
        <v>129</v>
      </c>
      <c r="AR24">
        <v>129</v>
      </c>
      <c r="AS24">
        <v>140</v>
      </c>
      <c r="AU24">
        <v>129</v>
      </c>
      <c r="AV24">
        <v>133</v>
      </c>
      <c r="AW24">
        <v>131</v>
      </c>
      <c r="AX24">
        <v>129</v>
      </c>
      <c r="AZ24">
        <v>129</v>
      </c>
      <c r="BA24">
        <v>129</v>
      </c>
      <c r="BB24">
        <v>133</v>
      </c>
      <c r="BC24">
        <v>131</v>
      </c>
      <c r="BE24">
        <v>127</v>
      </c>
      <c r="BF24">
        <v>129</v>
      </c>
      <c r="BG24">
        <v>140</v>
      </c>
      <c r="BH24">
        <v>141</v>
      </c>
    </row>
    <row r="25" spans="1:61" ht="30" x14ac:dyDescent="0.15">
      <c r="A25" s="43" t="s">
        <v>549</v>
      </c>
      <c r="T25">
        <v>1666</v>
      </c>
      <c r="V25">
        <v>1770</v>
      </c>
      <c r="W25">
        <v>1703</v>
      </c>
      <c r="X25">
        <v>1574</v>
      </c>
      <c r="Y25">
        <v>1636</v>
      </c>
      <c r="Z25">
        <v>1605</v>
      </c>
      <c r="AB25">
        <v>1661</v>
      </c>
      <c r="AG25">
        <v>1885</v>
      </c>
      <c r="AH25">
        <v>2056</v>
      </c>
      <c r="AI25">
        <v>2079</v>
      </c>
      <c r="AK25">
        <v>2100</v>
      </c>
      <c r="AL25">
        <v>2225</v>
      </c>
      <c r="AM25">
        <v>2110</v>
      </c>
      <c r="AN25">
        <v>2002</v>
      </c>
      <c r="AP25">
        <v>1829</v>
      </c>
      <c r="AQ25">
        <v>1731</v>
      </c>
      <c r="AR25">
        <v>1731</v>
      </c>
      <c r="AS25">
        <v>1845</v>
      </c>
      <c r="AU25">
        <v>1731</v>
      </c>
      <c r="AV25">
        <v>1994</v>
      </c>
      <c r="AW25">
        <v>1608</v>
      </c>
      <c r="AX25">
        <v>1611</v>
      </c>
      <c r="AZ25">
        <v>1541</v>
      </c>
      <c r="BA25">
        <v>1516</v>
      </c>
      <c r="BB25">
        <v>1496</v>
      </c>
      <c r="BC25">
        <v>1451</v>
      </c>
      <c r="BE25">
        <v>1537</v>
      </c>
      <c r="BF25">
        <v>1645</v>
      </c>
      <c r="BG25">
        <v>1842</v>
      </c>
      <c r="BH25">
        <v>1685</v>
      </c>
    </row>
    <row r="26" spans="1:61" x14ac:dyDescent="0.15">
      <c r="A26" s="43" t="s">
        <v>550</v>
      </c>
      <c r="T26">
        <f t="shared" ref="T26:AB26" si="0">T22*T23+T24*T25</f>
        <v>1085449</v>
      </c>
      <c r="U26">
        <f t="shared" si="0"/>
        <v>0</v>
      </c>
      <c r="V26">
        <f t="shared" si="0"/>
        <v>1106865</v>
      </c>
      <c r="W26">
        <f t="shared" si="0"/>
        <v>1060579</v>
      </c>
      <c r="X26">
        <f t="shared" si="0"/>
        <v>971520</v>
      </c>
      <c r="Y26">
        <f t="shared" si="0"/>
        <v>1437264</v>
      </c>
      <c r="Z26">
        <f t="shared" si="0"/>
        <v>948467</v>
      </c>
      <c r="AA26">
        <f t="shared" si="0"/>
        <v>0</v>
      </c>
      <c r="AB26">
        <f t="shared" si="0"/>
        <v>996128</v>
      </c>
      <c r="AG26">
        <f>AG22*AG23+AG24*AG25</f>
        <v>1285150</v>
      </c>
      <c r="AH26">
        <f>AH22*AH23+AH24*AH25</f>
        <v>1371084</v>
      </c>
      <c r="AI26">
        <f>AI22*AI23+AI24*AI25</f>
        <v>1417188</v>
      </c>
      <c r="AK26">
        <f>AK22*AK23+AK24*AK25</f>
        <v>1473540</v>
      </c>
      <c r="AL26">
        <f>AL22*AL23+AL24*AL25</f>
        <v>1524310</v>
      </c>
      <c r="AM26">
        <f>AM22*AM23+AM24*AM25</f>
        <v>1518465</v>
      </c>
      <c r="AN26">
        <f>AN22*AN23+AN24*AN25</f>
        <v>1350423</v>
      </c>
      <c r="AP26">
        <f>AP22*AP23+AP24*AP25</f>
        <v>1087964</v>
      </c>
      <c r="AQ26">
        <f>AQ22*AQ23+AQ24*AQ25</f>
        <v>976092</v>
      </c>
      <c r="AR26">
        <f>AR22*AR23+AR24*AR25</f>
        <v>976092</v>
      </c>
      <c r="AS26">
        <f>AS22*AS23+AS24*AS25</f>
        <v>1082140</v>
      </c>
      <c r="AU26">
        <f>AU22*AU23+AU24*AU25</f>
        <v>976092</v>
      </c>
      <c r="AV26">
        <f>AV22*AV23+AV24*AV25</f>
        <v>1216115</v>
      </c>
      <c r="AW26">
        <f>AW22*AW23+AW24*AW25</f>
        <v>1056760</v>
      </c>
      <c r="AX26">
        <f>AX22*AX23+AX24*AX25</f>
        <v>985354</v>
      </c>
      <c r="AZ26">
        <f>AZ22*AZ23+AZ24*AZ25</f>
        <v>946679</v>
      </c>
      <c r="BA26">
        <f>BA22*BA23+BA24*BA25</f>
        <v>941740</v>
      </c>
      <c r="BB26">
        <f>BB22*BB23+BB24*BB25</f>
        <v>959564</v>
      </c>
      <c r="BC26">
        <f>BC22*BC23+BC24*BC25</f>
        <v>920351</v>
      </c>
      <c r="BE26">
        <f>BE22*BE23+BE24*BE25</f>
        <v>884199</v>
      </c>
      <c r="BF26">
        <f>BF22*BF23+BF24*BF25</f>
        <v>884875</v>
      </c>
      <c r="BG26">
        <f>BG22*BG23+BG24*BG25</f>
        <v>958056</v>
      </c>
      <c r="BH26">
        <f>BH22*BH23+BH24*BH25</f>
        <v>918221</v>
      </c>
    </row>
    <row r="27" spans="1:61" x14ac:dyDescent="0.15">
      <c r="B27" s="140" t="s">
        <v>539</v>
      </c>
      <c r="C27" s="140"/>
      <c r="D27" s="140"/>
      <c r="E27" s="140"/>
      <c r="F27" s="140"/>
      <c r="G27" s="140"/>
      <c r="H27" s="140"/>
      <c r="I27" s="140"/>
      <c r="J27" s="140"/>
      <c r="K27" s="140"/>
      <c r="L27" s="140"/>
      <c r="M27" s="140"/>
    </row>
    <row r="28" spans="1:61" x14ac:dyDescent="0.15">
      <c r="B28" s="36" t="s">
        <v>31</v>
      </c>
      <c r="C28" s="36"/>
      <c r="D28" s="36"/>
      <c r="E28" s="36"/>
      <c r="F28" s="36"/>
      <c r="G28" s="36" t="s">
        <v>433</v>
      </c>
      <c r="H28" s="36"/>
      <c r="I28" s="36"/>
      <c r="J28" s="36"/>
      <c r="K28" s="36"/>
      <c r="L28" s="36" t="s">
        <v>434</v>
      </c>
      <c r="M28" s="36"/>
      <c r="N28" s="36"/>
      <c r="O28" s="36"/>
      <c r="P28" s="36"/>
      <c r="Q28" s="36" t="s">
        <v>435</v>
      </c>
      <c r="R28" s="36"/>
      <c r="S28" s="36"/>
      <c r="T28" s="36"/>
      <c r="U28" s="36"/>
      <c r="V28" s="36" t="s">
        <v>436</v>
      </c>
      <c r="W28" s="36"/>
      <c r="X28" s="36"/>
      <c r="Y28" s="36"/>
      <c r="Z28" s="36"/>
      <c r="AA28" s="36" t="s">
        <v>437</v>
      </c>
      <c r="AB28" s="36"/>
      <c r="AC28" s="36"/>
      <c r="AD28" s="36"/>
      <c r="AE28" s="36"/>
      <c r="AF28" s="36" t="s">
        <v>438</v>
      </c>
      <c r="AG28" s="36"/>
      <c r="AH28" s="36"/>
      <c r="AI28" s="36"/>
      <c r="AJ28" s="36"/>
      <c r="AK28" s="36" t="s">
        <v>439</v>
      </c>
      <c r="AL28" s="36"/>
      <c r="AM28" s="36"/>
      <c r="AN28" s="36"/>
      <c r="AO28" s="36"/>
      <c r="AP28" s="36" t="s">
        <v>440</v>
      </c>
      <c r="AQ28" s="36"/>
      <c r="AR28" s="36"/>
      <c r="AS28" s="36"/>
      <c r="AT28" s="36"/>
      <c r="AU28" s="36" t="s">
        <v>441</v>
      </c>
      <c r="AV28" s="36"/>
      <c r="AW28" s="36"/>
      <c r="AX28" s="36"/>
      <c r="AY28" s="36"/>
      <c r="AZ28" s="36" t="s">
        <v>442</v>
      </c>
      <c r="BA28" s="36"/>
      <c r="BB28" s="36"/>
      <c r="BC28" s="36"/>
      <c r="BD28" s="36"/>
      <c r="BE28" s="36" t="s">
        <v>443</v>
      </c>
      <c r="BF28" s="36"/>
      <c r="BG28" s="36"/>
      <c r="BH28" s="36"/>
      <c r="BI28" s="36"/>
    </row>
    <row r="29" spans="1:61" ht="32" customHeight="1" x14ac:dyDescent="0.15">
      <c r="B29" s="36" t="s">
        <v>542</v>
      </c>
      <c r="C29" s="36" t="s">
        <v>543</v>
      </c>
      <c r="D29" s="36" t="s">
        <v>544</v>
      </c>
      <c r="E29" s="36" t="s">
        <v>545</v>
      </c>
      <c r="F29" s="36" t="s">
        <v>546</v>
      </c>
      <c r="G29" s="36" t="s">
        <v>542</v>
      </c>
      <c r="H29" s="36" t="s">
        <v>543</v>
      </c>
      <c r="I29" s="36" t="s">
        <v>544</v>
      </c>
      <c r="J29" s="36" t="s">
        <v>545</v>
      </c>
      <c r="K29" s="36" t="s">
        <v>546</v>
      </c>
      <c r="L29" s="36" t="s">
        <v>542</v>
      </c>
      <c r="M29" s="36" t="s">
        <v>543</v>
      </c>
      <c r="N29" s="36" t="s">
        <v>544</v>
      </c>
      <c r="O29" s="36" t="s">
        <v>545</v>
      </c>
      <c r="P29" s="36" t="s">
        <v>546</v>
      </c>
      <c r="Q29" s="36" t="s">
        <v>542</v>
      </c>
      <c r="R29" s="36" t="s">
        <v>543</v>
      </c>
      <c r="S29" s="36" t="s">
        <v>544</v>
      </c>
      <c r="T29" s="36" t="s">
        <v>545</v>
      </c>
      <c r="U29" s="36" t="s">
        <v>546</v>
      </c>
      <c r="V29" s="36" t="s">
        <v>542</v>
      </c>
      <c r="W29" s="36" t="s">
        <v>543</v>
      </c>
      <c r="X29" s="36" t="s">
        <v>544</v>
      </c>
      <c r="Y29" s="36" t="s">
        <v>545</v>
      </c>
      <c r="Z29" s="36" t="s">
        <v>546</v>
      </c>
      <c r="AA29" s="36" t="s">
        <v>542</v>
      </c>
      <c r="AB29" s="36" t="s">
        <v>543</v>
      </c>
      <c r="AC29" s="36" t="s">
        <v>544</v>
      </c>
      <c r="AD29" s="36" t="s">
        <v>545</v>
      </c>
      <c r="AE29" s="36" t="s">
        <v>546</v>
      </c>
      <c r="AF29" s="36" t="s">
        <v>542</v>
      </c>
      <c r="AG29" s="36" t="s">
        <v>543</v>
      </c>
      <c r="AH29" s="36" t="s">
        <v>544</v>
      </c>
      <c r="AI29" s="36" t="s">
        <v>545</v>
      </c>
      <c r="AJ29" s="36" t="s">
        <v>546</v>
      </c>
      <c r="AK29" s="36" t="s">
        <v>542</v>
      </c>
      <c r="AL29" s="36" t="s">
        <v>543</v>
      </c>
      <c r="AM29" s="36" t="s">
        <v>544</v>
      </c>
      <c r="AN29" s="36" t="s">
        <v>545</v>
      </c>
      <c r="AO29" s="36" t="s">
        <v>546</v>
      </c>
      <c r="AP29" s="36" t="s">
        <v>542</v>
      </c>
      <c r="AQ29" s="36" t="s">
        <v>543</v>
      </c>
      <c r="AR29" s="36" t="s">
        <v>544</v>
      </c>
      <c r="AS29" s="36" t="s">
        <v>545</v>
      </c>
      <c r="AT29" s="36" t="s">
        <v>546</v>
      </c>
      <c r="AU29" s="36" t="s">
        <v>542</v>
      </c>
      <c r="AV29" s="36" t="s">
        <v>543</v>
      </c>
      <c r="AW29" s="36" t="s">
        <v>544</v>
      </c>
      <c r="AX29" s="36" t="s">
        <v>545</v>
      </c>
      <c r="AY29" s="36" t="s">
        <v>546</v>
      </c>
      <c r="AZ29" s="36" t="s">
        <v>542</v>
      </c>
      <c r="BA29" s="36" t="s">
        <v>543</v>
      </c>
      <c r="BB29" s="36" t="s">
        <v>544</v>
      </c>
      <c r="BC29" s="36" t="s">
        <v>545</v>
      </c>
      <c r="BD29" s="36" t="s">
        <v>546</v>
      </c>
      <c r="BE29" s="36" t="s">
        <v>542</v>
      </c>
      <c r="BF29" s="36" t="s">
        <v>543</v>
      </c>
      <c r="BG29" s="36" t="s">
        <v>544</v>
      </c>
      <c r="BH29" s="36" t="s">
        <v>545</v>
      </c>
      <c r="BI29" s="36" t="s">
        <v>546</v>
      </c>
    </row>
    <row r="30" spans="1:61" ht="30" x14ac:dyDescent="0.15">
      <c r="A30" s="43" t="s">
        <v>541</v>
      </c>
      <c r="B30">
        <v>957</v>
      </c>
      <c r="C30">
        <v>1051</v>
      </c>
      <c r="D30">
        <v>1155</v>
      </c>
      <c r="E30">
        <v>461</v>
      </c>
      <c r="G30">
        <v>182</v>
      </c>
      <c r="H30">
        <v>119</v>
      </c>
      <c r="I30">
        <v>118</v>
      </c>
      <c r="J30">
        <v>211</v>
      </c>
      <c r="L30">
        <v>305</v>
      </c>
      <c r="M30">
        <v>285</v>
      </c>
      <c r="N30">
        <v>318</v>
      </c>
      <c r="O30">
        <v>313</v>
      </c>
      <c r="Q30">
        <v>333</v>
      </c>
      <c r="R30">
        <v>323</v>
      </c>
      <c r="S30">
        <v>323</v>
      </c>
      <c r="T30">
        <v>366</v>
      </c>
      <c r="V30">
        <v>323</v>
      </c>
      <c r="W30">
        <v>463</v>
      </c>
      <c r="X30">
        <v>323</v>
      </c>
      <c r="Y30">
        <v>366</v>
      </c>
      <c r="Z30">
        <v>576</v>
      </c>
      <c r="AA30">
        <v>643</v>
      </c>
    </row>
    <row r="31" spans="1:61" ht="30" x14ac:dyDescent="0.15">
      <c r="A31" s="43" t="s">
        <v>548</v>
      </c>
      <c r="B31">
        <v>662</v>
      </c>
      <c r="C31">
        <v>794</v>
      </c>
      <c r="D31">
        <v>964</v>
      </c>
      <c r="E31">
        <v>960</v>
      </c>
      <c r="G31">
        <v>1077</v>
      </c>
      <c r="H31">
        <v>1089</v>
      </c>
      <c r="I31">
        <v>953</v>
      </c>
      <c r="J31">
        <v>833</v>
      </c>
      <c r="L31">
        <v>677</v>
      </c>
      <c r="M31">
        <v>588</v>
      </c>
      <c r="N31">
        <v>621</v>
      </c>
      <c r="O31">
        <v>588</v>
      </c>
      <c r="Q31">
        <v>602</v>
      </c>
      <c r="R31">
        <v>599</v>
      </c>
      <c r="S31">
        <v>599</v>
      </c>
      <c r="T31">
        <v>544</v>
      </c>
      <c r="V31">
        <v>599</v>
      </c>
      <c r="W31">
        <v>533</v>
      </c>
      <c r="X31">
        <v>599</v>
      </c>
      <c r="Y31">
        <v>544</v>
      </c>
      <c r="Z31">
        <v>531</v>
      </c>
      <c r="AA31">
        <v>514</v>
      </c>
    </row>
    <row r="32" spans="1:61" ht="30" x14ac:dyDescent="0.15">
      <c r="A32" s="43" t="s">
        <v>547</v>
      </c>
      <c r="B32">
        <v>141</v>
      </c>
      <c r="C32">
        <v>143</v>
      </c>
      <c r="D32">
        <v>154</v>
      </c>
      <c r="E32">
        <v>105</v>
      </c>
      <c r="G32">
        <v>49</v>
      </c>
      <c r="H32">
        <v>24</v>
      </c>
      <c r="I32">
        <v>16</v>
      </c>
      <c r="J32">
        <v>15</v>
      </c>
      <c r="L32">
        <v>16</v>
      </c>
      <c r="M32">
        <v>13</v>
      </c>
      <c r="N32">
        <v>14</v>
      </c>
      <c r="O32">
        <v>11</v>
      </c>
      <c r="Q32">
        <v>4</v>
      </c>
      <c r="R32">
        <v>2</v>
      </c>
      <c r="S32">
        <v>2</v>
      </c>
      <c r="T32">
        <v>2</v>
      </c>
      <c r="V32">
        <v>2</v>
      </c>
      <c r="W32">
        <v>2</v>
      </c>
      <c r="X32">
        <v>2</v>
      </c>
      <c r="Y32">
        <v>2</v>
      </c>
      <c r="Z32">
        <v>3</v>
      </c>
      <c r="AA32">
        <v>3</v>
      </c>
    </row>
    <row r="33" spans="1:45" ht="30" x14ac:dyDescent="0.15">
      <c r="A33" s="43" t="s">
        <v>549</v>
      </c>
      <c r="B33">
        <v>1649</v>
      </c>
      <c r="C33">
        <v>1914</v>
      </c>
      <c r="D33">
        <v>1824</v>
      </c>
      <c r="E33">
        <v>2477</v>
      </c>
      <c r="G33">
        <v>3338</v>
      </c>
      <c r="H33">
        <v>3094</v>
      </c>
      <c r="I33">
        <v>2654</v>
      </c>
      <c r="J33">
        <v>2660</v>
      </c>
      <c r="L33">
        <v>2787</v>
      </c>
      <c r="M33">
        <v>3283</v>
      </c>
      <c r="N33">
        <v>5213</v>
      </c>
      <c r="O33">
        <v>7619</v>
      </c>
      <c r="Q33">
        <v>9696</v>
      </c>
      <c r="R33">
        <v>13077</v>
      </c>
      <c r="S33">
        <v>13077</v>
      </c>
      <c r="T33">
        <v>14898</v>
      </c>
      <c r="V33">
        <v>13077</v>
      </c>
      <c r="W33">
        <v>14392</v>
      </c>
      <c r="X33">
        <v>13077</v>
      </c>
      <c r="Y33">
        <v>14898</v>
      </c>
      <c r="Z33">
        <v>16525</v>
      </c>
      <c r="AA33">
        <v>16536</v>
      </c>
    </row>
    <row r="34" spans="1:45" x14ac:dyDescent="0.15">
      <c r="A34" s="43" t="s">
        <v>550</v>
      </c>
      <c r="B34">
        <f>B30*B31+B32*B33</f>
        <v>866043</v>
      </c>
      <c r="C34">
        <f t="shared" ref="C34:T34" si="1">C30*C31+C32*C33</f>
        <v>1108196</v>
      </c>
      <c r="D34">
        <f t="shared" si="1"/>
        <v>1394316</v>
      </c>
      <c r="E34">
        <f t="shared" si="1"/>
        <v>702645</v>
      </c>
      <c r="F34">
        <f t="shared" si="1"/>
        <v>0</v>
      </c>
      <c r="G34">
        <f t="shared" si="1"/>
        <v>359576</v>
      </c>
      <c r="H34">
        <f t="shared" si="1"/>
        <v>203847</v>
      </c>
      <c r="I34">
        <f t="shared" si="1"/>
        <v>154918</v>
      </c>
      <c r="J34">
        <f t="shared" si="1"/>
        <v>215663</v>
      </c>
      <c r="K34">
        <f t="shared" si="1"/>
        <v>0</v>
      </c>
      <c r="L34">
        <f t="shared" si="1"/>
        <v>251077</v>
      </c>
      <c r="M34">
        <f t="shared" si="1"/>
        <v>210259</v>
      </c>
      <c r="N34">
        <f t="shared" si="1"/>
        <v>270460</v>
      </c>
      <c r="O34">
        <f t="shared" si="1"/>
        <v>267853</v>
      </c>
      <c r="P34">
        <f t="shared" si="1"/>
        <v>0</v>
      </c>
      <c r="Q34" s="45">
        <f t="shared" si="1"/>
        <v>239250</v>
      </c>
      <c r="R34">
        <f t="shared" si="1"/>
        <v>219631</v>
      </c>
      <c r="S34">
        <f t="shared" si="1"/>
        <v>219631</v>
      </c>
      <c r="T34">
        <f t="shared" si="1"/>
        <v>228900</v>
      </c>
      <c r="U34">
        <f t="shared" ref="U34:Z34" si="2">U30*U31+U32*U33</f>
        <v>0</v>
      </c>
      <c r="V34">
        <f t="shared" si="2"/>
        <v>219631</v>
      </c>
      <c r="W34">
        <f t="shared" si="2"/>
        <v>275563</v>
      </c>
      <c r="X34">
        <f t="shared" si="2"/>
        <v>219631</v>
      </c>
      <c r="Y34">
        <f t="shared" si="2"/>
        <v>228900</v>
      </c>
      <c r="Z34">
        <f t="shared" si="2"/>
        <v>355431</v>
      </c>
      <c r="AA34">
        <f t="shared" ref="AA34" si="3">AA30*AA31+AA32*AA33</f>
        <v>380110</v>
      </c>
    </row>
    <row r="35" spans="1:45" x14ac:dyDescent="0.15">
      <c r="A35" s="43" t="s">
        <v>710</v>
      </c>
      <c r="B35" s="37">
        <v>4.6399999999999997E-2</v>
      </c>
      <c r="C35" s="37">
        <v>0.1074</v>
      </c>
      <c r="D35" s="37">
        <v>8.5500000000000007E-2</v>
      </c>
      <c r="E35">
        <v>2.0699999999999998</v>
      </c>
      <c r="F35" s="37"/>
      <c r="G35" s="37">
        <v>0.22</v>
      </c>
      <c r="H35" s="37">
        <v>-3.7000000000000002E-3</v>
      </c>
      <c r="I35" s="37">
        <v>6.6699999999999995E-2</v>
      </c>
      <c r="J35" s="37">
        <v>0.1731</v>
      </c>
      <c r="K35" s="37"/>
      <c r="L35" s="37">
        <v>-4.5600000000000002E-2</v>
      </c>
      <c r="M35" s="37">
        <v>-0.1794</v>
      </c>
      <c r="N35" s="37">
        <v>-0.19789999999999999</v>
      </c>
      <c r="O35" s="37">
        <v>-0.25419999999999998</v>
      </c>
      <c r="P35" s="37"/>
      <c r="Q35" s="37">
        <v>-0.1857</v>
      </c>
      <c r="R35" s="37">
        <v>-0.22309999999999999</v>
      </c>
      <c r="S35" s="37">
        <v>-0.22309999999999999</v>
      </c>
      <c r="T35" s="37">
        <v>-0.34060000000000001</v>
      </c>
      <c r="U35" s="37"/>
      <c r="V35" s="37">
        <v>-0.27400000000000002</v>
      </c>
      <c r="W35" s="37">
        <v>-0.22309999999999999</v>
      </c>
      <c r="X35" s="37">
        <v>-0.22309999999999999</v>
      </c>
      <c r="Y35" s="37">
        <v>-0.34060000000000001</v>
      </c>
      <c r="Z35" s="37">
        <v>-0.30520000000000003</v>
      </c>
      <c r="AA35" s="37">
        <v>-0.35510000000000003</v>
      </c>
    </row>
    <row r="36" spans="1:45" x14ac:dyDescent="0.15">
      <c r="A36" s="43" t="s">
        <v>825</v>
      </c>
      <c r="B36" s="37"/>
      <c r="C36" s="37"/>
      <c r="D36" s="37"/>
      <c r="F36" s="37"/>
      <c r="G36" s="37"/>
      <c r="H36" s="37"/>
      <c r="I36" s="37"/>
      <c r="J36" s="37"/>
      <c r="K36" s="37"/>
      <c r="L36" s="37"/>
      <c r="M36" s="37"/>
      <c r="N36" s="37"/>
      <c r="O36" s="37"/>
      <c r="P36" s="37"/>
      <c r="Q36" s="37"/>
      <c r="R36" s="37"/>
      <c r="S36" s="37"/>
      <c r="T36" s="37"/>
      <c r="U36" s="37"/>
      <c r="V36">
        <f>282+275+331+332+349</f>
        <v>1569</v>
      </c>
      <c r="W36">
        <f>345+324+314+324+334</f>
        <v>1641</v>
      </c>
    </row>
    <row r="37" spans="1:45" x14ac:dyDescent="0.15">
      <c r="A37" s="37"/>
      <c r="B37" s="37"/>
      <c r="C37" s="37"/>
      <c r="D37" s="37"/>
      <c r="F37" s="37"/>
      <c r="G37" s="37"/>
      <c r="H37" s="37"/>
      <c r="I37" s="37"/>
      <c r="J37" s="37"/>
      <c r="K37" s="37"/>
      <c r="L37" s="37"/>
      <c r="M37" s="37"/>
      <c r="N37" s="37"/>
      <c r="O37" s="37"/>
      <c r="P37" s="37"/>
      <c r="Q37" s="37"/>
      <c r="R37" s="37"/>
      <c r="S37" s="37"/>
      <c r="T37" s="37"/>
      <c r="U37" s="37"/>
    </row>
    <row r="38" spans="1:45" ht="31" customHeight="1" x14ac:dyDescent="0.25">
      <c r="A38" s="139" t="s">
        <v>733</v>
      </c>
      <c r="B38" s="124"/>
      <c r="C38" s="124"/>
      <c r="D38" s="150" t="s">
        <v>741</v>
      </c>
      <c r="E38" s="133"/>
      <c r="F38" s="133"/>
      <c r="G38" s="133"/>
      <c r="H38" s="133"/>
      <c r="I38" s="133"/>
      <c r="J38" s="133"/>
      <c r="K38" s="133"/>
      <c r="L38" s="133"/>
      <c r="M38" s="133"/>
      <c r="N38" s="133"/>
      <c r="O38" s="133"/>
      <c r="P38" s="133"/>
      <c r="Q38" s="133"/>
      <c r="R38" s="133"/>
      <c r="S38" s="133"/>
      <c r="T38" s="133"/>
      <c r="U38" s="133"/>
    </row>
    <row r="39" spans="1:45" ht="15" customHeight="1" x14ac:dyDescent="0.15">
      <c r="B39" s="53"/>
      <c r="C39" s="53"/>
      <c r="D39" s="37"/>
      <c r="F39" s="37"/>
      <c r="G39" s="37"/>
      <c r="H39" s="37"/>
      <c r="I39" s="37"/>
      <c r="J39" s="37"/>
      <c r="K39" s="37"/>
      <c r="L39" s="37"/>
      <c r="M39" s="37"/>
      <c r="N39" s="37"/>
      <c r="O39" s="37"/>
      <c r="P39" s="37"/>
      <c r="Q39" s="37"/>
      <c r="R39" s="37"/>
      <c r="S39" s="37"/>
      <c r="T39" s="37"/>
      <c r="U39" s="37"/>
    </row>
    <row r="40" spans="1:45" ht="31" customHeight="1" x14ac:dyDescent="0.25">
      <c r="A40" s="139" t="s">
        <v>734</v>
      </c>
      <c r="B40" s="124"/>
      <c r="C40" s="124"/>
      <c r="D40" s="150" t="s">
        <v>738</v>
      </c>
      <c r="E40" s="133"/>
      <c r="F40" s="133"/>
      <c r="G40" s="133"/>
      <c r="H40" s="133"/>
      <c r="I40" s="133"/>
      <c r="J40" s="133"/>
      <c r="K40" s="133"/>
      <c r="L40" s="133"/>
      <c r="M40" s="133"/>
      <c r="N40" s="133"/>
      <c r="O40" s="133"/>
      <c r="P40" s="133"/>
      <c r="Q40" s="133"/>
      <c r="R40" s="133"/>
      <c r="S40" s="133"/>
      <c r="T40" s="133"/>
      <c r="U40" s="133"/>
    </row>
    <row r="41" spans="1:45" ht="15" customHeight="1" x14ac:dyDescent="0.15">
      <c r="B41" s="53"/>
      <c r="C41" s="53"/>
      <c r="D41" s="37"/>
      <c r="F41" s="37"/>
      <c r="G41" s="37"/>
      <c r="H41" s="37"/>
      <c r="I41" s="37"/>
      <c r="J41" s="37"/>
      <c r="K41" s="37"/>
      <c r="L41" s="37"/>
      <c r="M41" s="37"/>
      <c r="N41" s="37"/>
      <c r="O41" s="37"/>
      <c r="P41" s="37"/>
      <c r="Q41" s="37"/>
      <c r="R41" s="37"/>
      <c r="S41" s="37"/>
      <c r="T41" s="37"/>
      <c r="U41" s="37"/>
    </row>
    <row r="42" spans="1:45" ht="31" customHeight="1" x14ac:dyDescent="0.25">
      <c r="A42" s="139" t="s">
        <v>735</v>
      </c>
      <c r="B42" s="124"/>
      <c r="C42" s="124"/>
      <c r="D42" s="150" t="s">
        <v>739</v>
      </c>
      <c r="E42" s="133"/>
      <c r="F42" s="133"/>
      <c r="G42" s="133"/>
      <c r="H42" s="133"/>
      <c r="I42" s="133"/>
      <c r="J42" s="133"/>
      <c r="K42" s="133"/>
      <c r="L42" s="133"/>
      <c r="M42" s="133"/>
      <c r="N42" s="133"/>
      <c r="O42" s="133"/>
      <c r="P42" s="133"/>
      <c r="Q42" s="133"/>
      <c r="R42" s="133"/>
      <c r="S42" s="133"/>
      <c r="T42" s="133"/>
      <c r="U42" s="133"/>
    </row>
    <row r="43" spans="1:45" ht="15" customHeight="1" x14ac:dyDescent="0.15">
      <c r="B43" s="53"/>
      <c r="C43" s="53"/>
      <c r="D43" s="37"/>
      <c r="F43" s="37"/>
      <c r="G43" s="37"/>
      <c r="H43" s="37"/>
      <c r="I43" s="37"/>
      <c r="J43" s="37"/>
      <c r="K43" s="37"/>
      <c r="L43" s="37"/>
      <c r="M43" s="37"/>
      <c r="N43" s="37"/>
      <c r="O43" s="37"/>
      <c r="P43" s="37"/>
      <c r="Q43" s="37"/>
      <c r="R43" s="37"/>
      <c r="S43" s="37"/>
      <c r="T43" s="37"/>
      <c r="U43" s="37"/>
    </row>
    <row r="44" spans="1:45" ht="31" customHeight="1" x14ac:dyDescent="0.25">
      <c r="A44" s="139" t="s">
        <v>736</v>
      </c>
      <c r="B44" s="124"/>
      <c r="C44" s="124"/>
      <c r="D44" s="150" t="s">
        <v>740</v>
      </c>
      <c r="E44" s="133"/>
      <c r="F44" s="133"/>
      <c r="G44" s="133"/>
      <c r="H44" s="133"/>
      <c r="I44" s="133"/>
      <c r="J44" s="133"/>
      <c r="K44" s="133"/>
      <c r="L44" s="133"/>
      <c r="M44" s="133"/>
      <c r="N44" s="133"/>
      <c r="O44" s="133"/>
      <c r="P44" s="133"/>
      <c r="Q44" s="133"/>
      <c r="R44" s="133"/>
      <c r="S44" s="133"/>
      <c r="T44" s="133"/>
      <c r="U44" s="133"/>
    </row>
    <row r="46" spans="1:45" ht="30" customHeight="1" x14ac:dyDescent="0.25">
      <c r="A46" s="139" t="s">
        <v>552</v>
      </c>
      <c r="B46" s="149"/>
      <c r="C46" s="133"/>
      <c r="O46" s="151" t="s">
        <v>449</v>
      </c>
      <c r="P46" s="151"/>
      <c r="Q46" s="151"/>
      <c r="R46" s="151"/>
      <c r="S46" s="151"/>
      <c r="T46" s="151"/>
      <c r="U46" s="151"/>
      <c r="V46" s="151"/>
      <c r="W46" s="151"/>
      <c r="Y46" s="151" t="s">
        <v>449</v>
      </c>
      <c r="Z46" s="151"/>
      <c r="AA46" s="151"/>
      <c r="AB46" s="151"/>
      <c r="AC46" s="151"/>
      <c r="AD46" s="151"/>
      <c r="AE46" s="151"/>
      <c r="AF46" s="151"/>
      <c r="AG46" s="151"/>
    </row>
    <row r="47" spans="1:45" x14ac:dyDescent="0.15">
      <c r="B47" s="140" t="s">
        <v>538</v>
      </c>
      <c r="C47" s="140"/>
      <c r="D47" s="140"/>
      <c r="E47" s="140"/>
      <c r="F47" s="140"/>
      <c r="G47" s="140"/>
      <c r="H47" s="140"/>
      <c r="I47" s="140"/>
      <c r="J47" s="140"/>
      <c r="K47" s="140"/>
      <c r="L47" s="140"/>
      <c r="M47" s="140"/>
      <c r="O47" s="144" t="s">
        <v>572</v>
      </c>
      <c r="P47" s="140"/>
      <c r="Q47" s="140"/>
      <c r="R47" s="140"/>
      <c r="S47" s="140"/>
      <c r="T47" s="140"/>
      <c r="U47" s="140"/>
      <c r="V47" s="140"/>
      <c r="W47" s="140"/>
      <c r="Y47" s="144" t="s">
        <v>553</v>
      </c>
      <c r="Z47" s="144" t="s">
        <v>576</v>
      </c>
      <c r="AA47" s="140"/>
      <c r="AB47" s="140"/>
      <c r="AC47" s="140"/>
      <c r="AD47" s="140"/>
      <c r="AE47" s="140"/>
      <c r="AF47" s="140"/>
      <c r="AG47" s="140"/>
      <c r="AH47" s="140"/>
      <c r="AI47" s="133"/>
      <c r="AJ47" s="133"/>
      <c r="AK47" s="133"/>
    </row>
    <row r="48" spans="1:45" s="34" customFormat="1" ht="15" customHeight="1" x14ac:dyDescent="0.15">
      <c r="A48" s="34" t="s">
        <v>449</v>
      </c>
      <c r="B48" s="36" t="s">
        <v>31</v>
      </c>
      <c r="C48" s="36" t="s">
        <v>433</v>
      </c>
      <c r="D48" s="36" t="s">
        <v>434</v>
      </c>
      <c r="E48" s="36" t="s">
        <v>435</v>
      </c>
      <c r="F48" s="36" t="s">
        <v>436</v>
      </c>
      <c r="G48" s="36" t="s">
        <v>437</v>
      </c>
      <c r="H48" s="36" t="s">
        <v>438</v>
      </c>
      <c r="I48" s="36" t="s">
        <v>439</v>
      </c>
      <c r="J48" s="36" t="s">
        <v>440</v>
      </c>
      <c r="K48" s="36" t="s">
        <v>441</v>
      </c>
      <c r="L48" s="36" t="s">
        <v>442</v>
      </c>
      <c r="M48" s="36" t="s">
        <v>443</v>
      </c>
      <c r="N48"/>
      <c r="O48" s="144" t="s">
        <v>573</v>
      </c>
      <c r="P48" s="140"/>
      <c r="Q48" s="140"/>
      <c r="R48" s="140"/>
      <c r="S48" s="140"/>
      <c r="T48" s="140"/>
      <c r="U48" s="140"/>
      <c r="V48" s="140"/>
      <c r="W48" s="140"/>
      <c r="X48"/>
      <c r="Y48" s="144"/>
      <c r="Z48" s="52" t="s">
        <v>31</v>
      </c>
      <c r="AA48" s="52" t="s">
        <v>433</v>
      </c>
      <c r="AB48" s="52" t="s">
        <v>434</v>
      </c>
      <c r="AC48" s="52" t="s">
        <v>435</v>
      </c>
      <c r="AD48" s="52" t="s">
        <v>436</v>
      </c>
      <c r="AE48" s="52" t="s">
        <v>437</v>
      </c>
      <c r="AF48" s="52" t="s">
        <v>438</v>
      </c>
      <c r="AG48" s="52" t="s">
        <v>439</v>
      </c>
      <c r="AH48" s="52" t="s">
        <v>440</v>
      </c>
      <c r="AI48" s="52" t="s">
        <v>441</v>
      </c>
      <c r="AJ48" s="52" t="s">
        <v>442</v>
      </c>
      <c r="AK48" s="52" t="s">
        <v>443</v>
      </c>
      <c r="AL48"/>
      <c r="AM48"/>
      <c r="AN48"/>
      <c r="AO48"/>
      <c r="AP48"/>
      <c r="AQ48"/>
      <c r="AR48"/>
      <c r="AS48"/>
    </row>
    <row r="49" spans="1:44" ht="15" customHeight="1" x14ac:dyDescent="0.15">
      <c r="A49" s="34" t="s">
        <v>540</v>
      </c>
      <c r="B49" s="37">
        <v>0.16</v>
      </c>
      <c r="C49" s="37">
        <v>0.14069999999999999</v>
      </c>
      <c r="D49" s="37">
        <v>8.4199999999999997E-2</v>
      </c>
      <c r="E49" s="37">
        <v>0.10150000000000001</v>
      </c>
      <c r="F49" s="37">
        <v>0.14560000000000001</v>
      </c>
      <c r="G49" s="37">
        <v>0.1043</v>
      </c>
      <c r="H49" s="37">
        <v>0.16739999999999999</v>
      </c>
      <c r="I49" s="37">
        <v>0.15010000000000001</v>
      </c>
      <c r="J49" s="37">
        <v>0.1366</v>
      </c>
      <c r="K49" s="37">
        <v>0.16320000000000001</v>
      </c>
      <c r="L49" s="37">
        <v>0.21049999999999999</v>
      </c>
      <c r="M49" s="37">
        <v>0.13400000000000001</v>
      </c>
      <c r="O49" s="144" t="s">
        <v>553</v>
      </c>
      <c r="P49" s="144" t="s">
        <v>538</v>
      </c>
      <c r="Q49" s="140"/>
      <c r="R49" s="140"/>
      <c r="S49" s="144" t="s">
        <v>561</v>
      </c>
      <c r="T49" s="140"/>
      <c r="U49" s="140"/>
      <c r="V49" s="140"/>
      <c r="W49" s="140"/>
      <c r="Y49" s="144"/>
      <c r="Z49" s="52"/>
      <c r="AA49" s="52"/>
      <c r="AB49" s="52"/>
      <c r="AC49" s="52"/>
      <c r="AD49" s="52"/>
      <c r="AE49" s="52"/>
      <c r="AF49" s="52"/>
      <c r="AG49" s="52"/>
      <c r="AH49" s="52"/>
      <c r="AI49" s="52"/>
      <c r="AJ49" s="52"/>
      <c r="AK49" s="52"/>
    </row>
    <row r="50" spans="1:44" x14ac:dyDescent="0.15">
      <c r="A50" s="34" t="s">
        <v>450</v>
      </c>
      <c r="B50" s="37">
        <v>3.5700000000000003E-2</v>
      </c>
      <c r="C50" s="37">
        <v>2.7E-2</v>
      </c>
      <c r="D50" s="37">
        <v>2.7699999999999999E-2</v>
      </c>
      <c r="E50" s="37">
        <v>1.8800000000000001E-2</v>
      </c>
      <c r="F50" s="37">
        <v>2.81E-2</v>
      </c>
      <c r="G50" s="37">
        <v>7.1000000000000004E-3</v>
      </c>
      <c r="H50" s="37">
        <v>1.8499999999999999E-2</v>
      </c>
      <c r="I50" s="37">
        <v>2.06E-2</v>
      </c>
      <c r="J50" s="37">
        <v>3.4200000000000001E-2</v>
      </c>
      <c r="K50" s="37">
        <v>2.1700000000000001E-2</v>
      </c>
      <c r="L50" s="37">
        <v>-4.7999999999999996E-3</v>
      </c>
      <c r="M50" s="37">
        <v>-1.1299999999999999E-2</v>
      </c>
      <c r="O50" s="144"/>
      <c r="P50" s="144" t="s">
        <v>558</v>
      </c>
      <c r="Q50" s="144" t="s">
        <v>559</v>
      </c>
      <c r="R50" s="146" t="s">
        <v>560</v>
      </c>
      <c r="S50" s="146" t="s">
        <v>562</v>
      </c>
      <c r="T50" s="146" t="s">
        <v>563</v>
      </c>
      <c r="U50" s="146" t="s">
        <v>564</v>
      </c>
      <c r="V50" s="146" t="s">
        <v>560</v>
      </c>
      <c r="W50" s="146" t="s">
        <v>754</v>
      </c>
      <c r="Y50" t="s">
        <v>577</v>
      </c>
      <c r="Z50">
        <v>333826.28000000003</v>
      </c>
      <c r="AA50">
        <v>104975.41</v>
      </c>
      <c r="AB50">
        <v>134289.41</v>
      </c>
      <c r="AC50">
        <v>333826.28000000003</v>
      </c>
      <c r="AD50">
        <v>104975.41</v>
      </c>
      <c r="AE50">
        <v>134289.41</v>
      </c>
      <c r="AF50">
        <v>333826.28000000003</v>
      </c>
      <c r="AG50">
        <v>104975.41</v>
      </c>
      <c r="AH50">
        <v>134289.41</v>
      </c>
      <c r="AI50">
        <v>333826.28000000003</v>
      </c>
      <c r="AJ50">
        <v>104975.41</v>
      </c>
      <c r="AK50">
        <v>134289.41</v>
      </c>
    </row>
    <row r="51" spans="1:44" x14ac:dyDescent="0.15">
      <c r="A51" s="34" t="s">
        <v>446</v>
      </c>
      <c r="B51" s="38">
        <f>(1+B49)*(1+B50)</f>
        <v>1.2014119999999999</v>
      </c>
      <c r="C51" s="37">
        <f>(1+C49)*(1+C50)</f>
        <v>1.1714989</v>
      </c>
      <c r="D51" s="37">
        <f>(1+D49)*(1+D50)</f>
        <v>1.11423234</v>
      </c>
      <c r="E51" s="37">
        <f>(1+E49)*(1+E50)</f>
        <v>1.1222081999999998</v>
      </c>
      <c r="F51" s="37">
        <f>(1+F49)*(1+F50)</f>
        <v>1.1777913600000001</v>
      </c>
      <c r="G51" s="37">
        <f>(1+H49)*(1+G50)</f>
        <v>1.1756885400000001</v>
      </c>
      <c r="H51" s="37">
        <f>(1+I49)*(1+H50)</f>
        <v>1.1713768500000001</v>
      </c>
      <c r="I51" s="37">
        <f>(1+I49)*(1+I50)</f>
        <v>1.17379206</v>
      </c>
      <c r="J51" s="37">
        <f>(1+J49)*(1+J50)</f>
        <v>1.17547172</v>
      </c>
      <c r="K51" s="37">
        <f>(1+K49)*(1+K50)</f>
        <v>1.1884414400000001</v>
      </c>
      <c r="L51" s="37">
        <f>(1+L49)*(1+L50)</f>
        <v>1.2046895999999998</v>
      </c>
      <c r="M51" s="37">
        <f>(1+M49)*(1+M50)</f>
        <v>1.1211857999999999</v>
      </c>
      <c r="O51" s="144"/>
      <c r="P51" s="144"/>
      <c r="Q51" s="144"/>
      <c r="R51" s="146"/>
      <c r="S51" s="146"/>
      <c r="T51" s="146"/>
      <c r="U51" s="146"/>
      <c r="V51" s="146"/>
      <c r="W51" s="146"/>
      <c r="Y51" t="s">
        <v>578</v>
      </c>
      <c r="Z51" s="46">
        <v>0.05</v>
      </c>
      <c r="AA51" s="46">
        <v>0.1</v>
      </c>
      <c r="AB51" s="46">
        <v>-0.17</v>
      </c>
      <c r="AC51" s="46">
        <v>0.05</v>
      </c>
      <c r="AD51" s="46">
        <v>0.1</v>
      </c>
      <c r="AE51" s="46">
        <v>-0.17</v>
      </c>
      <c r="AF51" s="46">
        <v>0.05</v>
      </c>
      <c r="AG51" s="46">
        <v>0.1</v>
      </c>
      <c r="AH51" s="46">
        <v>-0.17</v>
      </c>
      <c r="AI51" s="46">
        <v>0.05</v>
      </c>
      <c r="AJ51" s="46">
        <v>0.1</v>
      </c>
      <c r="AK51" s="46">
        <v>-0.17</v>
      </c>
    </row>
    <row r="52" spans="1:44" ht="30" x14ac:dyDescent="0.15">
      <c r="B52" s="140" t="s">
        <v>539</v>
      </c>
      <c r="C52" s="140"/>
      <c r="D52" s="140"/>
      <c r="E52" s="140"/>
      <c r="F52" s="140"/>
      <c r="G52" s="140"/>
      <c r="H52" s="140"/>
      <c r="I52" s="140"/>
      <c r="J52" s="140"/>
      <c r="K52" s="140"/>
      <c r="L52" s="140"/>
      <c r="M52" s="140"/>
      <c r="O52" s="51" t="s">
        <v>554</v>
      </c>
      <c r="P52" s="59">
        <v>4165877864</v>
      </c>
      <c r="Q52" s="65">
        <v>4370653</v>
      </c>
      <c r="R52">
        <f>P52/Q52</f>
        <v>953.14770218546289</v>
      </c>
      <c r="S52" s="59">
        <v>1190213.8500000001</v>
      </c>
      <c r="T52" s="59">
        <v>790515.27</v>
      </c>
      <c r="U52" s="46">
        <v>0.1</v>
      </c>
      <c r="V52">
        <f>R52*(1-U52)</f>
        <v>857.83293196691659</v>
      </c>
      <c r="W52" s="59">
        <f>T52*V52</f>
        <v>678130031.82871866</v>
      </c>
      <c r="Y52" s="51" t="s">
        <v>579</v>
      </c>
      <c r="Z52" s="140">
        <f>Z50+AA50+AB50</f>
        <v>573091.10000000009</v>
      </c>
      <c r="AA52" s="140"/>
      <c r="AB52" s="140"/>
      <c r="AC52" s="140">
        <f>AC50+AD50+AE50</f>
        <v>573091.10000000009</v>
      </c>
      <c r="AD52" s="140"/>
      <c r="AE52" s="140"/>
      <c r="AF52" s="140">
        <f>AF50+AG50+AH50</f>
        <v>573091.10000000009</v>
      </c>
      <c r="AG52" s="140"/>
      <c r="AH52" s="140"/>
      <c r="AI52" s="140">
        <f>AI50+AJ50+AK50</f>
        <v>573091.10000000009</v>
      </c>
      <c r="AJ52" s="140"/>
      <c r="AK52" s="140"/>
    </row>
    <row r="53" spans="1:44" s="34" customFormat="1" ht="30" x14ac:dyDescent="0.15">
      <c r="A53" s="34" t="s">
        <v>449</v>
      </c>
      <c r="B53" s="36" t="s">
        <v>31</v>
      </c>
      <c r="C53" s="36" t="s">
        <v>433</v>
      </c>
      <c r="D53" s="36" t="s">
        <v>434</v>
      </c>
      <c r="E53" s="36" t="s">
        <v>435</v>
      </c>
      <c r="F53" s="36" t="s">
        <v>436</v>
      </c>
      <c r="G53" s="36" t="s">
        <v>437</v>
      </c>
      <c r="H53" s="36" t="s">
        <v>438</v>
      </c>
      <c r="I53" s="36" t="s">
        <v>439</v>
      </c>
      <c r="J53" s="36" t="s">
        <v>440</v>
      </c>
      <c r="K53" s="36" t="s">
        <v>441</v>
      </c>
      <c r="L53" s="36" t="s">
        <v>442</v>
      </c>
      <c r="M53" s="36" t="s">
        <v>443</v>
      </c>
      <c r="N53"/>
      <c r="O53" s="51" t="s">
        <v>555</v>
      </c>
      <c r="P53" s="59">
        <v>2423547806</v>
      </c>
      <c r="Q53" s="65">
        <v>4370653</v>
      </c>
      <c r="R53">
        <f>P53/Q53</f>
        <v>554.50474013837288</v>
      </c>
      <c r="S53" s="59">
        <v>1190213.8500000001</v>
      </c>
      <c r="T53" s="59">
        <v>790515.27</v>
      </c>
      <c r="U53" s="46">
        <v>0.1</v>
      </c>
      <c r="V53">
        <f>R53*(1-U53)</f>
        <v>499.05426612453562</v>
      </c>
      <c r="W53" s="59">
        <f>T53*V53</f>
        <v>394510017.93008912</v>
      </c>
      <c r="X53"/>
      <c r="Y53" s="51" t="s">
        <v>582</v>
      </c>
      <c r="Z53">
        <f t="shared" ref="Z53:AK53" si="4">Z50*Z51</f>
        <v>16691.314000000002</v>
      </c>
      <c r="AA53">
        <f t="shared" si="4"/>
        <v>10497.541000000001</v>
      </c>
      <c r="AB53">
        <f t="shared" si="4"/>
        <v>-22829.199700000001</v>
      </c>
      <c r="AC53">
        <f t="shared" si="4"/>
        <v>16691.314000000002</v>
      </c>
      <c r="AD53">
        <f t="shared" si="4"/>
        <v>10497.541000000001</v>
      </c>
      <c r="AE53">
        <f t="shared" si="4"/>
        <v>-22829.199700000001</v>
      </c>
      <c r="AF53">
        <f t="shared" si="4"/>
        <v>16691.314000000002</v>
      </c>
      <c r="AG53">
        <f t="shared" si="4"/>
        <v>10497.541000000001</v>
      </c>
      <c r="AH53">
        <f t="shared" si="4"/>
        <v>-22829.199700000001</v>
      </c>
      <c r="AI53">
        <f t="shared" si="4"/>
        <v>16691.314000000002</v>
      </c>
      <c r="AJ53">
        <f t="shared" si="4"/>
        <v>10497.541000000001</v>
      </c>
      <c r="AK53">
        <f t="shared" si="4"/>
        <v>-22829.199700000001</v>
      </c>
      <c r="AL53"/>
      <c r="AM53"/>
      <c r="AN53"/>
      <c r="AO53"/>
      <c r="AP53"/>
      <c r="AQ53"/>
      <c r="AR53"/>
    </row>
    <row r="54" spans="1:44" ht="30" x14ac:dyDescent="0.15">
      <c r="A54" s="58" t="s">
        <v>540</v>
      </c>
      <c r="B54" s="37">
        <v>7.1400000000000005E-2</v>
      </c>
      <c r="C54" s="37">
        <v>-0.65939999999999999</v>
      </c>
      <c r="D54" s="37">
        <v>-0.5756</v>
      </c>
      <c r="E54" s="37">
        <v>9.7699999999999995E-2</v>
      </c>
      <c r="F54" s="37"/>
      <c r="G54" s="37"/>
      <c r="H54" s="37"/>
      <c r="I54" s="37"/>
      <c r="J54" s="37"/>
      <c r="K54" s="37"/>
      <c r="L54" s="37"/>
      <c r="M54" s="37"/>
      <c r="O54" s="51" t="s">
        <v>556</v>
      </c>
      <c r="P54" s="59">
        <v>269416962</v>
      </c>
      <c r="Q54" s="65">
        <v>4370653</v>
      </c>
      <c r="R54">
        <f>P54/Q54</f>
        <v>61.642267642844217</v>
      </c>
      <c r="S54" s="59">
        <v>1190213.8500000001</v>
      </c>
      <c r="T54" s="59">
        <v>790515.27</v>
      </c>
      <c r="U54" s="46">
        <v>1</v>
      </c>
      <c r="V54">
        <f>R54*(1-U54)</f>
        <v>0</v>
      </c>
      <c r="W54" s="59">
        <f>T54*V54</f>
        <v>0</v>
      </c>
      <c r="Y54" s="51" t="s">
        <v>580</v>
      </c>
      <c r="Z54" s="140">
        <f>(Z53+AA53+AB53)/Z52</f>
        <v>7.6072640109050753E-3</v>
      </c>
      <c r="AA54" s="140"/>
      <c r="AB54" s="140"/>
      <c r="AC54" s="140">
        <f>(AC53+AD53+AE53)/AC52</f>
        <v>7.6072640109050753E-3</v>
      </c>
      <c r="AD54" s="140"/>
      <c r="AE54" s="140"/>
      <c r="AF54" s="140">
        <f>(AF53+AG53+AH53)/AF52</f>
        <v>7.6072640109050753E-3</v>
      </c>
      <c r="AG54" s="140"/>
      <c r="AH54" s="140"/>
      <c r="AI54" s="140">
        <f>(AI53+AJ53+AK53)/AI52</f>
        <v>7.6072640109050753E-3</v>
      </c>
      <c r="AJ54" s="140"/>
      <c r="AK54" s="140"/>
    </row>
    <row r="55" spans="1:44" ht="23" customHeight="1" x14ac:dyDescent="0.15">
      <c r="A55" s="34" t="s">
        <v>450</v>
      </c>
      <c r="B55" s="37">
        <v>-7.85E-2</v>
      </c>
      <c r="C55" s="37">
        <v>-0.30370000000000003</v>
      </c>
      <c r="D55" s="37">
        <v>-0.31440000000000001</v>
      </c>
      <c r="E55" s="37">
        <v>9.7600000000000006E-2</v>
      </c>
      <c r="F55" s="37"/>
      <c r="G55" s="37"/>
      <c r="H55" s="37"/>
      <c r="I55" s="37"/>
      <c r="J55" s="37"/>
      <c r="K55" s="37"/>
      <c r="L55" s="37"/>
      <c r="M55" s="37"/>
      <c r="O55" s="51" t="s">
        <v>557</v>
      </c>
      <c r="P55" s="59">
        <f>+P54+P53+P52</f>
        <v>6858842632</v>
      </c>
      <c r="U55" s="46"/>
      <c r="W55" s="59">
        <f>W54+W53+W52</f>
        <v>1072640049.7588078</v>
      </c>
      <c r="Y55" s="51" t="s">
        <v>583</v>
      </c>
      <c r="Z55" s="143">
        <v>3639626871</v>
      </c>
      <c r="AA55" s="143"/>
      <c r="AB55" s="143"/>
      <c r="AC55" s="143">
        <v>3509535184</v>
      </c>
      <c r="AD55" s="143"/>
      <c r="AE55" s="143"/>
      <c r="AF55" s="143">
        <v>4415217290</v>
      </c>
      <c r="AG55" s="143"/>
      <c r="AH55" s="143"/>
      <c r="AI55" s="143">
        <v>3239137779</v>
      </c>
      <c r="AJ55" s="143"/>
      <c r="AK55" s="143"/>
    </row>
    <row r="56" spans="1:44" ht="30" x14ac:dyDescent="0.15">
      <c r="A56" s="34" t="s">
        <v>446</v>
      </c>
      <c r="B56" s="38">
        <f>(1+B54)*(1+B55)</f>
        <v>0.98729509999999987</v>
      </c>
      <c r="C56" s="37">
        <f>(1+C54)*(1+C55)</f>
        <v>0.23715977999999999</v>
      </c>
      <c r="D56" s="37">
        <f>(1+D54)*(1+D55)</f>
        <v>0.29096864</v>
      </c>
      <c r="E56" s="37">
        <f>(1+E54)*(1+E55)</f>
        <v>1.2048355199999998</v>
      </c>
      <c r="F56" s="37"/>
      <c r="G56" s="37"/>
      <c r="H56" s="37"/>
      <c r="I56" s="37"/>
      <c r="J56" s="37"/>
      <c r="K56" s="37"/>
      <c r="L56" s="37"/>
      <c r="M56" s="37"/>
      <c r="O56" s="144" t="s">
        <v>574</v>
      </c>
      <c r="P56" s="140"/>
      <c r="Q56" s="140"/>
      <c r="R56" s="140"/>
      <c r="S56" s="140"/>
      <c r="T56" s="140"/>
      <c r="U56" s="140"/>
      <c r="V56" s="140"/>
      <c r="W56" s="140"/>
      <c r="Y56" s="51" t="s">
        <v>584</v>
      </c>
      <c r="Z56" s="145">
        <v>0.98</v>
      </c>
      <c r="AA56" s="140"/>
      <c r="AB56" s="140"/>
      <c r="AC56" s="145">
        <v>0.98</v>
      </c>
      <c r="AD56" s="140"/>
      <c r="AE56" s="140"/>
      <c r="AF56" s="145">
        <v>0.98</v>
      </c>
      <c r="AG56" s="140"/>
      <c r="AH56" s="140"/>
      <c r="AI56" s="145">
        <v>0.98</v>
      </c>
      <c r="AJ56" s="140"/>
      <c r="AK56" s="140"/>
    </row>
    <row r="57" spans="1:44" ht="30" x14ac:dyDescent="0.15">
      <c r="O57" s="144" t="s">
        <v>553</v>
      </c>
      <c r="P57" s="144" t="s">
        <v>707</v>
      </c>
      <c r="Q57" s="140"/>
      <c r="R57" s="140"/>
      <c r="S57" s="144" t="s">
        <v>561</v>
      </c>
      <c r="T57" s="140"/>
      <c r="U57" s="140"/>
      <c r="V57" s="140"/>
      <c r="W57" s="140"/>
      <c r="Y57" s="51" t="s">
        <v>585</v>
      </c>
      <c r="Z57" s="140">
        <v>936222.65</v>
      </c>
      <c r="AA57" s="140"/>
      <c r="AB57" s="140"/>
      <c r="AC57" s="140">
        <f>1907199.66-Z57</f>
        <v>970977.00999999989</v>
      </c>
      <c r="AD57" s="140"/>
      <c r="AE57" s="140"/>
      <c r="AF57" s="140">
        <f>2956817.31-AC57-Z57</f>
        <v>1049617.6500000004</v>
      </c>
      <c r="AG57" s="140"/>
      <c r="AH57" s="140"/>
      <c r="AI57" s="140">
        <f>3969122.02-AF57-AC57-Z57</f>
        <v>1012304.7099999998</v>
      </c>
      <c r="AJ57" s="140"/>
      <c r="AK57" s="140"/>
    </row>
    <row r="58" spans="1:44" ht="30" x14ac:dyDescent="0.15">
      <c r="B58" s="140"/>
      <c r="C58" s="140"/>
      <c r="D58" s="140"/>
      <c r="E58" s="140"/>
      <c r="F58" s="140"/>
      <c r="G58" s="140"/>
      <c r="H58" s="140"/>
      <c r="I58" s="140"/>
      <c r="J58" s="140"/>
      <c r="K58" s="140"/>
      <c r="L58" s="140"/>
      <c r="M58" s="140"/>
      <c r="O58" s="144"/>
      <c r="P58" s="144" t="s">
        <v>558</v>
      </c>
      <c r="Q58" s="144" t="s">
        <v>559</v>
      </c>
      <c r="R58" s="146" t="s">
        <v>560</v>
      </c>
      <c r="S58" s="146" t="s">
        <v>562</v>
      </c>
      <c r="T58" s="146" t="s">
        <v>563</v>
      </c>
      <c r="U58" s="146" t="s">
        <v>564</v>
      </c>
      <c r="V58" s="146" t="s">
        <v>560</v>
      </c>
      <c r="W58" s="146" t="s">
        <v>565</v>
      </c>
      <c r="Y58" s="51" t="s">
        <v>581</v>
      </c>
      <c r="Z58" s="140">
        <f>Z55*Z56/Z57/10000</f>
        <v>0.3809814186379703</v>
      </c>
      <c r="AA58" s="140"/>
      <c r="AB58" s="140"/>
      <c r="AC58" s="140">
        <f>AC55*AC56/AC57/10000</f>
        <v>0.35421482124690062</v>
      </c>
      <c r="AD58" s="140"/>
      <c r="AE58" s="140"/>
      <c r="AF58" s="140">
        <f>AF55*AF56/AF57/10000</f>
        <v>0.4122370602476052</v>
      </c>
      <c r="AG58" s="140"/>
      <c r="AH58" s="140"/>
      <c r="AI58" s="140">
        <f>AI55*AI56/AI57/10000</f>
        <v>0.31357702795040837</v>
      </c>
      <c r="AJ58" s="140"/>
      <c r="AK58" s="140"/>
    </row>
    <row r="59" spans="1:44" s="34" customFormat="1" x14ac:dyDescent="0.15">
      <c r="A59"/>
      <c r="B59"/>
      <c r="C59"/>
      <c r="D59"/>
      <c r="E59"/>
      <c r="F59"/>
      <c r="G59"/>
      <c r="H59"/>
      <c r="I59"/>
      <c r="J59"/>
      <c r="K59"/>
      <c r="L59"/>
      <c r="M59"/>
      <c r="N59"/>
      <c r="O59" s="144"/>
      <c r="P59" s="144"/>
      <c r="Q59" s="144"/>
      <c r="R59" s="146"/>
      <c r="S59" s="146"/>
      <c r="T59" s="146"/>
      <c r="U59" s="146"/>
      <c r="V59" s="146"/>
      <c r="W59" s="146"/>
      <c r="X59"/>
      <c r="Y59" s="51" t="s">
        <v>586</v>
      </c>
      <c r="Z59" s="140">
        <f>Z58*(1+Z54)</f>
        <v>0.38387964487279846</v>
      </c>
      <c r="AA59" s="140"/>
      <c r="AB59" s="140"/>
      <c r="AC59" s="140">
        <f>AC58*(1+AC54)</f>
        <v>0.35690942690870137</v>
      </c>
      <c r="AD59" s="140"/>
      <c r="AE59" s="140"/>
      <c r="AF59" s="140">
        <f>AF58*(1+AF54)</f>
        <v>0.41537305639998812</v>
      </c>
      <c r="AG59" s="140"/>
      <c r="AH59" s="140"/>
      <c r="AI59" s="140">
        <f>AI58*(1+AI54)</f>
        <v>0.31596249118978209</v>
      </c>
      <c r="AJ59" s="140"/>
      <c r="AK59" s="140"/>
      <c r="AL59"/>
      <c r="AM59"/>
      <c r="AN59"/>
      <c r="AO59"/>
      <c r="AP59"/>
      <c r="AQ59"/>
      <c r="AR59"/>
    </row>
    <row r="60" spans="1:44" x14ac:dyDescent="0.15">
      <c r="O60" s="50" t="s">
        <v>566</v>
      </c>
      <c r="P60" s="59">
        <v>2481778680</v>
      </c>
      <c r="Q60" s="65">
        <v>4370653</v>
      </c>
      <c r="R60">
        <f t="shared" ref="R60:R66" si="5">P60/Q60</f>
        <v>567.82789207928431</v>
      </c>
      <c r="S60" s="59">
        <v>1190213.8500000001</v>
      </c>
      <c r="T60" s="65">
        <v>790515.27</v>
      </c>
      <c r="U60" s="46">
        <v>0.1</v>
      </c>
      <c r="V60">
        <f t="shared" ref="V60:V66" si="6">R60*(1-U60)</f>
        <v>511.04510287135588</v>
      </c>
      <c r="W60" s="59">
        <f t="shared" ref="W60:W66" si="7">S60*V60*(1-U60)</f>
        <v>547427663.47094631</v>
      </c>
      <c r="Y60" s="51" t="s">
        <v>587</v>
      </c>
      <c r="Z60" s="143">
        <f>Z52*Z59*10000</f>
        <v>2199980079.4776149</v>
      </c>
      <c r="AA60" s="143"/>
      <c r="AB60" s="143"/>
      <c r="AC60" s="143">
        <f>AC52*AC59*10000</f>
        <v>2045416160.674773</v>
      </c>
      <c r="AD60" s="143"/>
      <c r="AE60" s="143"/>
      <c r="AF60" s="143">
        <f>AF52*AF59*10000</f>
        <v>2380466018.0263128</v>
      </c>
      <c r="AG60" s="143"/>
      <c r="AH60" s="143"/>
      <c r="AI60" s="143">
        <f>AI52*AI59*10000</f>
        <v>1810752916.3469255</v>
      </c>
      <c r="AJ60" s="143"/>
      <c r="AK60" s="143"/>
    </row>
    <row r="61" spans="1:44" ht="15" customHeight="1" x14ac:dyDescent="0.2">
      <c r="O61" s="54" t="s">
        <v>737</v>
      </c>
      <c r="P61" s="59">
        <v>1137681717</v>
      </c>
      <c r="Q61" s="65">
        <v>4370653</v>
      </c>
      <c r="R61">
        <f t="shared" si="5"/>
        <v>260.3001695627633</v>
      </c>
      <c r="S61" s="59">
        <v>1190213.8500000001</v>
      </c>
      <c r="T61" s="65">
        <v>790515.27</v>
      </c>
      <c r="U61" s="46">
        <v>0</v>
      </c>
      <c r="V61">
        <f t="shared" si="6"/>
        <v>260.3001695627633</v>
      </c>
      <c r="W61" s="59">
        <f t="shared" si="7"/>
        <v>309812866.97094935</v>
      </c>
      <c r="Y61" s="48" t="s">
        <v>588</v>
      </c>
      <c r="Z61" s="140"/>
      <c r="AA61" s="140"/>
      <c r="AB61" s="140"/>
      <c r="AC61" s="140"/>
      <c r="AD61" s="140"/>
      <c r="AE61" s="140"/>
      <c r="AF61" s="140"/>
      <c r="AG61" s="140"/>
      <c r="AH61" s="140"/>
      <c r="AI61" s="140"/>
      <c r="AJ61" s="140"/>
      <c r="AK61" s="140"/>
    </row>
    <row r="62" spans="1:44" x14ac:dyDescent="0.15">
      <c r="O62" s="47" t="s">
        <v>567</v>
      </c>
      <c r="P62" s="59">
        <v>940263808</v>
      </c>
      <c r="Q62" s="65">
        <v>4370653</v>
      </c>
      <c r="R62">
        <f t="shared" si="5"/>
        <v>215.13119618510095</v>
      </c>
      <c r="S62" s="59">
        <v>1190213.8500000001</v>
      </c>
      <c r="T62" s="65">
        <v>790515.27</v>
      </c>
      <c r="U62" s="46">
        <v>0</v>
      </c>
      <c r="V62">
        <f t="shared" si="6"/>
        <v>215.13119618510095</v>
      </c>
      <c r="W62" s="59">
        <f t="shared" si="7"/>
        <v>256052129.26657432</v>
      </c>
      <c r="Y62" s="51" t="s">
        <v>589</v>
      </c>
      <c r="Z62" s="143"/>
      <c r="AA62" s="143"/>
      <c r="AB62" s="143"/>
      <c r="AC62" s="143"/>
      <c r="AD62" s="143"/>
      <c r="AE62" s="143"/>
      <c r="AF62" s="143"/>
      <c r="AG62" s="143"/>
      <c r="AH62" s="143"/>
      <c r="AI62" s="143"/>
      <c r="AJ62" s="143"/>
      <c r="AK62" s="143"/>
    </row>
    <row r="63" spans="1:44" x14ac:dyDescent="0.15">
      <c r="O63" s="50" t="s">
        <v>706</v>
      </c>
      <c r="P63" s="59">
        <v>609537539</v>
      </c>
      <c r="Q63" s="65">
        <v>4370653</v>
      </c>
      <c r="R63">
        <f t="shared" si="5"/>
        <v>139.46143493889815</v>
      </c>
      <c r="S63" s="59">
        <v>1190213.8500000001</v>
      </c>
      <c r="T63" s="65">
        <v>790515.27</v>
      </c>
      <c r="U63" s="46">
        <v>0</v>
      </c>
      <c r="V63">
        <f t="shared" si="6"/>
        <v>139.46143493889815</v>
      </c>
      <c r="W63" s="59">
        <f t="shared" si="7"/>
        <v>165988931.4051505</v>
      </c>
      <c r="Y63" s="51" t="s">
        <v>590</v>
      </c>
      <c r="Z63" s="143">
        <v>50000000</v>
      </c>
      <c r="AA63" s="143"/>
      <c r="AB63" s="143"/>
      <c r="AC63" s="143">
        <v>50000000</v>
      </c>
      <c r="AD63" s="143"/>
      <c r="AE63" s="143"/>
      <c r="AF63" s="143">
        <v>50000000</v>
      </c>
      <c r="AG63" s="143"/>
      <c r="AH63" s="143"/>
      <c r="AI63" s="143">
        <v>50000000</v>
      </c>
      <c r="AJ63" s="143"/>
      <c r="AK63" s="143"/>
    </row>
    <row r="64" spans="1:44" s="34" customFormat="1" x14ac:dyDescent="0.15">
      <c r="A64"/>
      <c r="B64"/>
      <c r="C64"/>
      <c r="D64"/>
      <c r="E64"/>
      <c r="F64"/>
      <c r="G64"/>
      <c r="H64"/>
      <c r="I64"/>
      <c r="J64"/>
      <c r="K64"/>
      <c r="L64"/>
      <c r="M64"/>
      <c r="N64"/>
      <c r="O64" s="51" t="s">
        <v>569</v>
      </c>
      <c r="P64" s="59">
        <v>195510945</v>
      </c>
      <c r="Q64" s="65">
        <v>4370653</v>
      </c>
      <c r="R64">
        <f t="shared" si="5"/>
        <v>44.732662373334144</v>
      </c>
      <c r="S64" s="59">
        <v>1190213.8500000001</v>
      </c>
      <c r="T64" s="65">
        <v>790515.27</v>
      </c>
      <c r="U64" s="46">
        <v>0</v>
      </c>
      <c r="V64">
        <f t="shared" si="6"/>
        <v>44.732662373334144</v>
      </c>
      <c r="W64" s="59">
        <f t="shared" si="7"/>
        <v>53241434.304116175</v>
      </c>
      <c r="X64"/>
      <c r="Y64" s="51" t="s">
        <v>591</v>
      </c>
      <c r="Z64" s="143">
        <f>Z60*1.5%</f>
        <v>32999701.192164224</v>
      </c>
      <c r="AA64" s="143"/>
      <c r="AB64" s="143"/>
      <c r="AC64" s="143">
        <f>AC60*5%</f>
        <v>102270808.03373866</v>
      </c>
      <c r="AD64" s="143"/>
      <c r="AE64" s="143"/>
      <c r="AF64" s="143">
        <f>AF60*5%</f>
        <v>119023300.90131564</v>
      </c>
      <c r="AG64" s="143"/>
      <c r="AH64" s="143"/>
      <c r="AI64" s="143">
        <f>AI60*5%</f>
        <v>90537645.817346275</v>
      </c>
      <c r="AJ64" s="143"/>
      <c r="AK64" s="143"/>
      <c r="AL64"/>
      <c r="AM64"/>
      <c r="AN64"/>
      <c r="AO64"/>
      <c r="AP64"/>
      <c r="AQ64"/>
      <c r="AR64"/>
    </row>
    <row r="65" spans="15:37" ht="30" x14ac:dyDescent="0.15">
      <c r="O65" s="51" t="s">
        <v>709</v>
      </c>
      <c r="P65" s="59">
        <v>830064543</v>
      </c>
      <c r="Q65" s="65">
        <v>4370653</v>
      </c>
      <c r="R65">
        <f t="shared" si="5"/>
        <v>189.91774066712685</v>
      </c>
      <c r="S65" s="59">
        <v>1190213.8500000001</v>
      </c>
      <c r="T65" s="65">
        <v>790515.27</v>
      </c>
      <c r="U65" s="46">
        <v>0</v>
      </c>
      <c r="V65">
        <f t="shared" si="6"/>
        <v>189.91774066712685</v>
      </c>
      <c r="W65" s="59">
        <f t="shared" si="7"/>
        <v>226042725.30272263</v>
      </c>
      <c r="Y65" s="51" t="s">
        <v>592</v>
      </c>
      <c r="Z65" s="143">
        <v>144895286.294337</v>
      </c>
      <c r="AA65" s="143"/>
      <c r="AB65" s="143"/>
      <c r="AC65" s="143"/>
      <c r="AD65" s="143"/>
      <c r="AE65" s="143"/>
      <c r="AF65" s="143"/>
      <c r="AG65" s="143"/>
      <c r="AH65" s="143"/>
      <c r="AI65" s="143"/>
      <c r="AJ65" s="143"/>
      <c r="AK65" s="143"/>
    </row>
    <row r="66" spans="15:37" ht="30" x14ac:dyDescent="0.15">
      <c r="O66" s="47" t="s">
        <v>568</v>
      </c>
      <c r="P66" s="59">
        <v>121243024</v>
      </c>
      <c r="Q66" s="65">
        <v>4370653</v>
      </c>
      <c r="R66">
        <f t="shared" si="5"/>
        <v>27.740253916291227</v>
      </c>
      <c r="S66" s="59">
        <v>1190213.8500000001</v>
      </c>
      <c r="T66" s="65">
        <v>790515.27</v>
      </c>
      <c r="U66" s="46">
        <v>0</v>
      </c>
      <c r="V66">
        <f t="shared" si="6"/>
        <v>27.740253916291227</v>
      </c>
      <c r="W66" s="59">
        <f t="shared" si="7"/>
        <v>33016834.413686562</v>
      </c>
      <c r="Y66" s="51" t="s">
        <v>593</v>
      </c>
      <c r="Z66" s="143">
        <v>80000000</v>
      </c>
      <c r="AA66" s="143"/>
      <c r="AB66" s="143"/>
      <c r="AC66" s="143">
        <v>80000000</v>
      </c>
      <c r="AD66" s="143"/>
      <c r="AE66" s="143"/>
      <c r="AF66" s="143">
        <v>80000000</v>
      </c>
      <c r="AG66" s="143"/>
      <c r="AH66" s="143"/>
      <c r="AI66" s="143">
        <v>80000000</v>
      </c>
      <c r="AJ66" s="143"/>
      <c r="AK66" s="143"/>
    </row>
    <row r="67" spans="15:37" x14ac:dyDescent="0.15">
      <c r="O67" s="51" t="s">
        <v>570</v>
      </c>
      <c r="P67" s="59">
        <f>P60+P61+P62+P63+P64+P65+P66</f>
        <v>6316080256</v>
      </c>
      <c r="U67" s="46"/>
      <c r="W67" s="59">
        <f>W66+W65+W64+W63+W62+W61+W60</f>
        <v>1591582585.134146</v>
      </c>
    </row>
    <row r="68" spans="15:37" x14ac:dyDescent="0.15">
      <c r="O68" s="144" t="s">
        <v>575</v>
      </c>
      <c r="P68" s="140"/>
      <c r="Q68" s="140"/>
      <c r="R68" s="140"/>
      <c r="S68" s="140"/>
      <c r="T68" s="140"/>
      <c r="U68" s="140"/>
      <c r="V68" s="140"/>
      <c r="W68" s="140"/>
      <c r="X68" s="10"/>
      <c r="Y68" s="144" t="s">
        <v>594</v>
      </c>
      <c r="Z68" s="140"/>
      <c r="AA68" s="140"/>
      <c r="AB68" s="140"/>
      <c r="AC68" s="140"/>
      <c r="AD68" s="140"/>
      <c r="AE68" s="140"/>
      <c r="AF68" s="140"/>
      <c r="AG68" s="140"/>
    </row>
    <row r="69" spans="15:37" ht="30" x14ac:dyDescent="0.15">
      <c r="O69" s="144" t="s">
        <v>553</v>
      </c>
      <c r="P69" s="144" t="s">
        <v>708</v>
      </c>
      <c r="Q69" s="140"/>
      <c r="R69" s="140"/>
      <c r="S69" s="144" t="s">
        <v>561</v>
      </c>
      <c r="T69" s="140"/>
      <c r="U69" s="140"/>
      <c r="V69" s="140"/>
      <c r="W69" s="140"/>
      <c r="X69" s="73" t="s">
        <v>756</v>
      </c>
      <c r="Y69" s="51" t="s">
        <v>587</v>
      </c>
      <c r="Z69" s="142">
        <f>Z60</f>
        <v>2199980079.4776149</v>
      </c>
      <c r="AA69" s="122"/>
      <c r="AB69" s="122"/>
    </row>
    <row r="70" spans="15:37" ht="17" x14ac:dyDescent="0.25">
      <c r="O70" s="144"/>
      <c r="P70" s="144" t="s">
        <v>558</v>
      </c>
      <c r="Q70" s="144" t="s">
        <v>559</v>
      </c>
      <c r="R70" s="146" t="s">
        <v>560</v>
      </c>
      <c r="S70" s="146" t="s">
        <v>562</v>
      </c>
      <c r="T70" s="146" t="s">
        <v>563</v>
      </c>
      <c r="U70" s="146" t="s">
        <v>564</v>
      </c>
      <c r="V70" s="146" t="s">
        <v>560</v>
      </c>
      <c r="W70" s="146" t="s">
        <v>565</v>
      </c>
      <c r="X70" s="76">
        <v>2383997106</v>
      </c>
      <c r="Y70" s="51" t="s">
        <v>590</v>
      </c>
      <c r="Z70" s="142">
        <f>Z63</f>
        <v>50000000</v>
      </c>
      <c r="AA70" s="122"/>
      <c r="AB70" s="122"/>
    </row>
    <row r="71" spans="15:37" ht="15" customHeight="1" x14ac:dyDescent="0.15">
      <c r="O71" s="144"/>
      <c r="P71" s="144"/>
      <c r="Q71" s="144"/>
      <c r="R71" s="146"/>
      <c r="S71" s="146"/>
      <c r="T71" s="146"/>
      <c r="U71" s="146"/>
      <c r="V71" s="146"/>
      <c r="W71" s="146"/>
      <c r="X71" s="73" t="s">
        <v>757</v>
      </c>
      <c r="Y71" s="51" t="s">
        <v>591</v>
      </c>
      <c r="Z71" s="142">
        <f>Z64</f>
        <v>32999701.192164224</v>
      </c>
      <c r="AA71" s="122"/>
      <c r="AB71" s="122"/>
    </row>
    <row r="72" spans="15:37" ht="32" x14ac:dyDescent="0.25">
      <c r="O72" s="51" t="s">
        <v>557</v>
      </c>
      <c r="P72" s="59">
        <f>P55</f>
        <v>6858842632</v>
      </c>
      <c r="U72" s="46"/>
      <c r="W72" s="59">
        <f>W55</f>
        <v>1072640049.7588078</v>
      </c>
      <c r="X72" s="76">
        <v>-227327350</v>
      </c>
      <c r="Y72" s="51" t="s">
        <v>592</v>
      </c>
      <c r="Z72" s="142">
        <f>Z65</f>
        <v>144895286.294337</v>
      </c>
      <c r="AA72" s="122"/>
      <c r="AB72" s="122"/>
    </row>
    <row r="73" spans="15:37" ht="30" x14ac:dyDescent="0.15">
      <c r="O73" s="51" t="s">
        <v>570</v>
      </c>
      <c r="P73" s="59">
        <f>P67</f>
        <v>6316080256</v>
      </c>
      <c r="U73" s="46"/>
      <c r="W73" s="59">
        <f>W67</f>
        <v>1591582585.134146</v>
      </c>
      <c r="X73" s="73" t="s">
        <v>755</v>
      </c>
      <c r="Y73" s="51" t="s">
        <v>593</v>
      </c>
      <c r="Z73" s="142">
        <f>Z66</f>
        <v>80000000</v>
      </c>
      <c r="AA73" s="122"/>
      <c r="AB73" s="122"/>
    </row>
    <row r="74" spans="15:37" ht="30" x14ac:dyDescent="0.15">
      <c r="O74" s="51" t="s">
        <v>571</v>
      </c>
      <c r="P74" s="59">
        <f>P73+P72</f>
        <v>13174922888</v>
      </c>
      <c r="U74" s="46"/>
      <c r="W74" s="59">
        <f>W72+W73</f>
        <v>2664222634.8929539</v>
      </c>
      <c r="X74" s="67">
        <f>X70-X72</f>
        <v>2611324456</v>
      </c>
      <c r="Y74" s="51" t="s">
        <v>595</v>
      </c>
      <c r="Z74" s="142">
        <f>SUM(Z69:Z73)</f>
        <v>2507875066.9641161</v>
      </c>
      <c r="AA74" s="122"/>
      <c r="AB74" s="122"/>
    </row>
    <row r="75" spans="15:37" x14ac:dyDescent="0.15">
      <c r="X75" s="59"/>
    </row>
    <row r="76" spans="15:37" ht="26" x14ac:dyDescent="0.15">
      <c r="O76" s="151" t="s">
        <v>449</v>
      </c>
      <c r="P76" s="151"/>
      <c r="Q76" s="151"/>
      <c r="R76" s="151"/>
      <c r="S76" s="151"/>
      <c r="T76" s="151"/>
      <c r="U76" s="151"/>
      <c r="V76" s="151"/>
      <c r="W76" s="151"/>
      <c r="Y76" s="144" t="s">
        <v>596</v>
      </c>
      <c r="Z76" s="140"/>
      <c r="AA76" s="140"/>
      <c r="AB76" s="140"/>
      <c r="AC76" s="140"/>
      <c r="AD76" s="140"/>
      <c r="AE76" s="140"/>
      <c r="AF76" s="140"/>
      <c r="AG76" s="140"/>
    </row>
    <row r="77" spans="15:37" ht="15" customHeight="1" x14ac:dyDescent="0.15">
      <c r="O77" s="144" t="s">
        <v>743</v>
      </c>
      <c r="P77" s="140"/>
      <c r="Q77" s="140"/>
      <c r="R77" s="140"/>
      <c r="S77" s="140"/>
      <c r="T77" s="140"/>
      <c r="U77" s="140"/>
      <c r="V77" s="140"/>
      <c r="W77" s="140"/>
      <c r="Y77" s="51" t="s">
        <v>597</v>
      </c>
      <c r="Z77" s="142">
        <f>Z74</f>
        <v>2507875066.9641161</v>
      </c>
      <c r="AA77" s="122"/>
      <c r="AB77" s="122"/>
    </row>
    <row r="78" spans="15:37" x14ac:dyDescent="0.15">
      <c r="O78" s="56"/>
      <c r="P78" s="144" t="s">
        <v>707</v>
      </c>
      <c r="Q78" s="140"/>
      <c r="R78" s="140"/>
      <c r="S78" s="133"/>
      <c r="T78" s="133"/>
      <c r="U78" s="133"/>
      <c r="V78" s="133"/>
      <c r="W78" s="133"/>
      <c r="Y78" s="51" t="s">
        <v>598</v>
      </c>
      <c r="Z78" s="142">
        <f>W74</f>
        <v>2664222634.8929539</v>
      </c>
      <c r="AA78" s="122"/>
      <c r="AB78" s="122"/>
    </row>
    <row r="79" spans="15:37" ht="16" x14ac:dyDescent="0.2">
      <c r="O79" s="56" t="s">
        <v>553</v>
      </c>
      <c r="P79" s="56" t="s">
        <v>744</v>
      </c>
      <c r="Q79" s="56" t="s">
        <v>753</v>
      </c>
      <c r="R79" s="64" t="s">
        <v>745</v>
      </c>
      <c r="S79" s="56" t="s">
        <v>450</v>
      </c>
      <c r="T79" s="144" t="s">
        <v>746</v>
      </c>
      <c r="U79" s="133"/>
      <c r="V79" s="66" t="s">
        <v>751</v>
      </c>
      <c r="W79" s="66" t="s">
        <v>752</v>
      </c>
      <c r="Y79" s="51" t="s">
        <v>596</v>
      </c>
      <c r="Z79" s="142">
        <f>Z77-Z78</f>
        <v>-156347567.92883778</v>
      </c>
      <c r="AA79" s="122"/>
      <c r="AB79" s="122"/>
    </row>
    <row r="80" spans="15:37" x14ac:dyDescent="0.15">
      <c r="P80" t="s">
        <v>747</v>
      </c>
      <c r="Q80" s="65">
        <v>43706.53</v>
      </c>
      <c r="R80" s="62">
        <v>0.36199999999999999</v>
      </c>
      <c r="S80" s="37">
        <v>0.90800000000000003</v>
      </c>
      <c r="T80" s="152">
        <v>3969122</v>
      </c>
      <c r="U80" s="122"/>
      <c r="V80" t="s">
        <v>749</v>
      </c>
      <c r="W80">
        <v>0.3</v>
      </c>
    </row>
    <row r="81" spans="15:23" x14ac:dyDescent="0.15">
      <c r="P81" t="s">
        <v>748</v>
      </c>
      <c r="V81" t="s">
        <v>750</v>
      </c>
    </row>
    <row r="82" spans="15:23" x14ac:dyDescent="0.15">
      <c r="P82" s="61"/>
    </row>
    <row r="83" spans="15:23" x14ac:dyDescent="0.15">
      <c r="P83" s="77"/>
    </row>
    <row r="84" spans="15:23" ht="26" x14ac:dyDescent="0.15">
      <c r="O84" s="151" t="s">
        <v>449</v>
      </c>
      <c r="P84" s="151"/>
      <c r="Q84" s="151"/>
      <c r="R84" s="151"/>
      <c r="S84" s="151"/>
      <c r="T84" s="151"/>
      <c r="U84" s="151"/>
      <c r="V84" s="151"/>
      <c r="W84" s="151"/>
    </row>
    <row r="85" spans="15:23" x14ac:dyDescent="0.15">
      <c r="O85" s="144" t="s">
        <v>785</v>
      </c>
      <c r="P85" s="140"/>
      <c r="Q85" s="140"/>
      <c r="R85" s="140"/>
      <c r="S85" s="140"/>
      <c r="T85" s="140"/>
      <c r="U85" s="140"/>
      <c r="V85" s="140"/>
      <c r="W85" s="140"/>
    </row>
    <row r="86" spans="15:23" x14ac:dyDescent="0.15">
      <c r="O86" s="70"/>
      <c r="P86" s="144"/>
      <c r="Q86" s="140"/>
      <c r="R86" s="140"/>
      <c r="S86" s="133"/>
      <c r="T86" s="133"/>
      <c r="U86" s="133"/>
      <c r="V86" s="133"/>
      <c r="W86" s="133"/>
    </row>
    <row r="87" spans="15:23" x14ac:dyDescent="0.15">
      <c r="O87" s="70" t="s">
        <v>553</v>
      </c>
      <c r="P87" s="70"/>
      <c r="Q87" s="70"/>
      <c r="R87" s="70" t="s">
        <v>553</v>
      </c>
      <c r="S87" s="70"/>
      <c r="T87" s="70"/>
      <c r="U87" s="70"/>
      <c r="V87" s="70"/>
      <c r="W87" s="70"/>
    </row>
    <row r="88" spans="15:23" x14ac:dyDescent="0.15">
      <c r="O88" s="70" t="s">
        <v>786</v>
      </c>
      <c r="P88" s="65">
        <v>790515.27</v>
      </c>
      <c r="R88" s="70" t="s">
        <v>822</v>
      </c>
      <c r="S88" s="37">
        <f>S108/S99</f>
        <v>0.51266517990879734</v>
      </c>
    </row>
    <row r="89" spans="15:23" x14ac:dyDescent="0.15">
      <c r="O89" s="70" t="s">
        <v>787</v>
      </c>
      <c r="P89" s="65">
        <v>573091.1</v>
      </c>
      <c r="R89" s="70" t="s">
        <v>804</v>
      </c>
      <c r="S89" s="37">
        <f>S94/S103</f>
        <v>1.0972733971997053</v>
      </c>
      <c r="T89" s="65"/>
      <c r="W89" s="60"/>
    </row>
    <row r="90" spans="15:23" ht="45" x14ac:dyDescent="0.15">
      <c r="O90" s="64" t="s">
        <v>788</v>
      </c>
      <c r="P90" s="65">
        <v>2384</v>
      </c>
      <c r="R90" s="84" t="s">
        <v>805</v>
      </c>
      <c r="S90">
        <f>(S94-S92-S93)/S103</f>
        <v>0.97389198863038218</v>
      </c>
      <c r="W90" s="60"/>
    </row>
    <row r="91" spans="15:23" ht="16" x14ac:dyDescent="0.2">
      <c r="O91" s="70" t="s">
        <v>789</v>
      </c>
      <c r="P91" s="79">
        <v>-34.5</v>
      </c>
      <c r="R91" s="70" t="s">
        <v>821</v>
      </c>
      <c r="S91" s="65">
        <v>8315</v>
      </c>
      <c r="W91" s="60"/>
    </row>
    <row r="92" spans="15:23" x14ac:dyDescent="0.15">
      <c r="O92" s="70" t="s">
        <v>790</v>
      </c>
      <c r="P92" s="65">
        <v>2693</v>
      </c>
      <c r="Q92" s="69"/>
      <c r="R92" s="70" t="s">
        <v>823</v>
      </c>
      <c r="S92" s="65">
        <v>177</v>
      </c>
      <c r="W92" s="60"/>
    </row>
    <row r="93" spans="15:23" ht="16" x14ac:dyDescent="0.2">
      <c r="O93" s="66" t="s">
        <v>791</v>
      </c>
      <c r="P93" s="80">
        <v>-10.59</v>
      </c>
      <c r="R93" s="70" t="s">
        <v>824</v>
      </c>
      <c r="S93" s="65">
        <v>995</v>
      </c>
      <c r="W93" s="60"/>
    </row>
    <row r="94" spans="15:23" ht="16" x14ac:dyDescent="0.2">
      <c r="O94" s="66" t="s">
        <v>792</v>
      </c>
      <c r="P94" s="65">
        <v>136</v>
      </c>
      <c r="R94" s="70" t="s">
        <v>806</v>
      </c>
      <c r="S94" s="65">
        <v>10423</v>
      </c>
      <c r="W94" s="60"/>
    </row>
    <row r="95" spans="15:23" ht="16" x14ac:dyDescent="0.2">
      <c r="O95" s="66" t="s">
        <v>791</v>
      </c>
      <c r="P95">
        <v>-28.04</v>
      </c>
      <c r="R95" s="70" t="s">
        <v>807</v>
      </c>
      <c r="S95" s="65">
        <v>12064</v>
      </c>
      <c r="W95" s="60"/>
    </row>
    <row r="96" spans="15:23" ht="16" x14ac:dyDescent="0.2">
      <c r="O96" s="81" t="s">
        <v>793</v>
      </c>
      <c r="P96" s="82">
        <f>P90/P89*100</f>
        <v>0.41598970914048394</v>
      </c>
      <c r="R96" s="70" t="s">
        <v>808</v>
      </c>
      <c r="S96" s="65">
        <v>5150</v>
      </c>
      <c r="W96" s="60"/>
    </row>
    <row r="97" spans="15:24" ht="16" x14ac:dyDescent="0.2">
      <c r="O97" s="66" t="s">
        <v>791</v>
      </c>
      <c r="P97">
        <v>6.99</v>
      </c>
      <c r="R97" s="70" t="s">
        <v>809</v>
      </c>
      <c r="S97" s="65"/>
      <c r="W97" s="60"/>
    </row>
    <row r="98" spans="15:24" ht="16" x14ac:dyDescent="0.2">
      <c r="O98" s="81" t="s">
        <v>794</v>
      </c>
      <c r="P98" s="83">
        <f>(P90+P94)/P89*100</f>
        <v>0.43972066570218943</v>
      </c>
      <c r="Q98" s="83"/>
      <c r="R98" s="70" t="s">
        <v>810</v>
      </c>
      <c r="S98" s="65">
        <v>19620</v>
      </c>
      <c r="W98" s="60"/>
    </row>
    <row r="99" spans="15:24" ht="16" x14ac:dyDescent="0.2">
      <c r="O99" s="81" t="s">
        <v>795</v>
      </c>
      <c r="P99" s="83">
        <f>P92/P89*100</f>
        <v>0.4699078383873001</v>
      </c>
      <c r="Q99" s="83"/>
      <c r="R99" s="70" t="s">
        <v>811</v>
      </c>
      <c r="S99" s="65">
        <f>S94+S98</f>
        <v>30043</v>
      </c>
      <c r="W99" s="60"/>
    </row>
    <row r="100" spans="15:24" ht="16" x14ac:dyDescent="0.2">
      <c r="O100" s="81" t="s">
        <v>796</v>
      </c>
      <c r="P100" s="82">
        <f>P90/P88*100</f>
        <v>0.30157545217311232</v>
      </c>
      <c r="R100" s="70" t="s">
        <v>812</v>
      </c>
      <c r="S100" s="65">
        <v>4499</v>
      </c>
      <c r="W100" s="60"/>
    </row>
    <row r="101" spans="15:24" ht="30" x14ac:dyDescent="0.2">
      <c r="O101" s="81" t="s">
        <v>797</v>
      </c>
      <c r="P101" s="82">
        <f>P92/P88*100</f>
        <v>0.34066388116702667</v>
      </c>
      <c r="R101" s="84" t="s">
        <v>813</v>
      </c>
      <c r="S101" s="65">
        <v>2268</v>
      </c>
      <c r="W101" s="60"/>
    </row>
    <row r="102" spans="15:24" ht="16" x14ac:dyDescent="0.2">
      <c r="O102" s="66" t="s">
        <v>791</v>
      </c>
      <c r="P102" s="82">
        <f>(P101-0.296)/0.296*100</f>
        <v>15.089149042914421</v>
      </c>
      <c r="R102" s="70" t="s">
        <v>814</v>
      </c>
      <c r="S102" s="65">
        <v>599</v>
      </c>
      <c r="W102" s="60"/>
    </row>
    <row r="103" spans="15:24" ht="16" x14ac:dyDescent="0.2">
      <c r="O103" s="81" t="s">
        <v>798</v>
      </c>
      <c r="P103" s="71">
        <v>52</v>
      </c>
      <c r="Q103" s="71"/>
      <c r="R103" s="70" t="s">
        <v>815</v>
      </c>
      <c r="S103" s="65">
        <v>9499</v>
      </c>
      <c r="W103" s="60"/>
      <c r="X103" s="60"/>
    </row>
    <row r="104" spans="15:24" ht="16" x14ac:dyDescent="0.2">
      <c r="O104" s="66" t="s">
        <v>791</v>
      </c>
      <c r="P104">
        <v>-1.89</v>
      </c>
      <c r="R104" s="70" t="s">
        <v>816</v>
      </c>
      <c r="S104" s="65">
        <v>4444</v>
      </c>
      <c r="X104" s="60"/>
    </row>
    <row r="105" spans="15:24" ht="16" x14ac:dyDescent="0.2">
      <c r="O105" s="81" t="s">
        <v>799</v>
      </c>
      <c r="P105" s="71">
        <v>31</v>
      </c>
      <c r="Q105" s="71"/>
      <c r="R105" s="70" t="s">
        <v>817</v>
      </c>
      <c r="S105" s="65">
        <v>192</v>
      </c>
      <c r="X105" s="60"/>
    </row>
    <row r="106" spans="15:24" ht="16" x14ac:dyDescent="0.2">
      <c r="O106" s="81" t="s">
        <v>791</v>
      </c>
      <c r="P106">
        <v>-34.5</v>
      </c>
      <c r="R106" s="70" t="s">
        <v>818</v>
      </c>
      <c r="X106" s="60"/>
    </row>
    <row r="107" spans="15:24" ht="16" x14ac:dyDescent="0.2">
      <c r="O107" s="81" t="s">
        <v>800</v>
      </c>
      <c r="P107" s="71">
        <v>32</v>
      </c>
      <c r="Q107" s="71"/>
      <c r="R107" s="70" t="s">
        <v>819</v>
      </c>
      <c r="S107" s="65">
        <v>5903</v>
      </c>
      <c r="X107" s="60"/>
    </row>
    <row r="108" spans="15:24" ht="16" x14ac:dyDescent="0.2">
      <c r="O108" s="66" t="s">
        <v>791</v>
      </c>
      <c r="P108">
        <v>32</v>
      </c>
      <c r="R108" s="70" t="s">
        <v>820</v>
      </c>
      <c r="S108" s="65">
        <v>15402</v>
      </c>
      <c r="X108" s="60"/>
    </row>
    <row r="109" spans="15:24" ht="16" x14ac:dyDescent="0.2">
      <c r="O109" s="81" t="s">
        <v>801</v>
      </c>
      <c r="P109" s="71">
        <v>17</v>
      </c>
      <c r="Q109" s="71"/>
      <c r="X109" s="60"/>
    </row>
    <row r="110" spans="15:24" ht="16" x14ac:dyDescent="0.2">
      <c r="O110" s="66" t="s">
        <v>791</v>
      </c>
      <c r="P110">
        <v>-52.14</v>
      </c>
      <c r="X110" s="60"/>
    </row>
    <row r="111" spans="15:24" ht="16" x14ac:dyDescent="0.2">
      <c r="O111" s="81" t="s">
        <v>802</v>
      </c>
      <c r="P111" s="65">
        <v>-300</v>
      </c>
      <c r="Q111" s="71"/>
      <c r="X111" s="60"/>
    </row>
    <row r="112" spans="15:24" ht="16" x14ac:dyDescent="0.2">
      <c r="O112" s="81" t="s">
        <v>803</v>
      </c>
      <c r="P112" s="65">
        <v>-228</v>
      </c>
      <c r="Q112" s="71"/>
      <c r="X112" s="60"/>
    </row>
    <row r="113" spans="24:24" x14ac:dyDescent="0.15">
      <c r="X113" s="60"/>
    </row>
    <row r="114" spans="24:24" x14ac:dyDescent="0.15">
      <c r="X114" s="60"/>
    </row>
    <row r="115" spans="24:24" x14ac:dyDescent="0.15">
      <c r="X115" s="60"/>
    </row>
    <row r="116" spans="24:24" x14ac:dyDescent="0.15">
      <c r="X116" s="60"/>
    </row>
  </sheetData>
  <mergeCells count="146">
    <mergeCell ref="O84:W84"/>
    <mergeCell ref="O85:W85"/>
    <mergeCell ref="P86:W86"/>
    <mergeCell ref="O77:W77"/>
    <mergeCell ref="P78:W78"/>
    <mergeCell ref="T79:U79"/>
    <mergeCell ref="T80:U80"/>
    <mergeCell ref="O46:W46"/>
    <mergeCell ref="Y46:AG46"/>
    <mergeCell ref="O76:W76"/>
    <mergeCell ref="S49:W49"/>
    <mergeCell ref="R50:R51"/>
    <mergeCell ref="S50:S51"/>
    <mergeCell ref="T50:T51"/>
    <mergeCell ref="U50:U51"/>
    <mergeCell ref="V50:V51"/>
    <mergeCell ref="W50:W51"/>
    <mergeCell ref="O69:O71"/>
    <mergeCell ref="P69:R69"/>
    <mergeCell ref="S69:W69"/>
    <mergeCell ref="P70:P71"/>
    <mergeCell ref="Q70:Q71"/>
    <mergeCell ref="R70:R71"/>
    <mergeCell ref="S70:S71"/>
    <mergeCell ref="A46:C46"/>
    <mergeCell ref="A38:C38"/>
    <mergeCell ref="A40:C40"/>
    <mergeCell ref="A42:C42"/>
    <mergeCell ref="A44:C44"/>
    <mergeCell ref="D38:U38"/>
    <mergeCell ref="D40:U40"/>
    <mergeCell ref="D42:U42"/>
    <mergeCell ref="D44:U44"/>
    <mergeCell ref="B58:M58"/>
    <mergeCell ref="B19:M19"/>
    <mergeCell ref="B47:M47"/>
    <mergeCell ref="B52:M52"/>
    <mergeCell ref="B27:M27"/>
    <mergeCell ref="B2:J2"/>
    <mergeCell ref="B3:H3"/>
    <mergeCell ref="B4:L4"/>
    <mergeCell ref="B5:E5"/>
    <mergeCell ref="B6:N6"/>
    <mergeCell ref="B7:I7"/>
    <mergeCell ref="B10:D10"/>
    <mergeCell ref="B8:D8"/>
    <mergeCell ref="B9:D9"/>
    <mergeCell ref="B11:P11"/>
    <mergeCell ref="B12:J12"/>
    <mergeCell ref="B13:D13"/>
    <mergeCell ref="B14:H14"/>
    <mergeCell ref="B15:H15"/>
    <mergeCell ref="P49:R49"/>
    <mergeCell ref="P50:P51"/>
    <mergeCell ref="Q50:Q51"/>
    <mergeCell ref="B16:H16"/>
    <mergeCell ref="A18:B18"/>
    <mergeCell ref="T70:T71"/>
    <mergeCell ref="U70:U71"/>
    <mergeCell ref="V70:V71"/>
    <mergeCell ref="W70:W71"/>
    <mergeCell ref="Y47:Y49"/>
    <mergeCell ref="Z47:AK47"/>
    <mergeCell ref="Z52:AB52"/>
    <mergeCell ref="Z54:AB54"/>
    <mergeCell ref="Z55:AB55"/>
    <mergeCell ref="AF52:AH52"/>
    <mergeCell ref="AF54:AH54"/>
    <mergeCell ref="AF55:AH55"/>
    <mergeCell ref="O68:W68"/>
    <mergeCell ref="O56:W56"/>
    <mergeCell ref="O57:O59"/>
    <mergeCell ref="P57:R57"/>
    <mergeCell ref="S57:W57"/>
    <mergeCell ref="P58:P59"/>
    <mergeCell ref="Q58:Q59"/>
    <mergeCell ref="R58:R59"/>
    <mergeCell ref="S58:S59"/>
    <mergeCell ref="T58:T59"/>
    <mergeCell ref="U58:U59"/>
    <mergeCell ref="V58:V59"/>
    <mergeCell ref="W58:W59"/>
    <mergeCell ref="O47:W47"/>
    <mergeCell ref="O48:W48"/>
    <mergeCell ref="O49:O51"/>
    <mergeCell ref="AF57:AH57"/>
    <mergeCell ref="AF58:AH58"/>
    <mergeCell ref="AI52:AK52"/>
    <mergeCell ref="AI54:AK54"/>
    <mergeCell ref="Z61:AB61"/>
    <mergeCell ref="AI60:AK60"/>
    <mergeCell ref="AI61:AK61"/>
    <mergeCell ref="AI57:AK57"/>
    <mergeCell ref="AI58:AK58"/>
    <mergeCell ref="AI59:AK59"/>
    <mergeCell ref="Z62:AB62"/>
    <mergeCell ref="Z63:AB63"/>
    <mergeCell ref="Z64:AB64"/>
    <mergeCell ref="Z65:AB65"/>
    <mergeCell ref="Z56:AB56"/>
    <mergeCell ref="Z57:AB57"/>
    <mergeCell ref="Z58:AB58"/>
    <mergeCell ref="Z59:AB59"/>
    <mergeCell ref="Z60:AB60"/>
    <mergeCell ref="AI62:AK62"/>
    <mergeCell ref="AI63:AK63"/>
    <mergeCell ref="AI64:AK64"/>
    <mergeCell ref="AC52:AE52"/>
    <mergeCell ref="AC54:AE54"/>
    <mergeCell ref="AC55:AE55"/>
    <mergeCell ref="AC56:AE56"/>
    <mergeCell ref="AC57:AE57"/>
    <mergeCell ref="AC58:AE58"/>
    <mergeCell ref="AC59:AE59"/>
    <mergeCell ref="AC60:AE60"/>
    <mergeCell ref="AC61:AE61"/>
    <mergeCell ref="AC62:AE62"/>
    <mergeCell ref="AC63:AE63"/>
    <mergeCell ref="AC64:AE64"/>
    <mergeCell ref="AF59:AH59"/>
    <mergeCell ref="AF60:AH60"/>
    <mergeCell ref="AF61:AH61"/>
    <mergeCell ref="AF62:AH62"/>
    <mergeCell ref="AF56:AH56"/>
    <mergeCell ref="AI55:AK55"/>
    <mergeCell ref="AI56:AK56"/>
    <mergeCell ref="Z79:AB79"/>
    <mergeCell ref="AI65:AK65"/>
    <mergeCell ref="AI66:AK66"/>
    <mergeCell ref="Z69:AB69"/>
    <mergeCell ref="Z70:AB70"/>
    <mergeCell ref="Z71:AB71"/>
    <mergeCell ref="AF63:AH63"/>
    <mergeCell ref="AF64:AH64"/>
    <mergeCell ref="AF65:AH65"/>
    <mergeCell ref="AF66:AH66"/>
    <mergeCell ref="AC65:AE65"/>
    <mergeCell ref="AC66:AE66"/>
    <mergeCell ref="Z72:AB72"/>
    <mergeCell ref="Z66:AB66"/>
    <mergeCell ref="Y68:AG68"/>
    <mergeCell ref="Y76:AG76"/>
    <mergeCell ref="Z73:AB73"/>
    <mergeCell ref="Z74:AB74"/>
    <mergeCell ref="Z77:AB77"/>
    <mergeCell ref="Z78:AB7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49" sqref="B49"/>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2" t="s">
        <v>904</v>
      </c>
      <c r="C2" s="133"/>
      <c r="D2" s="133"/>
      <c r="E2" s="133"/>
      <c r="F2" s="133"/>
      <c r="G2" s="133"/>
      <c r="H2" s="75"/>
      <c r="I2" s="75"/>
      <c r="J2" s="78"/>
      <c r="K2" s="75"/>
      <c r="L2" s="75"/>
      <c r="M2" s="75"/>
      <c r="N2" s="75"/>
      <c r="O2" s="75"/>
    </row>
    <row r="3" spans="1:15" ht="30" x14ac:dyDescent="0.15">
      <c r="A3" s="43" t="s">
        <v>860</v>
      </c>
      <c r="B3" s="132"/>
      <c r="C3" s="133"/>
      <c r="D3" s="133"/>
      <c r="E3" s="133"/>
      <c r="F3" s="133"/>
      <c r="G3" s="133"/>
      <c r="H3" s="75"/>
      <c r="I3" s="75"/>
      <c r="J3" s="78"/>
      <c r="K3" s="75"/>
      <c r="L3" s="75"/>
      <c r="M3" s="75"/>
      <c r="N3" s="75"/>
      <c r="O3" s="75"/>
    </row>
    <row r="4" spans="1:15" ht="30" x14ac:dyDescent="0.15">
      <c r="A4" s="43" t="s">
        <v>862</v>
      </c>
      <c r="B4" s="132"/>
      <c r="C4" s="133"/>
      <c r="D4" s="133"/>
      <c r="E4" s="133"/>
      <c r="F4" s="133"/>
      <c r="G4" s="133"/>
      <c r="H4" s="75"/>
      <c r="I4" s="75"/>
      <c r="J4" s="78"/>
      <c r="K4" s="75"/>
      <c r="L4" s="75"/>
      <c r="M4" s="75"/>
      <c r="N4" s="75"/>
      <c r="O4" s="75"/>
    </row>
    <row r="5" spans="1:15" x14ac:dyDescent="0.15">
      <c r="A5" s="43" t="s">
        <v>864</v>
      </c>
      <c r="B5" s="132"/>
      <c r="C5" s="133"/>
      <c r="D5" s="133"/>
      <c r="E5" s="133"/>
      <c r="F5" s="133"/>
      <c r="G5" s="133"/>
      <c r="H5" s="75"/>
      <c r="I5" s="75"/>
      <c r="J5" s="78"/>
      <c r="K5" s="75"/>
      <c r="L5" s="75"/>
      <c r="M5" s="75"/>
      <c r="N5" s="75"/>
      <c r="O5" s="75"/>
    </row>
    <row r="6" spans="1:15" x14ac:dyDescent="0.15">
      <c r="A6" s="43" t="s">
        <v>905</v>
      </c>
      <c r="B6" s="132" t="s">
        <v>906</v>
      </c>
      <c r="C6" s="133"/>
      <c r="D6" s="133"/>
      <c r="E6" s="133"/>
      <c r="F6" s="133"/>
      <c r="G6" s="133"/>
      <c r="H6" s="75"/>
      <c r="I6" s="75"/>
      <c r="J6" s="78"/>
      <c r="K6" s="75"/>
      <c r="L6" s="75"/>
      <c r="M6" s="75"/>
      <c r="N6" s="75"/>
      <c r="O6" s="75"/>
    </row>
    <row r="7" spans="1:15" x14ac:dyDescent="0.15">
      <c r="A7" s="122" t="s">
        <v>903</v>
      </c>
      <c r="B7" s="122"/>
      <c r="C7" s="122"/>
      <c r="D7" s="122"/>
      <c r="E7" s="122"/>
      <c r="F7" s="122"/>
      <c r="G7" s="122"/>
      <c r="H7" s="122"/>
      <c r="I7" s="122"/>
      <c r="J7" s="122"/>
      <c r="K7" s="122"/>
    </row>
    <row r="8" spans="1:15" ht="18" x14ac:dyDescent="0.25">
      <c r="A8" s="131" t="s">
        <v>887</v>
      </c>
      <c r="B8" s="131"/>
      <c r="C8" s="131"/>
      <c r="D8" s="131"/>
      <c r="F8" s="74"/>
      <c r="G8" s="90" t="s">
        <v>845</v>
      </c>
      <c r="H8" s="90" t="s">
        <v>538</v>
      </c>
      <c r="I8" s="90" t="s">
        <v>853</v>
      </c>
      <c r="J8" s="74"/>
      <c r="K8" s="74"/>
      <c r="M8" s="134" t="s">
        <v>538</v>
      </c>
      <c r="N8" s="133"/>
      <c r="O8" s="133"/>
    </row>
    <row r="9" spans="1:15" ht="18" x14ac:dyDescent="0.25">
      <c r="A9" s="90" t="s">
        <v>845</v>
      </c>
      <c r="B9" s="90" t="s">
        <v>538</v>
      </c>
      <c r="C9" s="90" t="s">
        <v>853</v>
      </c>
      <c r="D9" s="90" t="s">
        <v>854</v>
      </c>
      <c r="E9" s="74"/>
      <c r="F9" s="74"/>
      <c r="G9" s="90" t="s">
        <v>866</v>
      </c>
      <c r="H9" s="96">
        <v>2153079393.8699999</v>
      </c>
      <c r="I9" s="96">
        <v>1797777219.3299999</v>
      </c>
      <c r="J9" s="74"/>
      <c r="K9" s="74"/>
      <c r="L9" s="90" t="s">
        <v>845</v>
      </c>
      <c r="M9" s="90" t="s">
        <v>883</v>
      </c>
      <c r="N9" s="90" t="s">
        <v>884</v>
      </c>
      <c r="O9" s="90" t="s">
        <v>878</v>
      </c>
    </row>
    <row r="10" spans="1:15" ht="36" x14ac:dyDescent="0.25">
      <c r="A10" s="90" t="s">
        <v>866</v>
      </c>
      <c r="B10" s="96">
        <v>2153079393.8699999</v>
      </c>
      <c r="C10" s="96">
        <v>1797777219.3299999</v>
      </c>
      <c r="D10" s="96">
        <v>1217619694.04</v>
      </c>
      <c r="E10" s="74"/>
      <c r="F10" s="74"/>
      <c r="G10" s="90" t="s">
        <v>238</v>
      </c>
      <c r="H10" s="88">
        <f>(H9-I9)/I9</f>
        <v>0.19763415106150631</v>
      </c>
      <c r="I10" s="88"/>
      <c r="J10" s="74"/>
      <c r="K10" s="74"/>
      <c r="L10" s="90" t="s">
        <v>907</v>
      </c>
      <c r="M10" s="96">
        <v>696951706.76999998</v>
      </c>
      <c r="N10" s="96">
        <v>377080341.73000002</v>
      </c>
      <c r="O10" s="37">
        <f>1-N10/M10</f>
        <v>0.45895771820752607</v>
      </c>
    </row>
    <row r="11" spans="1:15" ht="36" x14ac:dyDescent="0.25">
      <c r="A11" s="90" t="s">
        <v>238</v>
      </c>
      <c r="B11" s="88">
        <f>(B10-C10)/C10</f>
        <v>0.19763415106150631</v>
      </c>
      <c r="C11" s="88">
        <f>(C10-D10)/D10</f>
        <v>0.47646857892472727</v>
      </c>
      <c r="D11" s="87" t="s">
        <v>855</v>
      </c>
      <c r="E11" s="74"/>
      <c r="F11" s="74"/>
      <c r="G11" s="90" t="s">
        <v>870</v>
      </c>
      <c r="H11" s="96">
        <v>1124850123.8800001</v>
      </c>
      <c r="I11" s="96">
        <v>992048191.08000004</v>
      </c>
      <c r="J11" s="74"/>
      <c r="K11" s="74"/>
      <c r="L11" s="90" t="s">
        <v>908</v>
      </c>
      <c r="M11" s="96">
        <v>207021505.75999999</v>
      </c>
      <c r="N11" s="96">
        <v>84069398.079999998</v>
      </c>
      <c r="O11" s="37">
        <f>1-N11/M11</f>
        <v>0.59390983187291835</v>
      </c>
    </row>
    <row r="12" spans="1:15" ht="54" x14ac:dyDescent="0.25">
      <c r="A12" s="90" t="s">
        <v>885</v>
      </c>
      <c r="B12" s="96">
        <v>1870142568.1400001</v>
      </c>
      <c r="C12" s="96">
        <v>1526427803.8800001</v>
      </c>
      <c r="D12" s="96">
        <v>959514800</v>
      </c>
      <c r="E12" s="74"/>
      <c r="F12" s="74"/>
      <c r="G12" s="90" t="s">
        <v>238</v>
      </c>
      <c r="H12" s="88">
        <f>(H11-I11)/I11</f>
        <v>0.13386641293647675</v>
      </c>
      <c r="I12" s="88"/>
      <c r="J12" s="74"/>
      <c r="K12" s="74"/>
      <c r="L12" s="90" t="s">
        <v>909</v>
      </c>
      <c r="M12" s="96">
        <v>509277160.19999999</v>
      </c>
      <c r="N12" s="96">
        <v>165751032.61000001</v>
      </c>
      <c r="O12" s="37">
        <f>1-N12/M12</f>
        <v>0.67453668539757927</v>
      </c>
    </row>
    <row r="13" spans="1:15" ht="18" x14ac:dyDescent="0.25">
      <c r="A13" s="90" t="s">
        <v>238</v>
      </c>
      <c r="B13" s="88">
        <f>(B12-C12)/C12</f>
        <v>0.22517590637848542</v>
      </c>
      <c r="C13" s="88">
        <f>(C12-D12)/D12</f>
        <v>0.59083299588500371</v>
      </c>
      <c r="D13" s="87" t="s">
        <v>855</v>
      </c>
      <c r="E13" s="74"/>
      <c r="F13" s="74"/>
      <c r="G13" s="90" t="s">
        <v>871</v>
      </c>
      <c r="H13" s="96">
        <v>113484528.06999999</v>
      </c>
      <c r="I13" s="96">
        <v>80734039.959999993</v>
      </c>
      <c r="J13" s="74"/>
      <c r="K13" s="74"/>
      <c r="L13" s="90" t="s">
        <v>910</v>
      </c>
      <c r="M13" s="96">
        <v>739829021.13999999</v>
      </c>
      <c r="N13" s="96">
        <v>497949351.44999999</v>
      </c>
      <c r="O13" s="37">
        <f>1-N13/M13</f>
        <v>0.32693995879924853</v>
      </c>
    </row>
    <row r="14" spans="1:15" ht="54" x14ac:dyDescent="0.25">
      <c r="A14" s="90" t="s">
        <v>867</v>
      </c>
      <c r="B14" s="96">
        <v>500563277.38</v>
      </c>
      <c r="C14" s="96">
        <v>543033726.98000002</v>
      </c>
      <c r="D14" s="96">
        <v>244817981.78</v>
      </c>
      <c r="E14" s="74"/>
      <c r="F14" s="74"/>
      <c r="G14" s="90" t="s">
        <v>238</v>
      </c>
      <c r="H14" s="88">
        <f>(H13-I13)/I13</f>
        <v>0.40565897762859832</v>
      </c>
      <c r="I14" s="88"/>
      <c r="J14" s="74"/>
      <c r="K14" s="74"/>
    </row>
    <row r="15" spans="1:15" ht="18" x14ac:dyDescent="0.25">
      <c r="A15" s="90" t="s">
        <v>238</v>
      </c>
      <c r="B15" s="88">
        <f>(B14-C14)/C14</f>
        <v>-7.8209598207081926E-2</v>
      </c>
      <c r="C15" s="88">
        <f>(C14-D14)/D14</f>
        <v>1.2181120971252215</v>
      </c>
      <c r="D15" s="87" t="s">
        <v>855</v>
      </c>
      <c r="G15" s="90" t="s">
        <v>872</v>
      </c>
      <c r="H15" s="96">
        <v>122654089.55</v>
      </c>
      <c r="I15" s="96">
        <v>98806249.599999994</v>
      </c>
    </row>
    <row r="16" spans="1:15" ht="90" x14ac:dyDescent="0.25">
      <c r="A16" s="90" t="s">
        <v>852</v>
      </c>
      <c r="B16" s="96">
        <v>471027853.35000002</v>
      </c>
      <c r="C16" s="96">
        <v>390011035.88999999</v>
      </c>
      <c r="D16" s="96">
        <v>200522700.31</v>
      </c>
      <c r="E16" s="74"/>
      <c r="F16" s="74"/>
      <c r="G16" s="90" t="s">
        <v>238</v>
      </c>
      <c r="H16" s="88">
        <f>(H15-I15)/I15</f>
        <v>0.24135963106123204</v>
      </c>
      <c r="I16" s="88"/>
      <c r="J16" s="74"/>
      <c r="K16" s="74"/>
    </row>
    <row r="17" spans="1:11" ht="18" x14ac:dyDescent="0.25">
      <c r="A17" s="90" t="s">
        <v>238</v>
      </c>
      <c r="B17" s="88">
        <f>(B16-C16)/C16</f>
        <v>0.20772955122954595</v>
      </c>
      <c r="C17" s="88">
        <f>(C16-D16)/D16</f>
        <v>0.94497199213385152</v>
      </c>
      <c r="D17" s="87" t="s">
        <v>855</v>
      </c>
      <c r="G17" s="90" t="s">
        <v>873</v>
      </c>
      <c r="H17" s="96">
        <v>137956029.94</v>
      </c>
      <c r="I17" s="96">
        <v>103240794.37</v>
      </c>
    </row>
    <row r="18" spans="1:11" ht="18" x14ac:dyDescent="0.25">
      <c r="A18" s="90" t="s">
        <v>886</v>
      </c>
      <c r="B18" s="97">
        <v>0.52</v>
      </c>
      <c r="C18" s="97">
        <v>0.57999999999999996</v>
      </c>
      <c r="D18" s="97">
        <v>0.39</v>
      </c>
      <c r="E18" s="74"/>
      <c r="F18" s="74"/>
      <c r="G18" s="90" t="s">
        <v>238</v>
      </c>
      <c r="H18" s="88">
        <f>(H17-I17)/I17</f>
        <v>0.33625502188200562</v>
      </c>
      <c r="I18" s="88"/>
      <c r="J18" s="74"/>
      <c r="K18" s="74"/>
    </row>
    <row r="19" spans="1:11" ht="18" x14ac:dyDescent="0.25">
      <c r="A19" s="90" t="s">
        <v>238</v>
      </c>
      <c r="B19" s="88">
        <f>(B18-C18)/C18</f>
        <v>-0.10344827586206887</v>
      </c>
      <c r="C19" s="88">
        <f>(C18-D18)/D18</f>
        <v>0.487179487179487</v>
      </c>
      <c r="D19" s="87" t="s">
        <v>855</v>
      </c>
      <c r="G19" s="90" t="s">
        <v>874</v>
      </c>
      <c r="H19" s="96">
        <v>21323153.02</v>
      </c>
      <c r="I19" s="96">
        <v>26312854.66</v>
      </c>
    </row>
    <row r="20" spans="1:11" ht="54" x14ac:dyDescent="0.25">
      <c r="A20" s="90" t="s">
        <v>851</v>
      </c>
      <c r="B20" s="96">
        <v>484259397.14999998</v>
      </c>
      <c r="C20" s="96">
        <v>349758540.88999999</v>
      </c>
      <c r="D20" s="96">
        <v>129662094.52</v>
      </c>
      <c r="E20" s="74"/>
      <c r="F20" s="74"/>
      <c r="G20" s="90" t="s">
        <v>238</v>
      </c>
      <c r="H20" s="88">
        <f>(H19-I19)/I19</f>
        <v>-0.18962981039017379</v>
      </c>
      <c r="I20" s="88"/>
      <c r="J20" s="74"/>
      <c r="K20" s="74"/>
    </row>
    <row r="21" spans="1:11" ht="54" x14ac:dyDescent="0.25">
      <c r="A21" s="90" t="s">
        <v>238</v>
      </c>
      <c r="B21" s="88">
        <f>(B20-C20)/C20</f>
        <v>0.3845534577018403</v>
      </c>
      <c r="C21" s="88">
        <f>(C20-D20)/D20</f>
        <v>1.6974617538362438</v>
      </c>
      <c r="D21" s="87" t="s">
        <v>855</v>
      </c>
      <c r="G21" s="90" t="s">
        <v>851</v>
      </c>
      <c r="H21" s="96">
        <v>484259397.14999998</v>
      </c>
      <c r="I21" s="96">
        <v>349758540.88999999</v>
      </c>
    </row>
    <row r="22" spans="1:11" ht="18" x14ac:dyDescent="0.25">
      <c r="A22" s="90" t="s">
        <v>896</v>
      </c>
      <c r="B22" s="100">
        <v>196060046.15000001</v>
      </c>
      <c r="C22" s="100">
        <v>214416085.12</v>
      </c>
      <c r="D22" s="100">
        <v>122413500</v>
      </c>
      <c r="G22" s="90"/>
      <c r="H22" s="59"/>
      <c r="I22" s="59"/>
    </row>
    <row r="23" spans="1:11" ht="18" x14ac:dyDescent="0.25">
      <c r="A23" s="90" t="s">
        <v>238</v>
      </c>
      <c r="B23" s="88">
        <f>(B22-C22)/C22</f>
        <v>-8.5609430653147439E-2</v>
      </c>
      <c r="C23" s="88">
        <f>(C22-D22)/D22</f>
        <v>0.7515722131954401</v>
      </c>
      <c r="D23" s="87" t="s">
        <v>855</v>
      </c>
      <c r="G23" s="90"/>
      <c r="H23" s="59"/>
      <c r="I23" s="59"/>
    </row>
    <row r="24" spans="1:11" ht="54" x14ac:dyDescent="0.25">
      <c r="A24" s="90" t="s">
        <v>868</v>
      </c>
      <c r="B24" s="96">
        <v>3652265870.54</v>
      </c>
      <c r="C24" s="96">
        <v>3215925330.46</v>
      </c>
      <c r="D24" s="96">
        <v>1903306660.6199999</v>
      </c>
      <c r="G24" s="90" t="s">
        <v>238</v>
      </c>
      <c r="H24" s="88">
        <f>(H21-I21)/I21</f>
        <v>0.3845534577018403</v>
      </c>
      <c r="I24" s="88"/>
    </row>
    <row r="25" spans="1:11" ht="54" x14ac:dyDescent="0.25">
      <c r="A25" s="90" t="s">
        <v>238</v>
      </c>
      <c r="B25" s="88">
        <f>(B24-C24)/C24</f>
        <v>0.13568117889652201</v>
      </c>
      <c r="C25" s="88">
        <f>(C24-D24)/D24</f>
        <v>0.68965169775238222</v>
      </c>
      <c r="D25" s="87" t="s">
        <v>855</v>
      </c>
      <c r="G25" s="90" t="s">
        <v>875</v>
      </c>
      <c r="H25" s="96">
        <v>-233825998.30000001</v>
      </c>
      <c r="I25" s="96">
        <v>-206836309.15000001</v>
      </c>
    </row>
    <row r="26" spans="1:11" ht="18" x14ac:dyDescent="0.25">
      <c r="A26" s="90" t="s">
        <v>869</v>
      </c>
      <c r="B26" s="96">
        <v>4805661836.5500002</v>
      </c>
      <c r="C26" s="96">
        <v>4378182398.8599997</v>
      </c>
      <c r="D26" s="96">
        <v>3289090217.5500002</v>
      </c>
      <c r="G26" s="90" t="s">
        <v>238</v>
      </c>
      <c r="H26" s="88">
        <f>(H25-I25)/I25</f>
        <v>0.13048815878080081</v>
      </c>
      <c r="I26" s="88"/>
    </row>
    <row r="27" spans="1:11" ht="54" x14ac:dyDescent="0.25">
      <c r="A27" s="90" t="s">
        <v>238</v>
      </c>
      <c r="B27" s="88">
        <f>(B26-C26)/C26</f>
        <v>9.7638562934542997E-2</v>
      </c>
      <c r="C27" s="88">
        <f>(C26-D26)/D26</f>
        <v>0.33112262336216786</v>
      </c>
      <c r="D27" s="87" t="s">
        <v>855</v>
      </c>
      <c r="G27" s="90" t="s">
        <v>876</v>
      </c>
      <c r="H27" s="96">
        <v>-267413197.13999999</v>
      </c>
      <c r="I27" s="96">
        <v>-350677979.48000002</v>
      </c>
    </row>
    <row r="28" spans="1:11" ht="18" x14ac:dyDescent="0.25">
      <c r="A28" s="90" t="s">
        <v>897</v>
      </c>
      <c r="B28" s="98">
        <v>0.14580000000000001</v>
      </c>
      <c r="C28" s="98">
        <v>0.2122</v>
      </c>
      <c r="D28" s="98">
        <v>0.1363</v>
      </c>
      <c r="G28" s="90"/>
      <c r="H28" s="59"/>
      <c r="I28" s="59"/>
    </row>
    <row r="29" spans="1:11" ht="18" x14ac:dyDescent="0.25">
      <c r="A29" s="90" t="s">
        <v>877</v>
      </c>
      <c r="B29" s="88">
        <v>0.47760000000000002</v>
      </c>
      <c r="C29" s="88">
        <v>0.44819999999999999</v>
      </c>
      <c r="D29" s="88">
        <v>0.38619999999999999</v>
      </c>
      <c r="G29" s="90"/>
      <c r="H29" s="59"/>
      <c r="I29" s="59"/>
    </row>
    <row r="30" spans="1:11" ht="18" x14ac:dyDescent="0.25">
      <c r="A30" s="90" t="s">
        <v>898</v>
      </c>
      <c r="B30" s="88">
        <v>0.23250000000000001</v>
      </c>
      <c r="C30" s="88">
        <v>0.30209999999999998</v>
      </c>
      <c r="D30" s="88">
        <v>0.2011</v>
      </c>
      <c r="G30" s="90"/>
      <c r="H30" s="59"/>
      <c r="I30" s="59"/>
    </row>
    <row r="31" spans="1:11" ht="36" x14ac:dyDescent="0.25">
      <c r="A31" s="90" t="s">
        <v>899</v>
      </c>
      <c r="B31" s="94">
        <v>0.47</v>
      </c>
      <c r="C31" s="94">
        <v>0.47</v>
      </c>
      <c r="D31" s="94">
        <v>0.44</v>
      </c>
      <c r="G31" s="90"/>
      <c r="H31" s="59"/>
      <c r="I31" s="59"/>
    </row>
    <row r="32" spans="1:11" ht="18" x14ac:dyDescent="0.25">
      <c r="A32" s="90" t="s">
        <v>900</v>
      </c>
      <c r="B32" s="94">
        <v>1.34</v>
      </c>
      <c r="C32" s="94">
        <v>1.5</v>
      </c>
      <c r="D32" s="94">
        <v>1.54</v>
      </c>
      <c r="G32" s="90"/>
      <c r="H32" s="59"/>
      <c r="I32" s="59"/>
    </row>
    <row r="33" spans="1:9" ht="18" x14ac:dyDescent="0.25">
      <c r="A33" s="74" t="s">
        <v>856</v>
      </c>
      <c r="G33" s="90" t="s">
        <v>238</v>
      </c>
      <c r="H33" s="88">
        <f>(H27-I27)/I27</f>
        <v>-0.23743943792384264</v>
      </c>
      <c r="I33" s="88"/>
    </row>
    <row r="34" spans="1:9" x14ac:dyDescent="0.15">
      <c r="A34" s="124"/>
      <c r="B34" s="124"/>
      <c r="C34" s="124"/>
      <c r="D34" s="124"/>
    </row>
    <row r="35" spans="1:9" x14ac:dyDescent="0.15">
      <c r="A35" s="124"/>
      <c r="B35" s="124"/>
      <c r="C35" s="124"/>
      <c r="D35" s="124"/>
    </row>
    <row r="36" spans="1:9" x14ac:dyDescent="0.15">
      <c r="A36" s="124"/>
      <c r="B36" s="124"/>
      <c r="C36" s="124"/>
      <c r="D36" s="124"/>
    </row>
    <row r="37" spans="1:9" x14ac:dyDescent="0.15">
      <c r="A37" s="124"/>
      <c r="B37" s="124"/>
      <c r="C37" s="124"/>
      <c r="D37" s="124"/>
    </row>
    <row r="38" spans="1:9" x14ac:dyDescent="0.15">
      <c r="A38" s="124"/>
      <c r="B38" s="124"/>
      <c r="C38" s="124"/>
      <c r="D38" s="124"/>
    </row>
    <row r="41" spans="1:9" x14ac:dyDescent="0.15">
      <c r="A41" s="131" t="s">
        <v>888</v>
      </c>
      <c r="B41" s="131"/>
      <c r="C41" s="131"/>
      <c r="D41" s="131"/>
    </row>
    <row r="42" spans="1:9" ht="18" x14ac:dyDescent="0.25">
      <c r="A42" s="90" t="s">
        <v>845</v>
      </c>
      <c r="B42" s="90" t="s">
        <v>538</v>
      </c>
      <c r="C42" s="90" t="s">
        <v>853</v>
      </c>
      <c r="D42" s="90" t="s">
        <v>854</v>
      </c>
    </row>
    <row r="43" spans="1:9" ht="36" x14ac:dyDescent="0.25">
      <c r="A43" s="90" t="s">
        <v>889</v>
      </c>
      <c r="B43">
        <v>135.44999999999999</v>
      </c>
      <c r="C43">
        <v>130.18</v>
      </c>
      <c r="D43">
        <v>135.72</v>
      </c>
    </row>
    <row r="44" spans="1:9" ht="18" x14ac:dyDescent="0.25">
      <c r="A44" s="90" t="s">
        <v>238</v>
      </c>
      <c r="B44" s="88">
        <f>(B43-C43)/C43</f>
        <v>4.0482408972192206E-2</v>
      </c>
      <c r="C44" s="88">
        <f>(C43-D43)/D43</f>
        <v>-4.0819333922782142E-2</v>
      </c>
      <c r="D44" s="87" t="s">
        <v>855</v>
      </c>
    </row>
    <row r="45" spans="1:9" ht="36" x14ac:dyDescent="0.25">
      <c r="A45" s="90" t="s">
        <v>890</v>
      </c>
      <c r="B45">
        <v>164.74</v>
      </c>
      <c r="C45">
        <v>139.84</v>
      </c>
      <c r="D45">
        <v>115.6</v>
      </c>
    </row>
    <row r="46" spans="1:9" ht="18" x14ac:dyDescent="0.25">
      <c r="A46" s="90" t="s">
        <v>238</v>
      </c>
      <c r="B46" s="88">
        <f>(B45-C45)/C45</f>
        <v>0.17806064073226549</v>
      </c>
      <c r="C46" s="88">
        <f>(C45-D45)/D45</f>
        <v>0.20968858131487897</v>
      </c>
      <c r="D46" s="87" t="s">
        <v>855</v>
      </c>
    </row>
    <row r="47" spans="1:9" ht="72" x14ac:dyDescent="0.25">
      <c r="A47" s="90" t="s">
        <v>891</v>
      </c>
      <c r="B47">
        <f>29998.49-20080</f>
        <v>9918.4900000000016</v>
      </c>
      <c r="C47">
        <f>28184.22-32007</f>
        <v>-3822.7799999999988</v>
      </c>
      <c r="D47">
        <f>50371.11-49800</f>
        <v>571.11000000000058</v>
      </c>
    </row>
    <row r="48" spans="1:9" ht="18" x14ac:dyDescent="0.25">
      <c r="A48" s="90" t="s">
        <v>238</v>
      </c>
      <c r="B48" s="88">
        <f>(B47-C47)/C47</f>
        <v>-3.5945751521144311</v>
      </c>
      <c r="C48" s="88">
        <f>(C47-D47)/D47</f>
        <v>-7.6935966801491746</v>
      </c>
      <c r="D48" s="87" t="s">
        <v>855</v>
      </c>
    </row>
    <row r="49" spans="1:4" ht="18" x14ac:dyDescent="0.25">
      <c r="A49" s="90" t="s">
        <v>892</v>
      </c>
      <c r="B49">
        <v>57064.89</v>
      </c>
      <c r="C49">
        <v>45885.99</v>
      </c>
      <c r="D49">
        <v>31183.16</v>
      </c>
    </row>
    <row r="50" spans="1:4" ht="18" x14ac:dyDescent="0.25">
      <c r="A50" s="90" t="s">
        <v>238</v>
      </c>
      <c r="B50" s="88">
        <f>(B49-C49)/C49</f>
        <v>0.24362338046972512</v>
      </c>
      <c r="C50" s="88">
        <f>(C49-D49)/D49</f>
        <v>0.47149903986638936</v>
      </c>
      <c r="D50" s="87" t="s">
        <v>855</v>
      </c>
    </row>
    <row r="51" spans="1:4" ht="72" x14ac:dyDescent="0.25">
      <c r="A51" s="90" t="s">
        <v>893</v>
      </c>
      <c r="B51" s="37">
        <f>B12/B10</f>
        <v>0.86858969226330207</v>
      </c>
      <c r="C51" s="37">
        <f>C12/C10</f>
        <v>0.84906393710388262</v>
      </c>
      <c r="D51" s="37">
        <f>D12/D10</f>
        <v>0.78802503334713558</v>
      </c>
    </row>
    <row r="52" spans="1:4" ht="18" x14ac:dyDescent="0.25">
      <c r="A52" s="90" t="s">
        <v>238</v>
      </c>
      <c r="B52" s="88">
        <f>(B51-C51)/C51</f>
        <v>2.2996801896946528E-2</v>
      </c>
      <c r="C52" s="88">
        <f>(C51-D51)/D51</f>
        <v>7.7458077058141603E-2</v>
      </c>
      <c r="D52" s="87" t="s">
        <v>855</v>
      </c>
    </row>
    <row r="53" spans="1:4" ht="54" x14ac:dyDescent="0.25">
      <c r="A53" s="90" t="s">
        <v>894</v>
      </c>
      <c r="B53" s="37">
        <f>B20/B14</f>
        <v>0.96742893263098284</v>
      </c>
      <c r="C53" s="37">
        <f>C20/C14</f>
        <v>0.64408253762639978</v>
      </c>
      <c r="D53" s="37">
        <f>D20/D14</f>
        <v>0.52962651508383818</v>
      </c>
    </row>
    <row r="54" spans="1:4" ht="18" x14ac:dyDescent="0.25">
      <c r="A54" s="90" t="s">
        <v>238</v>
      </c>
      <c r="B54" s="88">
        <f>(B53-C53)/C53</f>
        <v>0.50202633376180772</v>
      </c>
      <c r="C54" s="88">
        <f>(C53-D53)/D53</f>
        <v>0.21610704767008043</v>
      </c>
      <c r="D54" s="87" t="s">
        <v>855</v>
      </c>
    </row>
    <row r="55" spans="1:4" ht="36" x14ac:dyDescent="0.25">
      <c r="A55" s="90" t="s">
        <v>895</v>
      </c>
      <c r="B55" s="37">
        <f>B14/B22</f>
        <v>2.5531121062627578</v>
      </c>
      <c r="C55" s="37">
        <f>C14/C22</f>
        <v>2.5326165556846449</v>
      </c>
      <c r="D55" s="37">
        <f>D14/D22</f>
        <v>1.9999263298574095</v>
      </c>
    </row>
    <row r="56" spans="1:4" ht="18" x14ac:dyDescent="0.25">
      <c r="A56" s="90" t="s">
        <v>238</v>
      </c>
      <c r="B56" s="88">
        <f>(B55-C55)/C55</f>
        <v>8.0926386318169764E-3</v>
      </c>
      <c r="C56" s="88">
        <f>(C55-D55)/D55</f>
        <v>0.2663549241162374</v>
      </c>
      <c r="D56" s="87" t="s">
        <v>855</v>
      </c>
    </row>
  </sheetData>
  <mergeCells count="10">
    <mergeCell ref="M8:O8"/>
    <mergeCell ref="A34:D38"/>
    <mergeCell ref="A41:D41"/>
    <mergeCell ref="B2:G2"/>
    <mergeCell ref="B3:G3"/>
    <mergeCell ref="B4:G4"/>
    <mergeCell ref="B5:G5"/>
    <mergeCell ref="B6:G6"/>
    <mergeCell ref="A7:K7"/>
    <mergeCell ref="A8:D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XFD55"/>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2"/>
      <c r="C2" s="133"/>
      <c r="D2" s="133"/>
      <c r="E2" s="133"/>
      <c r="F2" s="133"/>
      <c r="G2" s="75"/>
      <c r="H2" s="75"/>
      <c r="I2" s="75"/>
      <c r="J2" s="78"/>
      <c r="K2" s="75"/>
      <c r="L2" s="75"/>
      <c r="M2" s="75"/>
      <c r="N2" s="75"/>
      <c r="O2" s="75"/>
    </row>
    <row r="3" spans="1:15" ht="30" x14ac:dyDescent="0.15">
      <c r="A3" s="43" t="s">
        <v>860</v>
      </c>
      <c r="B3" s="132"/>
      <c r="C3" s="133"/>
      <c r="D3" s="133"/>
      <c r="E3" s="133"/>
      <c r="F3" s="133"/>
      <c r="G3" s="75"/>
      <c r="H3" s="75"/>
      <c r="I3" s="75"/>
      <c r="J3" s="78"/>
      <c r="K3" s="75"/>
      <c r="L3" s="75"/>
      <c r="M3" s="75"/>
      <c r="N3" s="75"/>
      <c r="O3" s="75"/>
    </row>
    <row r="4" spans="1:15" ht="30" x14ac:dyDescent="0.15">
      <c r="A4" s="43" t="s">
        <v>862</v>
      </c>
      <c r="B4" s="132"/>
      <c r="C4" s="133"/>
      <c r="D4" s="133"/>
      <c r="E4" s="133"/>
      <c r="F4" s="133"/>
      <c r="H4" s="75"/>
      <c r="I4" s="75"/>
      <c r="J4" s="78"/>
      <c r="K4" s="75"/>
      <c r="L4" s="75"/>
      <c r="M4" s="75"/>
      <c r="N4" s="75"/>
      <c r="O4" s="75"/>
    </row>
    <row r="5" spans="1:15" x14ac:dyDescent="0.15">
      <c r="A5" s="43" t="s">
        <v>864</v>
      </c>
      <c r="B5" s="132"/>
      <c r="C5" s="133"/>
      <c r="D5" s="133"/>
      <c r="E5" s="133"/>
      <c r="F5" s="133"/>
      <c r="H5" s="75"/>
      <c r="I5" s="75"/>
      <c r="J5" s="78"/>
      <c r="K5" s="75"/>
      <c r="L5" s="75"/>
      <c r="M5" s="75"/>
      <c r="N5" s="75"/>
      <c r="O5" s="75"/>
    </row>
    <row r="6" spans="1:15" x14ac:dyDescent="0.15">
      <c r="A6" s="122" t="s">
        <v>902</v>
      </c>
      <c r="B6" s="122"/>
      <c r="C6" s="122"/>
      <c r="D6" s="122"/>
      <c r="E6" s="122"/>
      <c r="F6" s="122"/>
      <c r="G6" s="122"/>
      <c r="H6" s="122"/>
      <c r="I6" s="122"/>
      <c r="J6" s="122"/>
      <c r="K6" s="122"/>
    </row>
    <row r="7" spans="1:15" ht="18" x14ac:dyDescent="0.25">
      <c r="A7" s="131" t="s">
        <v>887</v>
      </c>
      <c r="B7" s="131"/>
      <c r="C7" s="131"/>
      <c r="D7" s="131"/>
      <c r="F7" s="74"/>
      <c r="G7" s="90" t="s">
        <v>845</v>
      </c>
      <c r="H7" s="90" t="s">
        <v>538</v>
      </c>
      <c r="I7" s="90" t="s">
        <v>853</v>
      </c>
      <c r="J7" s="74"/>
      <c r="K7" s="74"/>
      <c r="M7" s="90" t="s">
        <v>538</v>
      </c>
    </row>
    <row r="8" spans="1:15"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5" ht="18" x14ac:dyDescent="0.25">
      <c r="A9" s="90" t="s">
        <v>866</v>
      </c>
      <c r="B9" s="96">
        <v>3293174130.4000001</v>
      </c>
      <c r="C9" s="96">
        <v>4580200601.4300003</v>
      </c>
      <c r="D9" s="96">
        <v>3355189485.2800002</v>
      </c>
      <c r="E9" s="74"/>
      <c r="F9" s="74"/>
      <c r="G9" s="90" t="s">
        <v>238</v>
      </c>
      <c r="H9" s="88">
        <f>(H8-I8)/I8</f>
        <v>0.20060534293196453</v>
      </c>
      <c r="I9" s="88"/>
      <c r="J9" s="74"/>
      <c r="K9" s="74"/>
      <c r="L9" s="90" t="s">
        <v>879</v>
      </c>
      <c r="M9" s="59">
        <v>227230.16</v>
      </c>
      <c r="N9" s="59">
        <v>46576.639999999999</v>
      </c>
      <c r="O9">
        <v>79.5</v>
      </c>
    </row>
    <row r="10" spans="1:15" ht="18" x14ac:dyDescent="0.25">
      <c r="A10" s="90" t="s">
        <v>238</v>
      </c>
      <c r="B10" s="88">
        <f>(B9-C9)/C9</f>
        <v>-0.28099783896543162</v>
      </c>
      <c r="C10" s="88">
        <f>(C9-D9)/D9</f>
        <v>0.36510936909060127</v>
      </c>
      <c r="D10" s="87" t="s">
        <v>855</v>
      </c>
      <c r="E10" s="74"/>
      <c r="F10" s="74"/>
      <c r="G10" s="90" t="s">
        <v>870</v>
      </c>
      <c r="H10" s="59">
        <v>319094.33</v>
      </c>
      <c r="I10" s="59">
        <v>274435.8</v>
      </c>
      <c r="J10" s="74"/>
      <c r="K10" s="74"/>
      <c r="L10" s="90" t="s">
        <v>880</v>
      </c>
      <c r="M10" s="59">
        <v>278752.48</v>
      </c>
      <c r="N10" s="59">
        <v>252625.7</v>
      </c>
      <c r="O10">
        <v>9.3699999999999992</v>
      </c>
    </row>
    <row r="11" spans="1:15" ht="54"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5"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5" ht="54" x14ac:dyDescent="0.25">
      <c r="A13" s="90" t="s">
        <v>867</v>
      </c>
      <c r="B13" s="96">
        <v>338849751.63999999</v>
      </c>
      <c r="C13" s="96">
        <v>1017172198.71</v>
      </c>
      <c r="D13" s="96">
        <v>246848779.61000001</v>
      </c>
      <c r="E13" s="74"/>
      <c r="F13" s="74"/>
      <c r="G13" s="90" t="s">
        <v>238</v>
      </c>
      <c r="H13" s="88">
        <f>(H12-I12)/I12</f>
        <v>0.33410743098033141</v>
      </c>
      <c r="I13" s="88"/>
      <c r="J13" s="74"/>
      <c r="K13" s="74"/>
    </row>
    <row r="14" spans="1:15" ht="18" x14ac:dyDescent="0.25">
      <c r="A14" s="90" t="s">
        <v>238</v>
      </c>
      <c r="B14" s="88">
        <f>(B13-C13)/C13</f>
        <v>-0.66687080902354923</v>
      </c>
      <c r="C14" s="88">
        <f>(C13-D13)/D13</f>
        <v>3.1206288332356564</v>
      </c>
      <c r="D14" s="87" t="s">
        <v>855</v>
      </c>
      <c r="G14" s="90" t="s">
        <v>872</v>
      </c>
      <c r="H14" s="59">
        <v>27316.38</v>
      </c>
      <c r="I14" s="59">
        <v>24089</v>
      </c>
    </row>
    <row r="15" spans="1:15" ht="90" x14ac:dyDescent="0.25">
      <c r="A15" s="90" t="s">
        <v>852</v>
      </c>
      <c r="B15" s="96">
        <v>258886706.05000001</v>
      </c>
      <c r="C15" s="96">
        <v>945238277.72000003</v>
      </c>
      <c r="D15" s="96">
        <v>163147307.19</v>
      </c>
      <c r="E15" s="74"/>
      <c r="F15" s="74"/>
      <c r="G15" s="90" t="s">
        <v>238</v>
      </c>
      <c r="H15" s="88">
        <f>(H14-I14)/I14</f>
        <v>0.13397733405288725</v>
      </c>
      <c r="I15" s="88"/>
      <c r="J15" s="74"/>
      <c r="K15" s="74"/>
    </row>
    <row r="16" spans="1:15" ht="18" x14ac:dyDescent="0.25">
      <c r="A16" s="90" t="s">
        <v>238</v>
      </c>
      <c r="B16" s="88">
        <f>(B15-C15)/C15</f>
        <v>-0.72611487267056296</v>
      </c>
      <c r="C16" s="88">
        <f>(C15-D15)/D15</f>
        <v>4.7937718617640641</v>
      </c>
      <c r="D16" s="87" t="s">
        <v>855</v>
      </c>
      <c r="G16" s="90" t="s">
        <v>873</v>
      </c>
      <c r="H16" s="59">
        <v>11943.21</v>
      </c>
      <c r="I16" s="59">
        <v>10081.42</v>
      </c>
    </row>
    <row r="17" spans="1:11" ht="18" x14ac:dyDescent="0.25">
      <c r="A17" s="90" t="s">
        <v>886</v>
      </c>
      <c r="B17" s="97">
        <v>0.38</v>
      </c>
      <c r="C17" s="97">
        <v>1.1399999999999999</v>
      </c>
      <c r="D17" s="97">
        <v>0.28000000000000003</v>
      </c>
      <c r="E17" s="74"/>
      <c r="F17" s="74"/>
      <c r="G17" s="90" t="s">
        <v>238</v>
      </c>
      <c r="H17" s="88">
        <f>(H16-I16)/I16</f>
        <v>0.18467537311212101</v>
      </c>
      <c r="I17" s="88"/>
      <c r="J17" s="74"/>
      <c r="K17" s="74"/>
    </row>
    <row r="18" spans="1:11" ht="18" x14ac:dyDescent="0.25">
      <c r="A18" s="90" t="s">
        <v>238</v>
      </c>
      <c r="B18" s="88">
        <f>(B17-C17)/C17</f>
        <v>-0.66666666666666663</v>
      </c>
      <c r="C18" s="88">
        <f>(C17-D17)/D17</f>
        <v>3.0714285714285707</v>
      </c>
      <c r="D18" s="87" t="s">
        <v>855</v>
      </c>
      <c r="G18" s="90" t="s">
        <v>874</v>
      </c>
      <c r="H18" s="59">
        <v>-4495.41</v>
      </c>
      <c r="I18" s="59">
        <v>-1010.05</v>
      </c>
    </row>
    <row r="19" spans="1:11" ht="54" x14ac:dyDescent="0.25">
      <c r="A19" s="90" t="s">
        <v>851</v>
      </c>
      <c r="B19" s="96">
        <v>792632692.84000003</v>
      </c>
      <c r="C19" s="96">
        <v>1461760937.6199999</v>
      </c>
      <c r="D19" s="96">
        <v>405859596.56999999</v>
      </c>
      <c r="E19" s="74"/>
      <c r="F19" s="74"/>
      <c r="G19" s="90" t="s">
        <v>238</v>
      </c>
      <c r="H19" s="88">
        <f>(H18-I18)/I18</f>
        <v>3.4506806593732984</v>
      </c>
      <c r="I19" s="88"/>
      <c r="J19" s="74"/>
      <c r="K19" s="74"/>
    </row>
    <row r="20" spans="1:11" ht="54" x14ac:dyDescent="0.25">
      <c r="A20" s="90" t="s">
        <v>238</v>
      </c>
      <c r="B20" s="88">
        <f>(B19-C19)/C19</f>
        <v>-0.45775490886318015</v>
      </c>
      <c r="C20" s="88">
        <f>(C19-D19)/D19</f>
        <v>2.6016419224126563</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96">
        <v>7001505629.2299995</v>
      </c>
      <c r="C25" s="96">
        <v>7043342069.8999996</v>
      </c>
      <c r="D25" s="96">
        <v>6328859643.5200005</v>
      </c>
      <c r="G25" s="90" t="s">
        <v>238</v>
      </c>
      <c r="H25" s="88">
        <f>(H24-I24)/I24</f>
        <v>4.2357268742096534E-2</v>
      </c>
      <c r="I25" s="88"/>
    </row>
    <row r="26" spans="1:11" ht="54" x14ac:dyDescent="0.25">
      <c r="A26" s="90" t="s">
        <v>238</v>
      </c>
      <c r="B26" s="88">
        <f>(B25-C25)/C25</f>
        <v>-5.9398564282132135E-3</v>
      </c>
      <c r="C26" s="88">
        <f>(C25-D25)/D25</f>
        <v>0.11289275898408399</v>
      </c>
      <c r="D26" s="87" t="s">
        <v>855</v>
      </c>
      <c r="G26" s="90" t="s">
        <v>876</v>
      </c>
      <c r="H26" s="59">
        <v>40489.449999999997</v>
      </c>
      <c r="I26" s="59">
        <v>-11611.57</v>
      </c>
    </row>
    <row r="27" spans="1:11" ht="18" x14ac:dyDescent="0.25">
      <c r="A27" s="90" t="s">
        <v>897</v>
      </c>
      <c r="B27" s="98">
        <v>6.1899999999999997E-2</v>
      </c>
      <c r="C27" s="98">
        <v>0.2049</v>
      </c>
      <c r="D27" s="98">
        <v>5.5100000000000003E-2</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0.47</v>
      </c>
      <c r="C30" s="94">
        <v>0.69</v>
      </c>
      <c r="D30" s="94">
        <v>0.52</v>
      </c>
      <c r="G30" s="90"/>
      <c r="H30" s="59"/>
      <c r="I30" s="59"/>
    </row>
    <row r="31" spans="1:11" ht="18" x14ac:dyDescent="0.25">
      <c r="A31" s="90" t="s">
        <v>900</v>
      </c>
      <c r="B31" s="94">
        <v>1.28</v>
      </c>
      <c r="C31" s="94">
        <v>1.35</v>
      </c>
      <c r="D31" s="94">
        <v>1.45</v>
      </c>
      <c r="G31" s="90"/>
      <c r="H31" s="59"/>
      <c r="I31" s="59"/>
    </row>
    <row r="32" spans="1:11" ht="18" x14ac:dyDescent="0.25">
      <c r="A32" s="74" t="s">
        <v>856</v>
      </c>
      <c r="G32" s="90" t="s">
        <v>238</v>
      </c>
      <c r="H32" s="88">
        <f>(H26-I26)/I26</f>
        <v>-4.4869918538147724</v>
      </c>
      <c r="I32" s="88"/>
    </row>
    <row r="33" spans="1:4" x14ac:dyDescent="0.15">
      <c r="A33" s="124"/>
      <c r="B33" s="124"/>
      <c r="C33" s="124"/>
      <c r="D33" s="124"/>
    </row>
    <row r="34" spans="1:4" x14ac:dyDescent="0.15">
      <c r="A34" s="124"/>
      <c r="B34" s="124"/>
      <c r="C34" s="124"/>
      <c r="D34" s="124"/>
    </row>
    <row r="35" spans="1:4" x14ac:dyDescent="0.15">
      <c r="A35" s="124"/>
      <c r="B35" s="124"/>
      <c r="C35" s="124"/>
      <c r="D35" s="124"/>
    </row>
    <row r="36" spans="1:4" x14ac:dyDescent="0.15">
      <c r="A36" s="124"/>
      <c r="B36" s="124"/>
      <c r="C36" s="124"/>
      <c r="D36" s="124"/>
    </row>
    <row r="37" spans="1:4" x14ac:dyDescent="0.15">
      <c r="A37" s="124"/>
      <c r="B37" s="124"/>
      <c r="C37" s="124"/>
      <c r="D37" s="124"/>
    </row>
    <row r="40" spans="1:4" x14ac:dyDescent="0.15">
      <c r="A40" s="131" t="s">
        <v>888</v>
      </c>
      <c r="B40" s="131"/>
      <c r="C40" s="131"/>
      <c r="D40" s="131"/>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1.9340190156863621</v>
      </c>
      <c r="C50" s="37">
        <f>C11/C9</f>
        <v>1.122876161992618</v>
      </c>
      <c r="D50" s="37">
        <f>D11/D9</f>
        <v>1.3679023852856964</v>
      </c>
    </row>
    <row r="51" spans="1:4" ht="18" x14ac:dyDescent="0.25">
      <c r="A51" s="90" t="s">
        <v>238</v>
      </c>
      <c r="B51" s="88">
        <f>(B50-C50)/C50</f>
        <v>0.722379618652085</v>
      </c>
      <c r="C51" s="88">
        <f>(C50-D50)/D50</f>
        <v>-0.17912551796735329</v>
      </c>
      <c r="D51" s="87" t="s">
        <v>855</v>
      </c>
    </row>
    <row r="52" spans="1:4" ht="54" x14ac:dyDescent="0.25">
      <c r="A52" s="90" t="s">
        <v>894</v>
      </c>
      <c r="B52" s="37">
        <f>B19/B13</f>
        <v>2.3391862883290737</v>
      </c>
      <c r="C52" s="37">
        <f>C19/C13</f>
        <v>1.4370830617213457</v>
      </c>
      <c r="D52" s="37">
        <f>D19/D13</f>
        <v>1.6441628644517647</v>
      </c>
    </row>
    <row r="53" spans="1:4" ht="18" x14ac:dyDescent="0.25">
      <c r="A53" s="90" t="s">
        <v>238</v>
      </c>
      <c r="B53" s="88">
        <f>(B52-C52)/C52</f>
        <v>0.62773214063714866</v>
      </c>
      <c r="C53" s="88">
        <f>(C52-D52)/D52</f>
        <v>-0.12594847335848838</v>
      </c>
      <c r="D53" s="87" t="s">
        <v>855</v>
      </c>
    </row>
    <row r="54" spans="1:4" ht="36" x14ac:dyDescent="0.25">
      <c r="A54" s="90" t="s">
        <v>895</v>
      </c>
      <c r="B54" s="37">
        <f>B13/B21</f>
        <v>4.9949254945547388</v>
      </c>
      <c r="C54" s="37">
        <f>C13/C21</f>
        <v>15.629062349094452</v>
      </c>
      <c r="D54" s="37">
        <f>D13/D21</f>
        <v>3.9102836868209243</v>
      </c>
    </row>
    <row r="55" spans="1:4" ht="18" x14ac:dyDescent="0.25">
      <c r="A55" s="90" t="s">
        <v>238</v>
      </c>
      <c r="B55" s="88">
        <f>(B54-C54)/C54</f>
        <v>-0.68040785921849334</v>
      </c>
      <c r="C55" s="88">
        <f>(C54-D54)/D54</f>
        <v>2.9969126541304578</v>
      </c>
      <c r="D55" s="87" t="s">
        <v>855</v>
      </c>
    </row>
  </sheetData>
  <mergeCells count="8">
    <mergeCell ref="A33:D37"/>
    <mergeCell ref="A40:D40"/>
    <mergeCell ref="B2:F2"/>
    <mergeCell ref="B3:F3"/>
    <mergeCell ref="B4:F4"/>
    <mergeCell ref="B5:F5"/>
    <mergeCell ref="A6:K6"/>
    <mergeCell ref="A7:D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2019宏观经济数据  </vt:lpstr>
      <vt:lpstr>2020宏观经济数据</vt:lpstr>
      <vt:lpstr>水泥 </vt:lpstr>
      <vt:lpstr>生长素 </vt:lpstr>
      <vt:lpstr>中药</vt:lpstr>
      <vt:lpstr>快递</vt:lpstr>
      <vt:lpstr>航空</vt:lpstr>
      <vt:lpstr>被动元件原料</vt:lpstr>
      <vt:lpstr>被动元件</vt:lpstr>
      <vt:lpstr>PCB </vt:lpstr>
      <vt:lpstr>半导体封测</vt:lpstr>
      <vt:lpstr>汽车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2020-07-26T15:12:42Z</dcterms:modified>
</cp:coreProperties>
</file>