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rel-my.sharepoint.com/personal/jmiller3_nrel_gov/Documents/Jet fuel project/Fuel_props/VULTURE code/"/>
    </mc:Choice>
  </mc:AlternateContent>
  <xr:revisionPtr revIDLastSave="118" documentId="8_{362D4EE2-90EF-4103-B1F1-4E72F431AE52}" xr6:coauthVersionLast="47" xr6:coauthVersionMax="47" xr10:uidLastSave="{7AE38145-38C3-48E8-9B38-5187010C8CD2}"/>
  <bookViews>
    <workbookView xWindow="-108" yWindow="-108" windowWidth="23256" windowHeight="12576" xr2:uid="{67D7BB02-49D5-4E54-B5A4-D8D37954CE5D}"/>
  </bookViews>
  <sheets>
    <sheet name="Component FP Predictions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3" l="1"/>
  <c r="CI5" i="13"/>
  <c r="CI6" i="13"/>
  <c r="CI7" i="13"/>
  <c r="CI8" i="13"/>
  <c r="CI9" i="13"/>
  <c r="CI10" i="13"/>
  <c r="CI11" i="13"/>
  <c r="CI12" i="13"/>
  <c r="CI13" i="13"/>
  <c r="CI14" i="13"/>
  <c r="CI15" i="13"/>
  <c r="CI16" i="13"/>
  <c r="CI4" i="13"/>
  <c r="CQ22" i="13"/>
  <c r="CR22" i="13"/>
  <c r="CQ23" i="13"/>
  <c r="CR23" i="13"/>
  <c r="CQ24" i="13"/>
  <c r="CR24" i="13" s="1"/>
  <c r="CR21" i="13"/>
  <c r="CR20" i="13"/>
  <c r="CQ21" i="13"/>
  <c r="CG4" i="13"/>
  <c r="CG5" i="13"/>
  <c r="CG6" i="13"/>
  <c r="CG7" i="13"/>
  <c r="CG8" i="13"/>
  <c r="CG9" i="13"/>
  <c r="CG10" i="13"/>
  <c r="CG11" i="13"/>
  <c r="CG12" i="13"/>
  <c r="CG13" i="13"/>
  <c r="CG14" i="13"/>
  <c r="CG15" i="13"/>
  <c r="CG16" i="13"/>
  <c r="AX4" i="13"/>
  <c r="BP5" i="13"/>
  <c r="BP6" i="13"/>
  <c r="BP7" i="13"/>
  <c r="BP8" i="13"/>
  <c r="BP9" i="13"/>
  <c r="BP10" i="13"/>
  <c r="BP11" i="13"/>
  <c r="BP12" i="13"/>
  <c r="BP13" i="13"/>
  <c r="BP14" i="13"/>
  <c r="BP15" i="13"/>
  <c r="BP16" i="13"/>
  <c r="BP4" i="13"/>
  <c r="BO5" i="13"/>
  <c r="BO6" i="13"/>
  <c r="BO7" i="13"/>
  <c r="BO8" i="13"/>
  <c r="BO9" i="13"/>
  <c r="BO10" i="13"/>
  <c r="BO11" i="13"/>
  <c r="BO12" i="13"/>
  <c r="BO13" i="13"/>
  <c r="BO14" i="13"/>
  <c r="BO15" i="13"/>
  <c r="BO16" i="13"/>
  <c r="BO4" i="13"/>
  <c r="BQ4" i="13"/>
  <c r="BR4" i="13"/>
  <c r="BQ5" i="13"/>
  <c r="BR5" i="13"/>
  <c r="BQ6" i="13"/>
  <c r="BR6" i="13"/>
  <c r="BQ7" i="13"/>
  <c r="BR7" i="13"/>
  <c r="BQ8" i="13"/>
  <c r="BR8" i="13"/>
  <c r="BQ9" i="13"/>
  <c r="BR9" i="13"/>
  <c r="BQ10" i="13"/>
  <c r="BR10" i="13"/>
  <c r="BQ11" i="13"/>
  <c r="BR11" i="13"/>
  <c r="BQ12" i="13"/>
  <c r="BR12" i="13"/>
  <c r="BQ13" i="13"/>
  <c r="BR13" i="13"/>
  <c r="BQ14" i="13"/>
  <c r="BR14" i="13"/>
  <c r="BQ15" i="13"/>
  <c r="BR15" i="13"/>
  <c r="BQ16" i="13"/>
  <c r="BR16" i="13"/>
  <c r="BL16" i="13"/>
  <c r="BK16" i="13"/>
  <c r="BZ16" i="13"/>
  <c r="BY16" i="13"/>
  <c r="AW16" i="13"/>
  <c r="AX16" i="13" s="1"/>
  <c r="BA16" i="13" s="1"/>
  <c r="BC16" i="13" s="1"/>
  <c r="AU16" i="13"/>
  <c r="AY16" i="13" s="1"/>
  <c r="BB16" i="13" s="1"/>
  <c r="AT16" i="13"/>
  <c r="AE16" i="13"/>
  <c r="R16" i="13"/>
  <c r="I16" i="13" s="1"/>
  <c r="BL15" i="13"/>
  <c r="BK15" i="13"/>
  <c r="BZ15" i="13"/>
  <c r="BY15" i="13"/>
  <c r="AW15" i="13"/>
  <c r="AX15" i="13" s="1"/>
  <c r="BA15" i="13" s="1"/>
  <c r="AU15" i="13"/>
  <c r="AY15" i="13" s="1"/>
  <c r="BB15" i="13" s="1"/>
  <c r="AT15" i="13"/>
  <c r="AE15" i="13"/>
  <c r="R15" i="13"/>
  <c r="O15" i="13" s="1"/>
  <c r="M15" i="13"/>
  <c r="CQ25" i="13" l="1"/>
  <c r="K16" i="13"/>
  <c r="AL16" i="13" s="1"/>
  <c r="M16" i="13"/>
  <c r="Q15" i="13"/>
  <c r="I15" i="13"/>
  <c r="K15" i="13"/>
  <c r="AL15" i="13" s="1"/>
  <c r="AV15" i="13"/>
  <c r="AZ15" i="13" s="1"/>
  <c r="O16" i="13"/>
  <c r="Q16" i="13"/>
  <c r="AG16" i="13" s="1"/>
  <c r="AO16" i="13" s="1"/>
  <c r="AV16" i="13"/>
  <c r="AZ16" i="13" s="1"/>
  <c r="BC15" i="13"/>
  <c r="AW10" i="13"/>
  <c r="AW11" i="13"/>
  <c r="AW12" i="13"/>
  <c r="AU11" i="13"/>
  <c r="AU10" i="13"/>
  <c r="AT4" i="13"/>
  <c r="AE4" i="13"/>
  <c r="AE5" i="13"/>
  <c r="BL5" i="13"/>
  <c r="BL6" i="13"/>
  <c r="BL7" i="13"/>
  <c r="BL8" i="13"/>
  <c r="BL9" i="13"/>
  <c r="BL10" i="13"/>
  <c r="BL11" i="13"/>
  <c r="BL12" i="13"/>
  <c r="BL13" i="13"/>
  <c r="BL14" i="13"/>
  <c r="BL4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CR25" i="13" l="1"/>
  <c r="CQ26" i="13"/>
  <c r="AF16" i="13"/>
  <c r="AG15" i="13"/>
  <c r="AO15" i="13" s="1"/>
  <c r="AH15" i="13"/>
  <c r="AP15" i="13" s="1"/>
  <c r="AF15" i="13"/>
  <c r="AN16" i="13"/>
  <c r="AH16" i="13"/>
  <c r="AP16" i="13" s="1"/>
  <c r="BK14" i="13"/>
  <c r="BZ14" i="13"/>
  <c r="BY14" i="13"/>
  <c r="AW14" i="13"/>
  <c r="AX14" i="13" s="1"/>
  <c r="BA14" i="13" s="1"/>
  <c r="AU14" i="13"/>
  <c r="AY14" i="13" s="1"/>
  <c r="BB14" i="13" s="1"/>
  <c r="AT14" i="13"/>
  <c r="AE14" i="13"/>
  <c r="R14" i="13"/>
  <c r="BK13" i="13"/>
  <c r="BZ13" i="13"/>
  <c r="BY13" i="13"/>
  <c r="AW13" i="13"/>
  <c r="AX13" i="13" s="1"/>
  <c r="BA13" i="13" s="1"/>
  <c r="BC13" i="13" s="1"/>
  <c r="AU13" i="13"/>
  <c r="AY13" i="13" s="1"/>
  <c r="BB13" i="13" s="1"/>
  <c r="AT13" i="13"/>
  <c r="AE13" i="13"/>
  <c r="R13" i="13"/>
  <c r="Q13" i="13" s="1"/>
  <c r="BK12" i="13"/>
  <c r="BZ12" i="13"/>
  <c r="BY12" i="13"/>
  <c r="AX12" i="13"/>
  <c r="BA12" i="13" s="1"/>
  <c r="BC12" i="13" s="1"/>
  <c r="AU12" i="13"/>
  <c r="AY12" i="13" s="1"/>
  <c r="BB12" i="13" s="1"/>
  <c r="AT12" i="13"/>
  <c r="AE12" i="13"/>
  <c r="R12" i="13"/>
  <c r="Q12" i="13" s="1"/>
  <c r="BK11" i="13"/>
  <c r="AX11" i="13"/>
  <c r="BA11" i="13" s="1"/>
  <c r="AT11" i="13"/>
  <c r="R11" i="13"/>
  <c r="Q11" i="13" s="1"/>
  <c r="BK10" i="13"/>
  <c r="BZ10" i="13"/>
  <c r="BY10" i="13"/>
  <c r="AX10" i="13"/>
  <c r="BA10" i="13" s="1"/>
  <c r="AY10" i="13"/>
  <c r="BB10" i="13" s="1"/>
  <c r="AT10" i="13"/>
  <c r="AV10" i="13" s="1"/>
  <c r="AZ10" i="13" s="1"/>
  <c r="AE10" i="13"/>
  <c r="R10" i="13"/>
  <c r="Q10" i="13" s="1"/>
  <c r="BK9" i="13"/>
  <c r="BZ9" i="13"/>
  <c r="BY9" i="13"/>
  <c r="AW9" i="13"/>
  <c r="AX9" i="13" s="1"/>
  <c r="BA9" i="13" s="1"/>
  <c r="AU9" i="13"/>
  <c r="AY9" i="13" s="1"/>
  <c r="BB9" i="13" s="1"/>
  <c r="AT9" i="13"/>
  <c r="AE9" i="13"/>
  <c r="R9" i="13"/>
  <c r="Q9" i="13" s="1"/>
  <c r="BK8" i="13"/>
  <c r="BZ8" i="13"/>
  <c r="BY8" i="13"/>
  <c r="AW8" i="13"/>
  <c r="AX8" i="13" s="1"/>
  <c r="BA8" i="13" s="1"/>
  <c r="AU8" i="13"/>
  <c r="AY8" i="13" s="1"/>
  <c r="BB8" i="13" s="1"/>
  <c r="AT8" i="13"/>
  <c r="AE8" i="13"/>
  <c r="R8" i="13"/>
  <c r="Q8" i="13" s="1"/>
  <c r="BK7" i="13"/>
  <c r="BZ7" i="13"/>
  <c r="BY7" i="13"/>
  <c r="AW7" i="13"/>
  <c r="AX7" i="13" s="1"/>
  <c r="BA7" i="13" s="1"/>
  <c r="AU7" i="13"/>
  <c r="AY7" i="13" s="1"/>
  <c r="BB7" i="13" s="1"/>
  <c r="AT7" i="13"/>
  <c r="AE7" i="13"/>
  <c r="R7" i="13"/>
  <c r="I7" i="13" s="1"/>
  <c r="BK6" i="13"/>
  <c r="BZ6" i="13"/>
  <c r="BY6" i="13"/>
  <c r="AW6" i="13"/>
  <c r="AX6" i="13" s="1"/>
  <c r="BA6" i="13" s="1"/>
  <c r="AU6" i="13"/>
  <c r="AY6" i="13" s="1"/>
  <c r="BB6" i="13" s="1"/>
  <c r="AT6" i="13"/>
  <c r="AE6" i="13"/>
  <c r="R6" i="13"/>
  <c r="O6" i="13" s="1"/>
  <c r="BK5" i="13"/>
  <c r="BZ5" i="13"/>
  <c r="BY5" i="13"/>
  <c r="AW5" i="13"/>
  <c r="AX5" i="13" s="1"/>
  <c r="BA5" i="13" s="1"/>
  <c r="AU5" i="13"/>
  <c r="AY5" i="13" s="1"/>
  <c r="BB5" i="13" s="1"/>
  <c r="AT5" i="13"/>
  <c r="R5" i="13"/>
  <c r="O5" i="13" s="1"/>
  <c r="BK4" i="13"/>
  <c r="BZ4" i="13"/>
  <c r="BY4" i="13"/>
  <c r="AW4" i="13"/>
  <c r="BA4" i="13" s="1"/>
  <c r="AU4" i="13"/>
  <c r="AY4" i="13" s="1"/>
  <c r="BB4" i="13" s="1"/>
  <c r="R4" i="13"/>
  <c r="Q4" i="13" s="1"/>
  <c r="CR26" i="13" l="1"/>
  <c r="CQ27" i="13"/>
  <c r="BC14" i="13"/>
  <c r="BC6" i="13"/>
  <c r="AI16" i="13"/>
  <c r="BC7" i="13"/>
  <c r="BC9" i="13"/>
  <c r="BC5" i="13"/>
  <c r="BC8" i="13"/>
  <c r="BC4" i="13"/>
  <c r="BC10" i="13"/>
  <c r="AI15" i="13"/>
  <c r="AJ15" i="13"/>
  <c r="AN15" i="13"/>
  <c r="AQ16" i="13"/>
  <c r="AR16" i="13"/>
  <c r="AJ16" i="13"/>
  <c r="AV5" i="13"/>
  <c r="AZ5" i="13" s="1"/>
  <c r="AV6" i="13"/>
  <c r="AZ6" i="13" s="1"/>
  <c r="AV14" i="13"/>
  <c r="AZ14" i="13" s="1"/>
  <c r="AV12" i="13"/>
  <c r="AZ12" i="13" s="1"/>
  <c r="Q6" i="13"/>
  <c r="K4" i="13"/>
  <c r="AL4" i="13" s="1"/>
  <c r="Q14" i="13"/>
  <c r="I14" i="13"/>
  <c r="I12" i="13"/>
  <c r="K12" i="13"/>
  <c r="AL12" i="13" s="1"/>
  <c r="I8" i="13"/>
  <c r="K8" i="13"/>
  <c r="AL8" i="13" s="1"/>
  <c r="M7" i="13"/>
  <c r="Q5" i="13"/>
  <c r="AV9" i="13"/>
  <c r="AZ9" i="13" s="1"/>
  <c r="AV11" i="13"/>
  <c r="AZ11" i="13" s="1"/>
  <c r="I4" i="13"/>
  <c r="K7" i="13"/>
  <c r="AL7" i="13" s="1"/>
  <c r="O7" i="13"/>
  <c r="AV8" i="13"/>
  <c r="AZ8" i="13" s="1"/>
  <c r="AY11" i="13"/>
  <c r="BB11" i="13" s="1"/>
  <c r="BC11" i="13" s="1"/>
  <c r="I5" i="13"/>
  <c r="AV13" i="13"/>
  <c r="AZ13" i="13" s="1"/>
  <c r="M4" i="13"/>
  <c r="K5" i="13"/>
  <c r="Q7" i="13"/>
  <c r="AV7" i="13"/>
  <c r="AZ7" i="13" s="1"/>
  <c r="M8" i="13"/>
  <c r="M12" i="13"/>
  <c r="O4" i="13"/>
  <c r="M5" i="13"/>
  <c r="O8" i="13"/>
  <c r="I9" i="13"/>
  <c r="I10" i="13"/>
  <c r="I11" i="13"/>
  <c r="O12" i="13"/>
  <c r="I13" i="13"/>
  <c r="AV4" i="13"/>
  <c r="AZ4" i="13" s="1"/>
  <c r="I6" i="13"/>
  <c r="K9" i="13"/>
  <c r="AL9" i="13" s="1"/>
  <c r="K10" i="13"/>
  <c r="AL10" i="13" s="1"/>
  <c r="K11" i="13"/>
  <c r="AL11" i="13" s="1"/>
  <c r="K13" i="13"/>
  <c r="AL13" i="13" s="1"/>
  <c r="K14" i="13"/>
  <c r="AL14" i="13" s="1"/>
  <c r="K6" i="13"/>
  <c r="AL6" i="13" s="1"/>
  <c r="M9" i="13"/>
  <c r="M10" i="13"/>
  <c r="M11" i="13"/>
  <c r="M13" i="13"/>
  <c r="M14" i="13"/>
  <c r="M6" i="13"/>
  <c r="O9" i="13"/>
  <c r="O10" i="13"/>
  <c r="O11" i="13"/>
  <c r="O13" i="13"/>
  <c r="O14" i="13"/>
  <c r="CR27" i="13" l="1"/>
  <c r="CQ28" i="13"/>
  <c r="AF4" i="13"/>
  <c r="AR15" i="13"/>
  <c r="AQ15" i="13"/>
  <c r="AG4" i="13"/>
  <c r="AO4" i="13" s="1"/>
  <c r="AG12" i="13"/>
  <c r="AO12" i="13" s="1"/>
  <c r="AF12" i="13"/>
  <c r="AN12" i="13" s="1"/>
  <c r="AH8" i="13"/>
  <c r="AP8" i="13" s="1"/>
  <c r="AG8" i="13"/>
  <c r="AO8" i="13" s="1"/>
  <c r="AF7" i="13"/>
  <c r="AN7" i="13" s="1"/>
  <c r="AG5" i="13"/>
  <c r="AH4" i="13"/>
  <c r="AP4" i="13" s="1"/>
  <c r="AH7" i="13"/>
  <c r="AP7" i="13" s="1"/>
  <c r="AG7" i="13"/>
  <c r="AO7" i="13" s="1"/>
  <c r="AF8" i="13"/>
  <c r="AN8" i="13" s="1"/>
  <c r="AH5" i="13"/>
  <c r="AH12" i="13"/>
  <c r="AP12" i="13" s="1"/>
  <c r="AH9" i="13"/>
  <c r="AP9" i="13" s="1"/>
  <c r="AG9" i="13"/>
  <c r="AO9" i="13" s="1"/>
  <c r="AF9" i="13"/>
  <c r="AH14" i="13"/>
  <c r="AP14" i="13" s="1"/>
  <c r="AG14" i="13"/>
  <c r="AO14" i="13" s="1"/>
  <c r="AF14" i="13"/>
  <c r="AH10" i="13"/>
  <c r="AP10" i="13" s="1"/>
  <c r="AG10" i="13"/>
  <c r="AO10" i="13" s="1"/>
  <c r="AF10" i="13"/>
  <c r="AH13" i="13"/>
  <c r="AP13" i="13" s="1"/>
  <c r="AG13" i="13"/>
  <c r="AO13" i="13" s="1"/>
  <c r="AF13" i="13"/>
  <c r="AH6" i="13"/>
  <c r="AP6" i="13" s="1"/>
  <c r="AG6" i="13"/>
  <c r="AO6" i="13" s="1"/>
  <c r="AF6" i="13"/>
  <c r="AH11" i="13"/>
  <c r="AP11" i="13" s="1"/>
  <c r="AG11" i="13"/>
  <c r="AO11" i="13" s="1"/>
  <c r="AF11" i="13"/>
  <c r="AL5" i="13"/>
  <c r="AF5" i="13"/>
  <c r="CR28" i="13" l="1"/>
  <c r="CQ29" i="13"/>
  <c r="CR29" i="13" s="1"/>
  <c r="AI4" i="13"/>
  <c r="AJ12" i="13"/>
  <c r="AO5" i="13"/>
  <c r="AJ7" i="13"/>
  <c r="AI7" i="13"/>
  <c r="AI12" i="13"/>
  <c r="AJ8" i="13"/>
  <c r="AI8" i="13"/>
  <c r="AJ13" i="13"/>
  <c r="AI13" i="13"/>
  <c r="AN13" i="13"/>
  <c r="AQ8" i="13"/>
  <c r="AR8" i="13"/>
  <c r="AJ6" i="13"/>
  <c r="AI6" i="13"/>
  <c r="AN6" i="13"/>
  <c r="AN10" i="13"/>
  <c r="AJ10" i="13"/>
  <c r="AI10" i="13"/>
  <c r="AN5" i="13"/>
  <c r="AJ5" i="13"/>
  <c r="AI5" i="13"/>
  <c r="AN11" i="13"/>
  <c r="AJ11" i="13"/>
  <c r="AI11" i="13"/>
  <c r="AR7" i="13"/>
  <c r="AQ7" i="13"/>
  <c r="AN4" i="13"/>
  <c r="AJ4" i="13"/>
  <c r="AR12" i="13"/>
  <c r="AQ12" i="13"/>
  <c r="AP5" i="13"/>
  <c r="AN14" i="13"/>
  <c r="AJ14" i="13"/>
  <c r="AI14" i="13"/>
  <c r="AN9" i="13"/>
  <c r="AJ9" i="13"/>
  <c r="AI9" i="13"/>
  <c r="AR14" i="13" l="1"/>
  <c r="AQ14" i="13"/>
  <c r="AR11" i="13"/>
  <c r="AQ11" i="13"/>
  <c r="AR10" i="13"/>
  <c r="AQ10" i="13"/>
  <c r="AR6" i="13"/>
  <c r="AQ6" i="13"/>
  <c r="AR13" i="13"/>
  <c r="AQ13" i="13"/>
  <c r="AR4" i="13"/>
  <c r="AQ4" i="13"/>
  <c r="AQ5" i="13"/>
  <c r="AR5" i="13"/>
  <c r="AR9" i="13"/>
  <c r="AQ9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tc={D34DADC3-5CAC-443B-A7A4-B1AA3E0BC8B9}</author>
    <author>tc={FF1F8B2F-05A1-485A-9C68-6FB1049EDB44}</author>
    <author>tc={7B22AA94-4EFB-4FBE-8D0A-DCA9C0CB6CF4}</author>
    <author>tc={27BDA195-C2DD-4520-B19E-847552DC7BDF}</author>
    <author>tc={ADD062D6-DAAA-4F16-A457-AB74587A8423}</author>
    <author>tc={5437F76F-F02E-4902-BBE0-70CB3F559994}</author>
    <author>tc={FF075CAE-3D3E-4E4D-B07A-94B50E06EE0D}</author>
    <author>tc={EC985B53-A22E-44B7-9F66-DA39D82A3F79}</author>
    <author>tc={8C4EE28B-F779-4A65-9A30-5189F2F6D85A}</author>
    <author>tc={83DA92A9-0C95-42C9-9708-2EACD1A4F226}</author>
    <author>tc={C7E19623-4D02-4895-AB05-0D6EA1D2229F}</author>
    <author>tc={C064BDB9-D5AD-4401-B05F-0360CF5973A2}</author>
    <author>tc={F169C029-8468-4415-95BE-90D0C7C6E5F7}</author>
    <author>tc={5CAD9754-B13A-41BC-8C2B-7028E5A4B6F0}</author>
  </authors>
  <commentList>
    <comment ref="S1" authorId="0" shapeId="0" xr:uid="{D34DADC3-5CAC-443B-A7A4-B1AA3E0BC8B9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Needed for flashpoint estimations; check whether references predicted or measured cells</t>
      </text>
    </comment>
    <comment ref="AZ1" authorId="1" shapeId="0" xr:uid="{FF1F8B2F-05A1-485A-9C68-6FB1049EDB44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associated deviations per HC class on "pure component models" tab</t>
      </text>
    </comment>
    <comment ref="BT2" authorId="2" shapeId="0" xr:uid="{7B22AA94-4EFB-4FBE-8D0A-DCA9C0CB6CF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download csv and search that way</t>
      </text>
    </comment>
    <comment ref="BD3" authorId="3" shapeId="0" xr:uid="{27BDA195-C2DD-4520-B19E-847552DC7BDF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TEST's experimental database is kind of messed up...</t>
      </text>
    </comment>
    <comment ref="CK5" authorId="4" shapeId="0" xr:uid="{ADD062D6-DAAA-4F16-A457-AB74587A8423}">
      <text>
        <t>[Threaded comment]
Your version of Excel allows you to read this threaded comment; however, any edits to it will get removed if the file is opened in a newer version of Excel. Learn more: https://go.microsoft.com/fwlink/?linkid=870924
Comment:
    at -3 C, right before evaporation</t>
      </text>
    </comment>
    <comment ref="CK6" authorId="5" shapeId="0" xr:uid="{5437F76F-F02E-4902-BBE0-70CB3F559994}">
      <text>
        <t>[Threaded comment]
Your version of Excel allows you to read this threaded comment; however, any edits to it will get removed if the file is opened in a newer version of Excel. Learn more: https://go.microsoft.com/fwlink/?linkid=870924
Comment:
    at 27 C, right before evaporation</t>
      </text>
    </comment>
    <comment ref="BU11" authorId="6" shapeId="0" xr:uid="{FF075CAE-3D3E-4E4D-B07A-94B50E06EE0D}">
      <text>
        <t>[Threaded comment]
Your version of Excel allows you to read this threaded comment; however, any edits to it will get removed if the file is opened in a newer version of Excel. Learn more: https://go.microsoft.com/fwlink/?linkid=870924
Comment:
    Weird -0.22 prediction</t>
      </text>
    </comment>
    <comment ref="CJ11" authorId="7" shapeId="0" xr:uid="{EC985B53-A22E-44B7-9F66-DA39D82A3F79}">
      <text>
        <t>[Threaded comment]
Your version of Excel allows you to read this threaded comment; however, any edits to it will get removed if the file is opened in a newer version of Excel. Learn more: https://go.microsoft.com/fwlink/?linkid=870924
Comment:
    AT -30, lowest I could get</t>
      </text>
    </comment>
    <comment ref="CJ12" authorId="8" shapeId="0" xr:uid="{8C4EE28B-F779-4A65-9A30-5189F2F6D85A}">
      <text>
        <t>[Threaded comment]
Your version of Excel allows you to read this threaded comment; however, any edits to it will get removed if the file is opened in a newer version of Excel. Learn more: https://go.microsoft.com/fwlink/?linkid=870924
Comment:
    at -10C, lowest I could get</t>
      </text>
    </comment>
    <comment ref="CJ13" authorId="9" shapeId="0" xr:uid="{83DA92A9-0C95-42C9-9708-2EACD1A4F226}">
      <text>
        <t>[Threaded comment]
Your version of Excel allows you to read this threaded comment; however, any edits to it will get removed if the file is opened in a newer version of Excel. Learn more: https://go.microsoft.com/fwlink/?linkid=870924
Comment:
    at -10, lowest I could get</t>
      </text>
    </comment>
    <comment ref="CJ14" authorId="10" shapeId="0" xr:uid="{C7E19623-4D02-4895-AB05-0D6EA1D2229F}">
      <text>
        <t>[Threaded comment]
Your version of Excel allows you to read this threaded comment; however, any edits to it will get removed if the file is opened in a newer version of Excel. Learn more: https://go.microsoft.com/fwlink/?linkid=870924
Comment:
    At 0 C, lowest I could get</t>
      </text>
    </comment>
    <comment ref="CJ15" authorId="11" shapeId="0" xr:uid="{C064BDB9-D5AD-4401-B05F-0360CF5973A2}">
      <text>
        <t>[Threaded comment]
Your version of Excel allows you to read this threaded comment; however, any edits to it will get removed if the file is opened in a newer version of Excel. Learn more: https://go.microsoft.com/fwlink/?linkid=870924
Comment:
    at 10 C, lowest I could get</t>
      </text>
    </comment>
    <comment ref="CJ16" authorId="12" shapeId="0" xr:uid="{F169C029-8468-4415-95BE-90D0C7C6E5F7}">
      <text>
        <t>[Threaded comment]
Your version of Excel allows you to read this threaded comment; however, any edits to it will get removed if the file is opened in a newer version of Excel. Learn more: https://go.microsoft.com/fwlink/?linkid=870924
Comment:
    at 20 C, lowest I could get</t>
      </text>
    </comment>
    <comment ref="B20" authorId="13" shapeId="0" xr:uid="{5CAD9754-B13A-41BC-8C2B-7028E5A4B6F0}">
      <text>
        <t>[Threaded comment]
Your version of Excel allows you to read this threaded comment; however, any edits to it will get removed if the file is opened in a newer version of Excel. Learn more: https://go.microsoft.com/fwlink/?linkid=870924
Comment:
    EPIWeb 4.1 - free software from the EPA
TEST - free software from the EPA
Need to get both installed by NREL; mention I had it done before, so they know whether they need to do the full approval process</t>
      </text>
    </comment>
  </commentList>
</comments>
</file>

<file path=xl/sharedStrings.xml><?xml version="1.0" encoding="utf-8"?>
<sst xmlns="http://schemas.openxmlformats.org/spreadsheetml/2006/main" count="208" uniqueCount="133">
  <si>
    <t>Predicted</t>
  </si>
  <si>
    <t>Measured</t>
  </si>
  <si>
    <t>-</t>
  </si>
  <si>
    <t>CN</t>
  </si>
  <si>
    <t>Name</t>
  </si>
  <si>
    <t>Structure</t>
  </si>
  <si>
    <t>Formula</t>
  </si>
  <si>
    <t>Molecular Details for Calculations</t>
  </si>
  <si>
    <t>Boiling Point (°C)</t>
  </si>
  <si>
    <t>Melting Point (°C)</t>
  </si>
  <si>
    <t>Water Solubility (mg/L)</t>
  </si>
  <si>
    <t>HHV (MJ/kg)</t>
  </si>
  <si>
    <t>%H</t>
  </si>
  <si>
    <t>LHV</t>
  </si>
  <si>
    <t>LHV (MJ/kg)</t>
  </si>
  <si>
    <t>For flashpoint calcs</t>
  </si>
  <si>
    <t>Flash Point (°C) per model</t>
  </si>
  <si>
    <t>Flash Point (°C)</t>
  </si>
  <si>
    <t>Density (g/mL)</t>
  </si>
  <si>
    <t>RON</t>
  </si>
  <si>
    <t>MON</t>
  </si>
  <si>
    <t>Octane S</t>
  </si>
  <si>
    <t>AKI</t>
  </si>
  <si>
    <t>Norm Octane S</t>
  </si>
  <si>
    <t>Phi S</t>
  </si>
  <si>
    <t>Norm Phi S</t>
  </si>
  <si>
    <t>2-step hydrotreating products (assumed)</t>
  </si>
  <si>
    <t>Smiles</t>
  </si>
  <si>
    <t>Availability</t>
  </si>
  <si>
    <t>Cost</t>
  </si>
  <si>
    <t>C</t>
  </si>
  <si>
    <t>%</t>
  </si>
  <si>
    <t>H</t>
  </si>
  <si>
    <t>O</t>
  </si>
  <si>
    <t>N</t>
  </si>
  <si>
    <t>S</t>
  </si>
  <si>
    <t>MW</t>
  </si>
  <si>
    <t xml:space="preserve">Predicted </t>
  </si>
  <si>
    <t xml:space="preserve">Measured </t>
  </si>
  <si>
    <t>Normalized by C#</t>
  </si>
  <si>
    <t xml:space="preserve">Pred (LD eq 3) </t>
  </si>
  <si>
    <t>Pred (Dulong eq 1)</t>
  </si>
  <si>
    <t>Pred (Boie eq 4)</t>
  </si>
  <si>
    <t>Average</t>
  </si>
  <si>
    <t>Err (stdev.s/2)</t>
  </si>
  <si>
    <t>Calculated</t>
  </si>
  <si>
    <t>Xst</t>
  </si>
  <si>
    <t>Tb (K)</t>
  </si>
  <si>
    <t>Tflash - Prugh (K)</t>
  </si>
  <si>
    <t>Tb (F)</t>
  </si>
  <si>
    <t>Tflash - Butler (F)</t>
  </si>
  <si>
    <t>Tflash -Alqaheem/ Riazi (K)</t>
  </si>
  <si>
    <t>Calc (Prugh)</t>
  </si>
  <si>
    <t>Calc (Butler)</t>
  </si>
  <si>
    <t>Calc (Alqaheem/ Riazi)</t>
  </si>
  <si>
    <t>Predicted (TEST)</t>
  </si>
  <si>
    <t>Predicted (Pitz model)</t>
  </si>
  <si>
    <t>Denominator</t>
  </si>
  <si>
    <t>EPISuite</t>
  </si>
  <si>
    <t>Error (+/-)</t>
  </si>
  <si>
    <t>From predicted</t>
  </si>
  <si>
    <t>Calc (LD) using calc %H</t>
  </si>
  <si>
    <t>Calc (Dulong)</t>
  </si>
  <si>
    <t>Calc (Boie)</t>
  </si>
  <si>
    <t>Used calc %H</t>
  </si>
  <si>
    <t>Orange = Used pred BP</t>
  </si>
  <si>
    <t>Best for HCs</t>
  </si>
  <si>
    <t>TEST (P)</t>
  </si>
  <si>
    <t>TEST (M)</t>
  </si>
  <si>
    <t>TEST</t>
  </si>
  <si>
    <t>http://combustdb.herokuapp.com/</t>
  </si>
  <si>
    <t>Enter for reference (e.g. predicted ACD/Labs)</t>
  </si>
  <si>
    <t xml:space="preserve">Enter for possible calculation </t>
  </si>
  <si>
    <t>EPISuite/TEST/YSI tool (SMILES)</t>
  </si>
  <si>
    <t>dyn/cm</t>
  </si>
  <si>
    <t>mN/m</t>
  </si>
  <si>
    <t>log10(cP)</t>
  </si>
  <si>
    <t>n-propane</t>
  </si>
  <si>
    <t>n-butane</t>
  </si>
  <si>
    <t>n-pentane</t>
  </si>
  <si>
    <t>n-hexane</t>
  </si>
  <si>
    <t>n-heptane</t>
  </si>
  <si>
    <t>n-octane</t>
  </si>
  <si>
    <t>n-nonane</t>
  </si>
  <si>
    <t>n-decane</t>
  </si>
  <si>
    <t>n-undecane</t>
  </si>
  <si>
    <t>n-dodecane</t>
  </si>
  <si>
    <t>n-tridecane</t>
  </si>
  <si>
    <t>C3H8</t>
  </si>
  <si>
    <t>C4H10</t>
  </si>
  <si>
    <t>C5H12</t>
  </si>
  <si>
    <t>C6H14</t>
  </si>
  <si>
    <t>C7H16</t>
  </si>
  <si>
    <t>C8H18</t>
  </si>
  <si>
    <t>C9H20</t>
  </si>
  <si>
    <t>C10H22</t>
  </si>
  <si>
    <t>C11H24</t>
  </si>
  <si>
    <t>C12H26</t>
  </si>
  <si>
    <t>C13H28</t>
  </si>
  <si>
    <t>CCC</t>
  </si>
  <si>
    <t>CCCC</t>
  </si>
  <si>
    <t>CCCCC</t>
  </si>
  <si>
    <t>CCCCCC</t>
  </si>
  <si>
    <t>CCCCCCC</t>
  </si>
  <si>
    <t>CCCCCCCCCCCC</t>
  </si>
  <si>
    <t>CCCCCCCCCC</t>
  </si>
  <si>
    <t>CCCCCCCC</t>
  </si>
  <si>
    <t>CCCCCCCCC</t>
  </si>
  <si>
    <t>CCCCCCCCCCC</t>
  </si>
  <si>
    <t>CCCCCCCCCCCCC</t>
  </si>
  <si>
    <r>
      <t xml:space="preserve">YSI </t>
    </r>
    <r>
      <rPr>
        <sz val="14"/>
        <rFont val="Calibri"/>
        <family val="2"/>
        <scheme val="minor"/>
      </rPr>
      <t>(https://ysi.ml.nrel.gov/)</t>
    </r>
  </si>
  <si>
    <t> 24.6</t>
  </si>
  <si>
    <t>Manual search, tool (LANL calc), or request</t>
  </si>
  <si>
    <t>cP (calc)</t>
  </si>
  <si>
    <t>Not done</t>
  </si>
  <si>
    <t>Surface Tension @ 25 °C (mN/m)</t>
  </si>
  <si>
    <t>Vapor P. at 25 °C (mmHg)</t>
  </si>
  <si>
    <t>n-tetradecane</t>
  </si>
  <si>
    <t>n-pentadecane</t>
  </si>
  <si>
    <t>C14H30</t>
  </si>
  <si>
    <t>C15H32</t>
  </si>
  <si>
    <t>CCCCCCCCCCCCCC</t>
  </si>
  <si>
    <t>CCCCCCCCCCCCCCC</t>
  </si>
  <si>
    <t>cSt (calc)</t>
  </si>
  <si>
    <t>Viscosity at 25 °C (cSt)</t>
  </si>
  <si>
    <t xml:space="preserve">0.77	</t>
  </si>
  <si>
    <t xml:space="preserve">26.64	</t>
  </si>
  <si>
    <t>&lt;--- RON/MON can't be right…  database cites Marquardt (2015) IQT data, but can't find it</t>
  </si>
  <si>
    <t>Wickey-Chittenden Blending Index</t>
  </si>
  <si>
    <t>Torabian and Sobati Blending Index</t>
  </si>
  <si>
    <t>CAMEO Chemicals</t>
  </si>
  <si>
    <t>Viscosity, -40 C /cP</t>
  </si>
  <si>
    <t>Viscosity, 40 C /cP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</si>
</sst>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name val="Calibri"/>
      <family val="2"/>
      <scheme val="minor"/>
    </font>
    <font>
      <sz val="11"/>
      <color theme="6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4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6" borderId="7" applyNumberFormat="0" applyAlignment="0" applyProtection="0"/>
    <xf numFmtId="0" fontId="10" fillId="7" borderId="8" applyNumberFormat="0" applyAlignment="0" applyProtection="0"/>
    <xf numFmtId="0" fontId="11" fillId="7" borderId="7" applyNumberFormat="0" applyAlignment="0" applyProtection="0"/>
    <xf numFmtId="0" fontId="12" fillId="0" borderId="9" applyNumberFormat="0" applyFill="0" applyAlignment="0" applyProtection="0"/>
    <xf numFmtId="0" fontId="13" fillId="8" borderId="10" applyNumberFormat="0" applyAlignment="0" applyProtection="0"/>
    <xf numFmtId="0" fontId="14" fillId="0" borderId="0" applyNumberFormat="0" applyFill="0" applyBorder="0" applyAlignment="0" applyProtection="0"/>
    <xf numFmtId="0" fontId="2" fillId="9" borderId="11" applyNumberFormat="0" applyFont="0" applyAlignment="0" applyProtection="0"/>
    <xf numFmtId="0" fontId="15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16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6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6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6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6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5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29" fillId="0" borderId="0" applyNumberFormat="0" applyFill="0" applyBorder="0" applyAlignment="0" applyProtection="0"/>
  </cellStyleXfs>
  <cellXfs count="110">
    <xf numFmtId="0" fontId="0" fillId="0" borderId="0" xfId="0"/>
    <xf numFmtId="0" fontId="21" fillId="35" borderId="1" xfId="0" applyFont="1" applyFill="1" applyBorder="1" applyAlignment="1">
      <alignment vertical="center"/>
    </xf>
    <xf numFmtId="0" fontId="21" fillId="35" borderId="0" xfId="0" applyFont="1" applyFill="1" applyAlignment="1">
      <alignment vertical="center"/>
    </xf>
    <xf numFmtId="0" fontId="0" fillId="35" borderId="0" xfId="0" applyFill="1" applyAlignment="1">
      <alignment horizontal="left" vertical="center"/>
    </xf>
    <xf numFmtId="0" fontId="20" fillId="35" borderId="0" xfId="0" applyFont="1" applyFill="1" applyAlignment="1">
      <alignment horizontal="center" vertical="center"/>
    </xf>
    <xf numFmtId="0" fontId="0" fillId="0" borderId="0" xfId="0"/>
    <xf numFmtId="164" fontId="1" fillId="35" borderId="0" xfId="0" applyNumberFormat="1" applyFont="1" applyFill="1" applyAlignment="1">
      <alignment horizontal="center" vertical="center" wrapText="1"/>
    </xf>
    <xf numFmtId="0" fontId="0" fillId="35" borderId="0" xfId="0" applyFill="1" applyAlignment="1">
      <alignment horizontal="center" vertical="center" wrapText="1"/>
    </xf>
    <xf numFmtId="0" fontId="1" fillId="35" borderId="1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horizontal="center" vertical="center"/>
    </xf>
    <xf numFmtId="0" fontId="1" fillId="35" borderId="13" xfId="0" applyFont="1" applyFill="1" applyBorder="1" applyAlignment="1">
      <alignment horizontal="center" vertical="center"/>
    </xf>
    <xf numFmtId="0" fontId="1" fillId="35" borderId="14" xfId="0" applyFont="1" applyFill="1" applyBorder="1" applyAlignment="1">
      <alignment horizontal="center" vertical="center"/>
    </xf>
    <xf numFmtId="0" fontId="22" fillId="35" borderId="13" xfId="0" applyFont="1" applyFill="1" applyBorder="1" applyAlignment="1">
      <alignment horizontal="center" vertical="center"/>
    </xf>
    <xf numFmtId="164" fontId="23" fillId="35" borderId="13" xfId="0" applyNumberFormat="1" applyFont="1" applyFill="1" applyBorder="1" applyAlignment="1">
      <alignment horizontal="center" vertical="center"/>
    </xf>
    <xf numFmtId="0" fontId="24" fillId="35" borderId="13" xfId="0" applyFont="1" applyFill="1" applyBorder="1" applyAlignment="1">
      <alignment horizontal="center" vertical="center"/>
    </xf>
    <xf numFmtId="0" fontId="24" fillId="35" borderId="14" xfId="0" applyFont="1" applyFill="1" applyBorder="1" applyAlignment="1">
      <alignment horizontal="center" vertical="center"/>
    </xf>
    <xf numFmtId="0" fontId="25" fillId="35" borderId="13" xfId="0" applyFont="1" applyFill="1" applyBorder="1" applyAlignment="1">
      <alignment horizontal="center" vertical="center"/>
    </xf>
    <xf numFmtId="0" fontId="17" fillId="35" borderId="13" xfId="0" applyFont="1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 wrapText="1"/>
    </xf>
    <xf numFmtId="0" fontId="0" fillId="35" borderId="13" xfId="0" applyFill="1" applyBorder="1" applyAlignment="1">
      <alignment horizontal="center" vertical="center" wrapText="1"/>
    </xf>
    <xf numFmtId="0" fontId="0" fillId="35" borderId="15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36" borderId="0" xfId="0" applyNumberFormat="1" applyFill="1" applyAlignment="1">
      <alignment horizontal="center" vertical="center"/>
    </xf>
    <xf numFmtId="164" fontId="23" fillId="0" borderId="2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8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0" fillId="37" borderId="0" xfId="0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164" fontId="0" fillId="36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4" fillId="37" borderId="0" xfId="0" applyFont="1" applyFill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2" fontId="0" fillId="36" borderId="1" xfId="0" applyNumberForma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26" fillId="0" borderId="0" xfId="0" applyFont="1" applyAlignment="1">
      <alignment horizontal="left" vertical="center" wrapText="1"/>
    </xf>
    <xf numFmtId="0" fontId="0" fillId="34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35" borderId="1" xfId="0" applyFont="1" applyFill="1" applyBorder="1" applyAlignment="1">
      <alignment horizontal="center" vertical="center"/>
    </xf>
    <xf numFmtId="0" fontId="0" fillId="35" borderId="1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64" fontId="17" fillId="36" borderId="1" xfId="0" applyNumberFormat="1" applyFont="1" applyFill="1" applyBorder="1" applyAlignment="1">
      <alignment horizontal="center" vertical="center"/>
    </xf>
    <xf numFmtId="164" fontId="17" fillId="36" borderId="0" xfId="0" applyNumberFormat="1" applyFont="1" applyFill="1" applyAlignment="1">
      <alignment horizontal="center" vertical="center"/>
    </xf>
    <xf numFmtId="0" fontId="21" fillId="35" borderId="0" xfId="0" applyFont="1" applyFill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18" fillId="35" borderId="1" xfId="0" applyFont="1" applyFill="1" applyBorder="1" applyAlignment="1">
      <alignment horizontal="center" vertical="center"/>
    </xf>
    <xf numFmtId="0" fontId="1" fillId="35" borderId="1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11" fontId="0" fillId="36" borderId="1" xfId="0" applyNumberFormat="1" applyFill="1" applyBorder="1" applyAlignment="1">
      <alignment horizontal="center" vertical="center"/>
    </xf>
    <xf numFmtId="11" fontId="0" fillId="36" borderId="0" xfId="0" applyNumberFormat="1" applyFill="1" applyAlignment="1">
      <alignment horizontal="center" vertical="center"/>
    </xf>
    <xf numFmtId="0" fontId="0" fillId="36" borderId="2" xfId="0" applyFill="1" applyBorder="1" applyAlignment="1">
      <alignment horizontal="center" vertical="center"/>
    </xf>
    <xf numFmtId="0" fontId="0" fillId="37" borderId="2" xfId="0" applyFill="1" applyBorder="1" applyAlignment="1">
      <alignment horizontal="center" vertical="center"/>
    </xf>
    <xf numFmtId="0" fontId="24" fillId="37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1" fillId="35" borderId="1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0" fillId="35" borderId="14" xfId="0" applyFont="1" applyFill="1" applyBorder="1" applyAlignment="1">
      <alignment horizontal="left" vertical="center"/>
    </xf>
    <xf numFmtId="0" fontId="17" fillId="38" borderId="0" xfId="0" applyFont="1" applyFill="1" applyAlignment="1">
      <alignment horizontal="center" vertical="center"/>
    </xf>
    <xf numFmtId="0" fontId="17" fillId="38" borderId="2" xfId="0" applyFont="1" applyFill="1" applyBorder="1" applyAlignment="1">
      <alignment horizontal="center" vertical="center"/>
    </xf>
    <xf numFmtId="0" fontId="17" fillId="36" borderId="0" xfId="0" applyFont="1" applyFill="1" applyAlignment="1">
      <alignment horizontal="center" vertical="center"/>
    </xf>
    <xf numFmtId="0" fontId="0" fillId="38" borderId="2" xfId="0" applyFill="1" applyBorder="1" applyAlignment="1">
      <alignment horizontal="center" vertical="center"/>
    </xf>
    <xf numFmtId="0" fontId="17" fillId="35" borderId="14" xfId="0" applyFon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29" fillId="35" borderId="1" xfId="43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0" fillId="3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8" fillId="35" borderId="0" xfId="0" applyFont="1" applyFill="1" applyAlignment="1">
      <alignment horizontal="center" vertical="center"/>
    </xf>
    <xf numFmtId="0" fontId="21" fillId="35" borderId="1" xfId="0" applyFont="1" applyFill="1" applyBorder="1" applyAlignment="1">
      <alignment horizontal="center" vertical="center"/>
    </xf>
    <xf numFmtId="0" fontId="21" fillId="35" borderId="2" xfId="0" applyFont="1" applyFill="1" applyBorder="1" applyAlignment="1">
      <alignment horizontal="center" vertical="center"/>
    </xf>
    <xf numFmtId="0" fontId="18" fillId="35" borderId="1" xfId="0" applyFont="1" applyFill="1" applyBorder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18" fillId="35" borderId="2" xfId="0" applyFont="1" applyFill="1" applyBorder="1" applyAlignment="1">
      <alignment horizontal="center" vertical="center"/>
    </xf>
    <xf numFmtId="0" fontId="1" fillId="35" borderId="1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1" fillId="35" borderId="2" xfId="0" applyFont="1" applyFill="1" applyBorder="1" applyAlignment="1">
      <alignment horizontal="center" vertical="center"/>
    </xf>
    <xf numFmtId="0" fontId="21" fillId="35" borderId="0" xfId="0" applyFont="1" applyFill="1" applyAlignment="1">
      <alignment horizontal="center" vertical="center"/>
    </xf>
    <xf numFmtId="0" fontId="1" fillId="35" borderId="0" xfId="0" applyFont="1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37" xr:uid="{DC0D0736-2F60-4915-BBC7-3EFB2A04A13B}"/>
    <cellStyle name="60% - Accent2 2" xfId="38" xr:uid="{9AED3761-7389-492A-BFE8-91000968F35C}"/>
    <cellStyle name="60% - Accent3 2" xfId="39" xr:uid="{A27A3B94-292C-44BE-AF75-1113C099A292}"/>
    <cellStyle name="60% - Accent4 2" xfId="40" xr:uid="{69724ECD-D436-4960-B035-BDB30F0E15AA}"/>
    <cellStyle name="60% - Accent5 2" xfId="41" xr:uid="{332090BF-AAF5-4772-9EEF-55307C695A19}"/>
    <cellStyle name="60% - Accent6 2" xfId="42" xr:uid="{176804B0-0E3E-4241-82AC-8D4946766944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8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9" builtinId="20" customBuiltin="1"/>
    <cellStyle name="Linked Cell" xfId="12" builtinId="24" customBuiltin="1"/>
    <cellStyle name="Neutral 2" xfId="36" xr:uid="{96D0F900-E350-4BCB-A575-0AC410A62573}"/>
    <cellStyle name="Normal" xfId="0" builtinId="0"/>
    <cellStyle name="Note" xfId="15" builtinId="10" customBuiltin="1"/>
    <cellStyle name="Output" xfId="10" builtinId="21" customBuiltin="1"/>
    <cellStyle name="Percent" xfId="1" builtinId="5"/>
    <cellStyle name="Title" xfId="2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'Component FP Predictions'!$S$1:$T$1</c:f>
          <c:strCache>
            <c:ptCount val="2"/>
            <c:pt idx="0">
              <c:v>Boiling Point (°C)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'Component FP Predictions'!$S$2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'Component FP Predictions'!$A$4:$A$16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'Component FP Predictions'!$S$4:$S$16</c:f>
              <c:numCache>
                <c:formatCode>General</c:formatCode>
                <c:ptCount val="13"/>
                <c:pt idx="0">
                  <c:v>-7.76</c:v>
                </c:pt>
                <c:pt idx="1">
                  <c:v>19.579999999999998</c:v>
                </c:pt>
                <c:pt idx="2">
                  <c:v>46.01</c:v>
                </c:pt>
                <c:pt idx="3">
                  <c:v>71.53</c:v>
                </c:pt>
                <c:pt idx="4">
                  <c:v>96.16</c:v>
                </c:pt>
                <c:pt idx="5">
                  <c:v>119.87</c:v>
                </c:pt>
                <c:pt idx="6">
                  <c:v>142.69</c:v>
                </c:pt>
                <c:pt idx="7">
                  <c:v>164.6</c:v>
                </c:pt>
                <c:pt idx="8">
                  <c:v>185.61</c:v>
                </c:pt>
                <c:pt idx="9">
                  <c:v>205.71</c:v>
                </c:pt>
                <c:pt idx="10">
                  <c:v>224.91</c:v>
                </c:pt>
                <c:pt idx="11">
                  <c:v>243.2</c:v>
                </c:pt>
                <c:pt idx="12">
                  <c:v>260.58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80-41D8-8427-D8DF1156FEB7}"/>
            </c:ext>
          </c:extLst>
        </c:ser>
        <c:ser>
          <c:idx val="1"/>
          <c:order val="1"/>
          <c:tx>
            <c:strRef>
              <c:f>'Component FP Predictions'!$T$2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xVal>
            <c:numRef>
              <c:f>'Component FP Predictions'!$A$4:$A$14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'Component FP Predictions'!$T$4:$T$16</c:f>
              <c:numCache>
                <c:formatCode>General</c:formatCode>
                <c:ptCount val="13"/>
                <c:pt idx="0">
                  <c:v>-42.1</c:v>
                </c:pt>
                <c:pt idx="1">
                  <c:v>-0.5</c:v>
                </c:pt>
                <c:pt idx="2">
                  <c:v>36</c:v>
                </c:pt>
                <c:pt idx="3">
                  <c:v>68.7</c:v>
                </c:pt>
                <c:pt idx="4">
                  <c:v>98.5</c:v>
                </c:pt>
                <c:pt idx="5">
                  <c:v>125.6</c:v>
                </c:pt>
                <c:pt idx="6">
                  <c:v>150.80000000000001</c:v>
                </c:pt>
                <c:pt idx="7">
                  <c:v>174.1</c:v>
                </c:pt>
                <c:pt idx="8">
                  <c:v>195.9</c:v>
                </c:pt>
                <c:pt idx="9">
                  <c:v>216.3</c:v>
                </c:pt>
                <c:pt idx="10">
                  <c:v>235.4</c:v>
                </c:pt>
                <c:pt idx="11">
                  <c:v>253.5</c:v>
                </c:pt>
                <c:pt idx="12">
                  <c:v>270.60000000000002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80-41D8-8427-D8DF1156F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63184"/>
        <c:axId val="635460888"/>
      </c:scatterChart>
      <c:valAx>
        <c:axId val="6354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60888"/>
        <c:crosses val="autoZero"/>
        <c:crossBetween val="midCat"/>
      </c:valAx>
      <c:valAx>
        <c:axId val="635460888"/>
        <c:scaling>
          <c:orientation val="minMax"/>
          <c:max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631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'Component FP Predictions'!$BI$1:$BL$1</c:f>
          <c:strCache>
            <c:ptCount val="4"/>
            <c:pt idx="0">
              <c:v>Surface Tension @ 25 °C (mN/m)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'Component FP Predictions'!$BK$2</c:f>
              <c:strCache>
                <c:ptCount val="1"/>
                <c:pt idx="0">
                  <c:v>Predicted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'Component FP Predictions'!$A$4:$A$16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'Component FP Predictions'!$BK$4:$BK$16</c:f>
              <c:numCache>
                <c:formatCode>General</c:formatCode>
                <c:ptCount val="13"/>
                <c:pt idx="0">
                  <c:v>139</c:v>
                </c:pt>
                <c:pt idx="1">
                  <c:v>138.60000000000002</c:v>
                </c:pt>
                <c:pt idx="2">
                  <c:v>163.1</c:v>
                </c:pt>
                <c:pt idx="3">
                  <c:v>186.8</c:v>
                </c:pt>
                <c:pt idx="4">
                  <c:v>199.10000000000002</c:v>
                </c:pt>
                <c:pt idx="5">
                  <c:v>212.1</c:v>
                </c:pt>
                <c:pt idx="6">
                  <c:v>223.50000000000003</c:v>
                </c:pt>
                <c:pt idx="7">
                  <c:v>229.60000000000002</c:v>
                </c:pt>
                <c:pt idx="8">
                  <c:v>234.20000000000002</c:v>
                </c:pt>
                <c:pt idx="9">
                  <c:v>244.89999999999998</c:v>
                </c:pt>
                <c:pt idx="10">
                  <c:v>248.60000000000002</c:v>
                </c:pt>
                <c:pt idx="11">
                  <c:v>255.00000000000003</c:v>
                </c:pt>
                <c:pt idx="12">
                  <c:v>258.10000000000002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3A-4A57-B1F7-1E4560ABCB83}"/>
            </c:ext>
          </c:extLst>
        </c:ser>
        <c:ser>
          <c:idx val="1"/>
          <c:order val="1"/>
          <c:tx>
            <c:strRef>
              <c:f>'Component FP Predictions'!$BL$2</c:f>
              <c:strCache>
                <c:ptCount val="1"/>
                <c:pt idx="0">
                  <c:v>Measured</c:v>
                </c:pt>
              </c:strCache>
            </c:strRef>
          </c:tx>
          <c:spPr>
            <a:ln w="25400">
              <a:noFill/>
            </a:ln>
          </c:spPr>
          <c:xVal>
            <c:numRef>
              <c:f>'Component FP Predictions'!$A$4:$A$16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'Component FP Predictions'!$BL$4:$BL$16</c:f>
              <c:numCache>
                <c:formatCode>General</c:formatCode>
                <c:ptCount val="13"/>
                <c:pt idx="0">
                  <c:v>0</c:v>
                </c:pt>
                <c:pt idx="1">
                  <c:v>118.6</c:v>
                </c:pt>
                <c:pt idx="2">
                  <c:v>154.9</c:v>
                </c:pt>
                <c:pt idx="3">
                  <c:v>178.9</c:v>
                </c:pt>
                <c:pt idx="4">
                  <c:v>196.5</c:v>
                </c:pt>
                <c:pt idx="5">
                  <c:v>211.40000000000003</c:v>
                </c:pt>
                <c:pt idx="6">
                  <c:v>223.8</c:v>
                </c:pt>
                <c:pt idx="7">
                  <c:v>233.70000000000002</c:v>
                </c:pt>
                <c:pt idx="8">
                  <c:v>242.10000000000002</c:v>
                </c:pt>
                <c:pt idx="9">
                  <c:v>249.10000000000002</c:v>
                </c:pt>
                <c:pt idx="10">
                  <c:v>255.50000000000003</c:v>
                </c:pt>
                <c:pt idx="11">
                  <c:v>261.3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3A-4A57-B1F7-1E4560ABC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63184"/>
        <c:axId val="635460888"/>
      </c:scatterChart>
      <c:valAx>
        <c:axId val="6354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60888"/>
        <c:crosses val="autoZero"/>
        <c:crossBetween val="midCat"/>
      </c:valAx>
      <c:valAx>
        <c:axId val="63546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631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'Component FP Predictions'!$BS$1:$BT$1</c:f>
          <c:strCache>
            <c:ptCount val="2"/>
            <c:pt idx="0">
              <c:v>CN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'Component FP Predictions'!$BS$2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'Component FP Predictions'!$A$4:$A$16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'Component FP Predictions'!$BS$4:$BS$16</c:f>
              <c:numCache>
                <c:formatCode>General</c:formatCode>
                <c:ptCount val="13"/>
                <c:pt idx="0">
                  <c:v>0</c:v>
                </c:pt>
                <c:pt idx="1">
                  <c:v>21.076000000000001</c:v>
                </c:pt>
                <c:pt idx="2">
                  <c:v>30.318999999999999</c:v>
                </c:pt>
                <c:pt idx="3">
                  <c:v>43.31</c:v>
                </c:pt>
                <c:pt idx="4">
                  <c:v>52.167999999999999</c:v>
                </c:pt>
                <c:pt idx="5">
                  <c:v>52.49</c:v>
                </c:pt>
                <c:pt idx="6">
                  <c:v>59.49</c:v>
                </c:pt>
                <c:pt idx="7">
                  <c:v>66.415999999999997</c:v>
                </c:pt>
                <c:pt idx="8">
                  <c:v>72</c:v>
                </c:pt>
                <c:pt idx="9">
                  <c:v>78.507999999999996</c:v>
                </c:pt>
                <c:pt idx="10">
                  <c:v>82.37</c:v>
                </c:pt>
                <c:pt idx="11">
                  <c:v>86.759</c:v>
                </c:pt>
                <c:pt idx="12">
                  <c:v>88.447999999999993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C-42F1-889E-18EAF9525A98}"/>
            </c:ext>
          </c:extLst>
        </c:ser>
        <c:ser>
          <c:idx val="1"/>
          <c:order val="1"/>
          <c:tx>
            <c:strRef>
              <c:f>'Component FP Predictions'!$BT$2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>
              <a:noFill/>
            </a:ln>
          </c:spPr>
          <c:xVal>
            <c:numRef>
              <c:f>'Component FP Predictions'!$A$4:$A$16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'Component FP Predictions'!$BT$4:$BT$16</c:f>
              <c:numCache>
                <c:formatCode>General</c:formatCode>
                <c:ptCount val="13"/>
                <c:pt idx="0">
                  <c:v>0</c:v>
                </c:pt>
                <c:pt idx="1">
                  <c:v>20.6</c:v>
                </c:pt>
                <c:pt idx="2">
                  <c:v>30</c:v>
                </c:pt>
                <c:pt idx="3">
                  <c:v>47.9</c:v>
                </c:pt>
                <c:pt idx="4">
                  <c:v>52.8</c:v>
                </c:pt>
                <c:pt idx="5">
                  <c:v>64</c:v>
                </c:pt>
                <c:pt idx="6">
                  <c:v>60.9</c:v>
                </c:pt>
                <c:pt idx="7">
                  <c:v>65.5</c:v>
                </c:pt>
                <c:pt idx="8">
                  <c:v>81</c:v>
                </c:pt>
                <c:pt idx="9">
                  <c:v>72.900000000000006</c:v>
                </c:pt>
                <c:pt idx="10">
                  <c:v>90</c:v>
                </c:pt>
                <c:pt idx="11">
                  <c:v>85.1</c:v>
                </c:pt>
                <c:pt idx="12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C-42F1-889E-18EAF9525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63184"/>
        <c:axId val="635460888"/>
      </c:scatterChart>
      <c:valAx>
        <c:axId val="6354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60888"/>
        <c:crosses val="autoZero"/>
        <c:crossBetween val="midCat"/>
      </c:valAx>
      <c:valAx>
        <c:axId val="63546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631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RON and MON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xVal>
            <c:numRef>
              <c:f>'Component FP Predictions'!$A$4:$A$16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'Component FP Predictions'!$BU$4:$BU$16</c:f>
              <c:numCache>
                <c:formatCode>General</c:formatCode>
                <c:ptCount val="13"/>
                <c:pt idx="0">
                  <c:v>91.55</c:v>
                </c:pt>
                <c:pt idx="1">
                  <c:v>96.129000000000005</c:v>
                </c:pt>
                <c:pt idx="2">
                  <c:v>64.114999999999995</c:v>
                </c:pt>
                <c:pt idx="3">
                  <c:v>27.64</c:v>
                </c:pt>
                <c:pt idx="4">
                  <c:v>14.518000000000001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0B9-49CD-A161-D6E7D111627D}"/>
            </c:ext>
          </c:extLst>
        </c:ser>
        <c:ser>
          <c:idx val="3"/>
          <c:order val="1"/>
          <c:spPr>
            <a:ln w="19050">
              <a:noFill/>
            </a:ln>
          </c:spPr>
          <c:xVal>
            <c:numRef>
              <c:f>'Component FP Predictions'!$A$4:$A$16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'Component FP Predictions'!$BV$4:$BV$16</c:f>
              <c:numCache>
                <c:formatCode>General</c:formatCode>
                <c:ptCount val="13"/>
                <c:pt idx="0">
                  <c:v>111</c:v>
                </c:pt>
                <c:pt idx="1">
                  <c:v>94</c:v>
                </c:pt>
                <c:pt idx="2">
                  <c:v>61.8</c:v>
                </c:pt>
                <c:pt idx="3">
                  <c:v>24.8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39.799999999999997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0B9-49CD-A161-D6E7D111627D}"/>
            </c:ext>
          </c:extLst>
        </c:ser>
        <c:ser>
          <c:idx val="0"/>
          <c:order val="2"/>
          <c:spPr>
            <a:ln w="19050">
              <a:noFill/>
            </a:ln>
          </c:spPr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F1-4370-A07D-5F5BA652D4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'Component FP Predictions'!$A$4:$A$16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'Component FP Predictions'!$BW$4:$BW$16</c:f>
              <c:numCache>
                <c:formatCode>General</c:formatCode>
                <c:ptCount val="13"/>
                <c:pt idx="0">
                  <c:v>97.89</c:v>
                </c:pt>
                <c:pt idx="1">
                  <c:v>90.046999999999997</c:v>
                </c:pt>
                <c:pt idx="2">
                  <c:v>60.6</c:v>
                </c:pt>
                <c:pt idx="3">
                  <c:v>27.826000000000001</c:v>
                </c:pt>
                <c:pt idx="4">
                  <c:v>20.497</c:v>
                </c:pt>
                <c:pt idx="5">
                  <c:v>0</c:v>
                </c:pt>
                <c:pt idx="6">
                  <c:v>0</c:v>
                </c:pt>
                <c:pt idx="7">
                  <c:v>42.997999999999998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0B9-49CD-A161-D6E7D111627D}"/>
            </c:ext>
          </c:extLst>
        </c:ser>
        <c:ser>
          <c:idx val="1"/>
          <c:order val="3"/>
          <c:spPr>
            <a:ln w="19050">
              <a:noFill/>
            </a:ln>
          </c:spP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F1-4370-A07D-5F5BA652D4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'Component FP Predictions'!$A$4:$A$16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'Component FP Predictions'!$BX$4:$BX$16</c:f>
              <c:numCache>
                <c:formatCode>General</c:formatCode>
                <c:ptCount val="13"/>
                <c:pt idx="0">
                  <c:v>97.1</c:v>
                </c:pt>
                <c:pt idx="1">
                  <c:v>89.1</c:v>
                </c:pt>
                <c:pt idx="2">
                  <c:v>63.2</c:v>
                </c:pt>
                <c:pt idx="3">
                  <c:v>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0B9-49CD-A161-D6E7D1116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63184"/>
        <c:axId val="635460888"/>
      </c:scatterChart>
      <c:valAx>
        <c:axId val="6354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60888"/>
        <c:crosses val="autoZero"/>
        <c:crossBetween val="midCat"/>
      </c:valAx>
      <c:valAx>
        <c:axId val="63546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631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'Component FP Predictions'!$U$1:$V$1</c:f>
          <c:strCache>
            <c:ptCount val="2"/>
            <c:pt idx="0">
              <c:v>Melting Point (°C)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89469906820904E-2"/>
          <c:y val="0.13792551347161883"/>
          <c:w val="0.88392213993414093"/>
          <c:h val="0.844290368965306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'Component FP Predictions'!$U$2</c:f>
              <c:strCache>
                <c:ptCount val="1"/>
                <c:pt idx="0">
                  <c:v>Predicted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'Component FP Predictions'!$A$4:$A$16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'Component FP Predictions'!$U$4:$U$16</c:f>
              <c:numCache>
                <c:formatCode>General</c:formatCode>
                <c:ptCount val="13"/>
                <c:pt idx="0">
                  <c:v>-133.88999999999999</c:v>
                </c:pt>
                <c:pt idx="1">
                  <c:v>-120.28</c:v>
                </c:pt>
                <c:pt idx="2">
                  <c:v>-106.92</c:v>
                </c:pt>
                <c:pt idx="3">
                  <c:v>-93.84</c:v>
                </c:pt>
                <c:pt idx="4">
                  <c:v>-81.010000000000005</c:v>
                </c:pt>
                <c:pt idx="5">
                  <c:v>-68.45</c:v>
                </c:pt>
                <c:pt idx="6">
                  <c:v>-56.16</c:v>
                </c:pt>
                <c:pt idx="7">
                  <c:v>-44.13</c:v>
                </c:pt>
                <c:pt idx="8">
                  <c:v>-32.36</c:v>
                </c:pt>
                <c:pt idx="9">
                  <c:v>-20.85</c:v>
                </c:pt>
                <c:pt idx="10">
                  <c:v>-9.61</c:v>
                </c:pt>
                <c:pt idx="11">
                  <c:v>1.36</c:v>
                </c:pt>
                <c:pt idx="12">
                  <c:v>12.07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B4E-A230-13E7D37A54F6}"/>
            </c:ext>
          </c:extLst>
        </c:ser>
        <c:ser>
          <c:idx val="1"/>
          <c:order val="1"/>
          <c:tx>
            <c:strRef>
              <c:f>'Component FP Predictions'!$V$2</c:f>
              <c:strCache>
                <c:ptCount val="1"/>
                <c:pt idx="0">
                  <c:v>Measured</c:v>
                </c:pt>
              </c:strCache>
            </c:strRef>
          </c:tx>
          <c:spPr>
            <a:ln w="25400">
              <a:noFill/>
            </a:ln>
          </c:spPr>
          <c:xVal>
            <c:numRef>
              <c:f>'Component FP Predictions'!$A$4:$A$16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'Component FP Predictions'!$V$4:$V$16</c:f>
              <c:numCache>
                <c:formatCode>General</c:formatCode>
                <c:ptCount val="13"/>
                <c:pt idx="0">
                  <c:v>-187.6</c:v>
                </c:pt>
                <c:pt idx="1">
                  <c:v>-138.19999999999999</c:v>
                </c:pt>
                <c:pt idx="2">
                  <c:v>-129.69999999999999</c:v>
                </c:pt>
                <c:pt idx="3">
                  <c:v>-95.3</c:v>
                </c:pt>
                <c:pt idx="4">
                  <c:v>-90.6</c:v>
                </c:pt>
                <c:pt idx="5">
                  <c:v>-56.8</c:v>
                </c:pt>
                <c:pt idx="6">
                  <c:v>-53.5</c:v>
                </c:pt>
                <c:pt idx="7">
                  <c:v>-29.7</c:v>
                </c:pt>
                <c:pt idx="8">
                  <c:v>-25.6</c:v>
                </c:pt>
                <c:pt idx="9">
                  <c:v>-9.6</c:v>
                </c:pt>
                <c:pt idx="10">
                  <c:v>-5.3</c:v>
                </c:pt>
                <c:pt idx="11">
                  <c:v>5.8</c:v>
                </c:pt>
                <c:pt idx="12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B4E-A230-13E7D37A5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63184"/>
        <c:axId val="635460888"/>
      </c:scatterChart>
      <c:valAx>
        <c:axId val="6354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60888"/>
        <c:crosses val="autoZero"/>
        <c:crossBetween val="midCat"/>
      </c:valAx>
      <c:valAx>
        <c:axId val="6354608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631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'Component FP Predictions'!$W$1:$X$1</c:f>
          <c:strCache>
            <c:ptCount val="2"/>
            <c:pt idx="0">
              <c:v>Vapor P. at 25 °C (mmHg)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'Component FP Predictions'!$W$2</c:f>
              <c:strCache>
                <c:ptCount val="1"/>
                <c:pt idx="0">
                  <c:v>Predicted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'Component FP Predictions'!$A$4:$A$16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'Component FP Predictions'!$W$4:$W$16</c:f>
              <c:numCache>
                <c:formatCode>General</c:formatCode>
                <c:ptCount val="13"/>
                <c:pt idx="0">
                  <c:v>6140</c:v>
                </c:pt>
                <c:pt idx="1">
                  <c:v>1810</c:v>
                </c:pt>
                <c:pt idx="2">
                  <c:v>513</c:v>
                </c:pt>
                <c:pt idx="3">
                  <c:v>150</c:v>
                </c:pt>
                <c:pt idx="4">
                  <c:v>45.9</c:v>
                </c:pt>
                <c:pt idx="5">
                  <c:v>14.8</c:v>
                </c:pt>
                <c:pt idx="6">
                  <c:v>4.96</c:v>
                </c:pt>
                <c:pt idx="7" formatCode="0.00E+00">
                  <c:v>1.73</c:v>
                </c:pt>
                <c:pt idx="8">
                  <c:v>0.629</c:v>
                </c:pt>
                <c:pt idx="9">
                  <c:v>0.23599999999999999</c:v>
                </c:pt>
                <c:pt idx="10">
                  <c:v>9.2100000000000001E-2</c:v>
                </c:pt>
                <c:pt idx="11">
                  <c:v>3.6900000000000002E-2</c:v>
                </c:pt>
                <c:pt idx="12">
                  <c:v>1.5299999999999999E-2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BA-40C6-8F6A-90DD47F68ECA}"/>
            </c:ext>
          </c:extLst>
        </c:ser>
        <c:ser>
          <c:idx val="1"/>
          <c:order val="1"/>
          <c:tx>
            <c:strRef>
              <c:f>'Component FP Predictions'!$X$2</c:f>
              <c:strCache>
                <c:ptCount val="1"/>
                <c:pt idx="0">
                  <c:v>Measured </c:v>
                </c:pt>
              </c:strCache>
            </c:strRef>
          </c:tx>
          <c:spPr>
            <a:ln w="25400">
              <a:noFill/>
            </a:ln>
          </c:spPr>
          <c:xVal>
            <c:numRef>
              <c:f>'Component FP Predictions'!$A$4:$A$16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'Component FP Predictions'!$X$4:$X$16</c:f>
              <c:numCache>
                <c:formatCode>General</c:formatCode>
                <c:ptCount val="13"/>
                <c:pt idx="0">
                  <c:v>7150</c:v>
                </c:pt>
                <c:pt idx="1">
                  <c:v>1820</c:v>
                </c:pt>
                <c:pt idx="2">
                  <c:v>514</c:v>
                </c:pt>
                <c:pt idx="3">
                  <c:v>151</c:v>
                </c:pt>
                <c:pt idx="4">
                  <c:v>46</c:v>
                </c:pt>
                <c:pt idx="5">
                  <c:v>14.1</c:v>
                </c:pt>
                <c:pt idx="6">
                  <c:v>4.45</c:v>
                </c:pt>
                <c:pt idx="7" formatCode="0.00E+00">
                  <c:v>1.43</c:v>
                </c:pt>
                <c:pt idx="8">
                  <c:v>0.41199999999999998</c:v>
                </c:pt>
                <c:pt idx="9">
                  <c:v>0.13500000000000001</c:v>
                </c:pt>
                <c:pt idx="10">
                  <c:v>5.5800000000000002E-2</c:v>
                </c:pt>
                <c:pt idx="11" formatCode="0.00E+00">
                  <c:v>1.1599999999999999E-2</c:v>
                </c:pt>
                <c:pt idx="12" formatCode="0.00E+00">
                  <c:v>3.4299999999999999E-3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BA-40C6-8F6A-90DD47F68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63184"/>
        <c:axId val="635460888"/>
      </c:scatterChart>
      <c:valAx>
        <c:axId val="6354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60888"/>
        <c:crosses val="autoZero"/>
        <c:crossBetween val="midCat"/>
      </c:valAx>
      <c:valAx>
        <c:axId val="63546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631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'Component FP Predictions'!$AQ$1:$AS$1</c:f>
          <c:strCache>
            <c:ptCount val="3"/>
            <c:pt idx="0">
              <c:v>LHV (MJ/kg)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'Component FP Predictions'!$AQ$2:$AR$2</c:f>
              <c:strCache>
                <c:ptCount val="1"/>
                <c:pt idx="0">
                  <c:v>Predicted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'Component FP Predictions'!$A$4:$A$16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'Component FP Predictions'!$AQ$4:$AQ$16</c:f>
              <c:numCache>
                <c:formatCode>General</c:formatCode>
                <c:ptCount val="13"/>
                <c:pt idx="0">
                  <c:v>47.167575757575754</c:v>
                </c:pt>
                <c:pt idx="1">
                  <c:v>46.530114942528733</c:v>
                </c:pt>
                <c:pt idx="2">
                  <c:v>46.140555555555558</c:v>
                </c:pt>
                <c:pt idx="3">
                  <c:v>45.877829457364349</c:v>
                </c:pt>
                <c:pt idx="4">
                  <c:v>45.688666666666656</c:v>
                </c:pt>
                <c:pt idx="5">
                  <c:v>45.545964912280702</c:v>
                </c:pt>
                <c:pt idx="6">
                  <c:v>45.434479166666669</c:v>
                </c:pt>
                <c:pt idx="7">
                  <c:v>45.344976525821586</c:v>
                </c:pt>
                <c:pt idx="8">
                  <c:v>45.271538461538462</c:v>
                </c:pt>
                <c:pt idx="9">
                  <c:v>45.210196078431373</c:v>
                </c:pt>
                <c:pt idx="10">
                  <c:v>45.158188405797098</c:v>
                </c:pt>
                <c:pt idx="11">
                  <c:v>45.113535353535347</c:v>
                </c:pt>
                <c:pt idx="12">
                  <c:v>45.074779874213839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7-489B-90FB-93635B9E5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63184"/>
        <c:axId val="635460888"/>
      </c:scatterChart>
      <c:valAx>
        <c:axId val="6354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60888"/>
        <c:crosses val="autoZero"/>
        <c:crossBetween val="midCat"/>
      </c:valAx>
      <c:valAx>
        <c:axId val="63546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6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Flash Point (°C)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'Component FP Predictions'!$BC$2:$BD$2</c:f>
              <c:strCache>
                <c:ptCount val="1"/>
                <c:pt idx="0">
                  <c:v>Predicted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'Component FP Predictions'!$A$4:$A$16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'Component FP Predictions'!$BC$4:$BC$16</c:f>
              <c:numCache>
                <c:formatCode>0.00</c:formatCode>
                <c:ptCount val="13"/>
                <c:pt idx="0">
                  <c:v>-104.34063333333333</c:v>
                </c:pt>
                <c:pt idx="1">
                  <c:v>-75.283033333333336</c:v>
                </c:pt>
                <c:pt idx="2">
                  <c:v>-49.787783333333337</c:v>
                </c:pt>
                <c:pt idx="3">
                  <c:v>-26.946833333333338</c:v>
                </c:pt>
                <c:pt idx="4">
                  <c:v>-6.1315333333333264</c:v>
                </c:pt>
                <c:pt idx="5">
                  <c:v>12.79781666666667</c:v>
                </c:pt>
                <c:pt idx="6">
                  <c:v>30.400016666666666</c:v>
                </c:pt>
                <c:pt idx="7">
                  <c:v>46.67506666666668</c:v>
                </c:pt>
                <c:pt idx="8">
                  <c:v>61.902366666666659</c:v>
                </c:pt>
                <c:pt idx="9">
                  <c:v>76.151766666666674</c:v>
                </c:pt>
                <c:pt idx="10">
                  <c:v>89.493116666666637</c:v>
                </c:pt>
                <c:pt idx="11">
                  <c:v>102.13596666666669</c:v>
                </c:pt>
                <c:pt idx="12">
                  <c:v>114.08031666666668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74-4CEE-AA43-A9A620D36B4B}"/>
            </c:ext>
          </c:extLst>
        </c:ser>
        <c:ser>
          <c:idx val="1"/>
          <c:order val="1"/>
          <c:tx>
            <c:strRef>
              <c:f>'Component FP Predictions'!$BE$2:$BF$2</c:f>
              <c:strCache>
                <c:ptCount val="1"/>
                <c:pt idx="0">
                  <c:v>Measured</c:v>
                </c:pt>
              </c:strCache>
            </c:strRef>
          </c:tx>
          <c:spPr>
            <a:ln w="25400">
              <a:noFill/>
            </a:ln>
          </c:spPr>
          <c:xVal>
            <c:numRef>
              <c:f>'Component FP Predictions'!$A$4:$A$16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'Component FP Predictions'!$BF$4:$BF$16</c:f>
              <c:numCache>
                <c:formatCode>General</c:formatCode>
                <c:ptCount val="13"/>
                <c:pt idx="0">
                  <c:v>-104</c:v>
                </c:pt>
                <c:pt idx="1">
                  <c:v>-60</c:v>
                </c:pt>
                <c:pt idx="2">
                  <c:v>-49</c:v>
                </c:pt>
                <c:pt idx="3">
                  <c:v>-23</c:v>
                </c:pt>
                <c:pt idx="4">
                  <c:v>-4</c:v>
                </c:pt>
                <c:pt idx="5">
                  <c:v>13.333333333333334</c:v>
                </c:pt>
                <c:pt idx="6">
                  <c:v>31</c:v>
                </c:pt>
                <c:pt idx="7">
                  <c:v>46</c:v>
                </c:pt>
                <c:pt idx="8">
                  <c:v>65</c:v>
                </c:pt>
                <c:pt idx="9">
                  <c:v>74</c:v>
                </c:pt>
                <c:pt idx="10">
                  <c:v>79</c:v>
                </c:pt>
                <c:pt idx="11">
                  <c:v>100</c:v>
                </c:pt>
                <c:pt idx="12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74-4CEE-AA43-A9A620D36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63184"/>
        <c:axId val="635460888"/>
      </c:scatterChart>
      <c:valAx>
        <c:axId val="6354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60888"/>
        <c:crosses val="autoZero"/>
        <c:crossBetween val="midCat"/>
      </c:valAx>
      <c:valAx>
        <c:axId val="63546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631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'Component FP Predictions'!$Y$1:$Z$1</c:f>
          <c:strCache>
            <c:ptCount val="2"/>
            <c:pt idx="0">
              <c:v>Water Solubility (mg/L)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'Component FP Predictions'!$Y$2</c:f>
              <c:strCache>
                <c:ptCount val="1"/>
                <c:pt idx="0">
                  <c:v>Predicted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'Component FP Predictions'!$A$4:$A$16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'Component FP Predictions'!$Y$4:$Y$16</c:f>
              <c:numCache>
                <c:formatCode>General</c:formatCode>
                <c:ptCount val="13"/>
                <c:pt idx="0">
                  <c:v>368.9</c:v>
                </c:pt>
                <c:pt idx="1">
                  <c:v>135.6</c:v>
                </c:pt>
                <c:pt idx="2">
                  <c:v>49.76</c:v>
                </c:pt>
                <c:pt idx="3">
                  <c:v>17.239999999999998</c:v>
                </c:pt>
                <c:pt idx="4">
                  <c:v>3.5539999999999998</c:v>
                </c:pt>
                <c:pt idx="5">
                  <c:v>1.1519999999999999</c:v>
                </c:pt>
                <c:pt idx="6">
                  <c:v>0.40579999999999999</c:v>
                </c:pt>
                <c:pt idx="7">
                  <c:v>1.252</c:v>
                </c:pt>
                <c:pt idx="8">
                  <c:v>0.2571</c:v>
                </c:pt>
                <c:pt idx="9">
                  <c:v>0.1099</c:v>
                </c:pt>
                <c:pt idx="10">
                  <c:v>2.7459999999999998E-2</c:v>
                </c:pt>
                <c:pt idx="11">
                  <c:v>9.1920000000000005E-3</c:v>
                </c:pt>
                <c:pt idx="12">
                  <c:v>2.8660000000000001E-3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95-4D65-975D-DAEAA5F9E1BA}"/>
            </c:ext>
          </c:extLst>
        </c:ser>
        <c:ser>
          <c:idx val="1"/>
          <c:order val="1"/>
          <c:tx>
            <c:strRef>
              <c:f>'Component FP Predictions'!$Z$2</c:f>
              <c:strCache>
                <c:ptCount val="1"/>
                <c:pt idx="0">
                  <c:v>Measured </c:v>
                </c:pt>
              </c:strCache>
            </c:strRef>
          </c:tx>
          <c:spPr>
            <a:ln w="25400">
              <a:noFill/>
            </a:ln>
          </c:spPr>
          <c:xVal>
            <c:numRef>
              <c:f>'Component FP Predictions'!$A$4:$A$16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'Component FP Predictions'!$Z$4:$Z$16</c:f>
              <c:numCache>
                <c:formatCode>General</c:formatCode>
                <c:ptCount val="13"/>
                <c:pt idx="0">
                  <c:v>62.4</c:v>
                </c:pt>
                <c:pt idx="1">
                  <c:v>61.2</c:v>
                </c:pt>
                <c:pt idx="2">
                  <c:v>38</c:v>
                </c:pt>
                <c:pt idx="3">
                  <c:v>9.5</c:v>
                </c:pt>
                <c:pt idx="4">
                  <c:v>3.4</c:v>
                </c:pt>
                <c:pt idx="5">
                  <c:v>0.66</c:v>
                </c:pt>
                <c:pt idx="6">
                  <c:v>0.22</c:v>
                </c:pt>
                <c:pt idx="7">
                  <c:v>5.1999999999999998E-2</c:v>
                </c:pt>
                <c:pt idx="8">
                  <c:v>4.4000000000000003E-3</c:v>
                </c:pt>
                <c:pt idx="9">
                  <c:v>3.7000000000000002E-3</c:v>
                </c:pt>
                <c:pt idx="10">
                  <c:v>4.7000000000000002E-3</c:v>
                </c:pt>
                <c:pt idx="11">
                  <c:v>2.2000000000000001E-3</c:v>
                </c:pt>
                <c:pt idx="12" formatCode="0.00E+00">
                  <c:v>7.6000000000000004E-5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95-4D65-975D-DAEAA5F9E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63184"/>
        <c:axId val="635460888"/>
      </c:scatterChart>
      <c:valAx>
        <c:axId val="6354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60888"/>
        <c:crosses val="autoZero"/>
        <c:crossBetween val="midCat"/>
      </c:valAx>
      <c:valAx>
        <c:axId val="63546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631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'Component FP Predictions'!$AA$1:$AE$1</c:f>
          <c:strCache>
            <c:ptCount val="5"/>
            <c:pt idx="0">
              <c:v>YSI (https://ysi.ml.nrel.gov/)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'Component FP Predictions'!$AA$2:$AB$2</c:f>
              <c:strCache>
                <c:ptCount val="1"/>
                <c:pt idx="0">
                  <c:v>Predicted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'Component FP Predictions'!$A$4:$A$16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'Component FP Predictions'!$AA$4:$AA$16</c:f>
              <c:numCache>
                <c:formatCode>0.0</c:formatCode>
                <c:ptCount val="13"/>
                <c:pt idx="0">
                  <c:v>12.1</c:v>
                </c:pt>
                <c:pt idx="1">
                  <c:v>18.5</c:v>
                </c:pt>
                <c:pt idx="2">
                  <c:v>24.9</c:v>
                </c:pt>
                <c:pt idx="3">
                  <c:v>31.4</c:v>
                </c:pt>
                <c:pt idx="4">
                  <c:v>37.799999999999997</c:v>
                </c:pt>
                <c:pt idx="5">
                  <c:v>44.3</c:v>
                </c:pt>
                <c:pt idx="6">
                  <c:v>50.7</c:v>
                </c:pt>
                <c:pt idx="7">
                  <c:v>57.2</c:v>
                </c:pt>
                <c:pt idx="8">
                  <c:v>63.6</c:v>
                </c:pt>
                <c:pt idx="9">
                  <c:v>70</c:v>
                </c:pt>
                <c:pt idx="10">
                  <c:v>76.5</c:v>
                </c:pt>
                <c:pt idx="11">
                  <c:v>82.9</c:v>
                </c:pt>
                <c:pt idx="12">
                  <c:v>89.4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E0-4D0E-B8AC-A4904888CE5F}"/>
            </c:ext>
          </c:extLst>
        </c:ser>
        <c:ser>
          <c:idx val="1"/>
          <c:order val="1"/>
          <c:tx>
            <c:strRef>
              <c:f>'Component FP Predictions'!$AC$2</c:f>
              <c:strCache>
                <c:ptCount val="1"/>
                <c:pt idx="0">
                  <c:v>Measured </c:v>
                </c:pt>
              </c:strCache>
            </c:strRef>
          </c:tx>
          <c:spPr>
            <a:ln w="25400">
              <a:noFill/>
            </a:ln>
          </c:spPr>
          <c:xVal>
            <c:numRef>
              <c:f>'Component FP Predictions'!$A$4:$A$16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'Component FP Predictions'!$AC$4:$AC$16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30.4</c:v>
                </c:pt>
                <c:pt idx="4">
                  <c:v>36</c:v>
                </c:pt>
                <c:pt idx="5">
                  <c:v>42.6</c:v>
                </c:pt>
                <c:pt idx="6">
                  <c:v>50.1</c:v>
                </c:pt>
                <c:pt idx="7">
                  <c:v>54</c:v>
                </c:pt>
                <c:pt idx="8">
                  <c:v>60.1</c:v>
                </c:pt>
                <c:pt idx="9">
                  <c:v>67.099999999999994</c:v>
                </c:pt>
                <c:pt idx="10">
                  <c:v>72.5</c:v>
                </c:pt>
                <c:pt idx="11">
                  <c:v>78.400000000000006</c:v>
                </c:pt>
                <c:pt idx="12">
                  <c:v>84.1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E0-4D0E-B8AC-A4904888C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63184"/>
        <c:axId val="635460888"/>
      </c:scatterChart>
      <c:valAx>
        <c:axId val="6354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60888"/>
        <c:crosses val="autoZero"/>
        <c:crossBetween val="midCat"/>
      </c:valAx>
      <c:valAx>
        <c:axId val="635460888"/>
        <c:scaling>
          <c:orientation val="minMax"/>
          <c:max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631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(g/mL)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'Component FP Predictions'!$BG$2</c:f>
              <c:strCache>
                <c:ptCount val="1"/>
                <c:pt idx="0">
                  <c:v>Predicted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'Component FP Predictions'!$A$4:$A$14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'Component FP Predictions'!$BG$4:$BG$14</c:f>
              <c:numCache>
                <c:formatCode>General</c:formatCode>
                <c:ptCount val="11"/>
                <c:pt idx="0">
                  <c:v>0.78</c:v>
                </c:pt>
                <c:pt idx="1">
                  <c:v>0.8</c:v>
                </c:pt>
                <c:pt idx="2">
                  <c:v>0.69</c:v>
                </c:pt>
                <c:pt idx="3">
                  <c:v>0.71</c:v>
                </c:pt>
                <c:pt idx="4">
                  <c:v>0.72</c:v>
                </c:pt>
                <c:pt idx="5">
                  <c:v>0.73</c:v>
                </c:pt>
                <c:pt idx="6">
                  <c:v>0.74</c:v>
                </c:pt>
                <c:pt idx="7">
                  <c:v>0.74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DA-4789-BDEC-345902E5FC15}"/>
            </c:ext>
          </c:extLst>
        </c:ser>
        <c:ser>
          <c:idx val="1"/>
          <c:order val="1"/>
          <c:tx>
            <c:strRef>
              <c:f>'Component FP Predictions'!$BH$2</c:f>
              <c:strCache>
                <c:ptCount val="1"/>
                <c:pt idx="0">
                  <c:v>Measured</c:v>
                </c:pt>
              </c:strCache>
            </c:strRef>
          </c:tx>
          <c:spPr>
            <a:ln w="25400">
              <a:noFill/>
            </a:ln>
          </c:spPr>
          <c:xVal>
            <c:numRef>
              <c:f>'Component FP Predictions'!$A$4:$A$14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'Component FP Predictions'!$BH$4:$BH$14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0.63</c:v>
                </c:pt>
                <c:pt idx="3">
                  <c:v>0.66</c:v>
                </c:pt>
                <c:pt idx="4">
                  <c:v>0.69</c:v>
                </c:pt>
                <c:pt idx="5">
                  <c:v>0.71</c:v>
                </c:pt>
                <c:pt idx="6">
                  <c:v>0.72</c:v>
                </c:pt>
                <c:pt idx="7">
                  <c:v>0.73</c:v>
                </c:pt>
                <c:pt idx="8">
                  <c:v>0.74</c:v>
                </c:pt>
                <c:pt idx="9">
                  <c:v>0.75</c:v>
                </c:pt>
                <c:pt idx="10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DA-4789-BDEC-345902E5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63184"/>
        <c:axId val="635460888"/>
      </c:scatterChart>
      <c:valAx>
        <c:axId val="6354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60888"/>
        <c:crosses val="autoZero"/>
        <c:crossBetween val="midCat"/>
      </c:valAx>
      <c:valAx>
        <c:axId val="63546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631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'Component FP Predictions'!$BM$1:$BR$1</c:f>
          <c:strCache>
            <c:ptCount val="6"/>
            <c:pt idx="0">
              <c:v>Viscosity at 25 °C (cSt)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'Component FP Predictions'!$BQ$2</c:f>
              <c:strCache>
                <c:ptCount val="1"/>
                <c:pt idx="0">
                  <c:v>Predicted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'Component FP Predictions'!$A$4:$A$16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'Component FP Predictions'!$BQ$4:$BQ$16</c:f>
              <c:numCache>
                <c:formatCode>0.00</c:formatCode>
                <c:ptCount val="13"/>
                <c:pt idx="0">
                  <c:v>0.15135612484362079</c:v>
                </c:pt>
                <c:pt idx="1">
                  <c:v>0.18620871366628672</c:v>
                </c:pt>
                <c:pt idx="2">
                  <c:v>0.23442288153199217</c:v>
                </c:pt>
                <c:pt idx="3">
                  <c:v>0.30199517204020154</c:v>
                </c:pt>
                <c:pt idx="4">
                  <c:v>0.38018939632056115</c:v>
                </c:pt>
                <c:pt idx="5">
                  <c:v>0.48977881936844614</c:v>
                </c:pt>
                <c:pt idx="6">
                  <c:v>0.72443596007499</c:v>
                </c:pt>
                <c:pt idx="7">
                  <c:v>0.87096358995608059</c:v>
                </c:pt>
                <c:pt idx="8">
                  <c:v>1.0715193052376064</c:v>
                </c:pt>
                <c:pt idx="9">
                  <c:v>1.2589254117941673</c:v>
                </c:pt>
                <c:pt idx="10">
                  <c:v>1.62181009735893</c:v>
                </c:pt>
                <c:pt idx="11">
                  <c:v>1.9054607179632475</c:v>
                </c:pt>
                <c:pt idx="12">
                  <c:v>2.344228815319922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58-45B4-BF89-3723BA825173}"/>
            </c:ext>
          </c:extLst>
        </c:ser>
        <c:ser>
          <c:idx val="1"/>
          <c:order val="1"/>
          <c:tx>
            <c:strRef>
              <c:f>'Component FP Predictions'!$BR$2</c:f>
              <c:strCache>
                <c:ptCount val="1"/>
                <c:pt idx="0">
                  <c:v>Measured</c:v>
                </c:pt>
              </c:strCache>
            </c:strRef>
          </c:tx>
          <c:spPr>
            <a:ln w="25400">
              <a:noFill/>
            </a:ln>
          </c:spPr>
          <c:xVal>
            <c:numRef>
              <c:f>'Component FP Predictions'!$A$4:$A$16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'Component FP Predictions'!$BR$4:$BR$16</c:f>
              <c:numCache>
                <c:formatCode>0.00</c:formatCode>
                <c:ptCount val="13"/>
                <c:pt idx="0">
                  <c:v>0</c:v>
                </c:pt>
                <c:pt idx="1">
                  <c:v>0.16595869074375599</c:v>
                </c:pt>
                <c:pt idx="2">
                  <c:v>0.22387211385683392</c:v>
                </c:pt>
                <c:pt idx="3">
                  <c:v>0.30199517204020154</c:v>
                </c:pt>
                <c:pt idx="4">
                  <c:v>0.38904514499428056</c:v>
                </c:pt>
                <c:pt idx="5">
                  <c:v>0.50118723362727224</c:v>
                </c:pt>
                <c:pt idx="6">
                  <c:v>0.660693448007596</c:v>
                </c:pt>
                <c:pt idx="7">
                  <c:v>0.85113803820237643</c:v>
                </c:pt>
                <c:pt idx="8">
                  <c:v>1.0964781961431851</c:v>
                </c:pt>
                <c:pt idx="9">
                  <c:v>1.4125375446227544</c:v>
                </c:pt>
                <c:pt idx="10">
                  <c:v>1.7378008287493756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58-45B4-BF89-3723BA825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63184"/>
        <c:axId val="635460888"/>
      </c:scatterChart>
      <c:valAx>
        <c:axId val="6354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60888"/>
        <c:crosses val="autoZero"/>
        <c:crossBetween val="midCat"/>
      </c:valAx>
      <c:valAx>
        <c:axId val="63546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631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13" Type="http://schemas.openxmlformats.org/officeDocument/2006/relationships/image" Target="../media/image6.emf"/><Relationship Id="rId18" Type="http://schemas.openxmlformats.org/officeDocument/2006/relationships/image" Target="../media/image11.emf"/><Relationship Id="rId3" Type="http://schemas.openxmlformats.org/officeDocument/2006/relationships/chart" Target="../charts/chart3.xml"/><Relationship Id="rId21" Type="http://schemas.openxmlformats.org/officeDocument/2006/relationships/chart" Target="../charts/chart10.xml"/><Relationship Id="rId7" Type="http://schemas.openxmlformats.org/officeDocument/2006/relationships/chart" Target="../charts/chart7.xml"/><Relationship Id="rId12" Type="http://schemas.openxmlformats.org/officeDocument/2006/relationships/image" Target="../media/image5.emf"/><Relationship Id="rId17" Type="http://schemas.openxmlformats.org/officeDocument/2006/relationships/image" Target="../media/image10.emf"/><Relationship Id="rId25" Type="http://schemas.openxmlformats.org/officeDocument/2006/relationships/image" Target="../media/image13.emf"/><Relationship Id="rId2" Type="http://schemas.openxmlformats.org/officeDocument/2006/relationships/chart" Target="../charts/chart2.xml"/><Relationship Id="rId16" Type="http://schemas.openxmlformats.org/officeDocument/2006/relationships/image" Target="../media/image9.emf"/><Relationship Id="rId20" Type="http://schemas.openxmlformats.org/officeDocument/2006/relationships/chart" Target="../charts/chart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4.emf"/><Relationship Id="rId24" Type="http://schemas.openxmlformats.org/officeDocument/2006/relationships/image" Target="../media/image12.emf"/><Relationship Id="rId5" Type="http://schemas.openxmlformats.org/officeDocument/2006/relationships/chart" Target="../charts/chart5.xml"/><Relationship Id="rId15" Type="http://schemas.openxmlformats.org/officeDocument/2006/relationships/image" Target="../media/image8.emf"/><Relationship Id="rId23" Type="http://schemas.openxmlformats.org/officeDocument/2006/relationships/chart" Target="../charts/chart12.xml"/><Relationship Id="rId10" Type="http://schemas.openxmlformats.org/officeDocument/2006/relationships/image" Target="../media/image3.emf"/><Relationship Id="rId19" Type="http://schemas.openxmlformats.org/officeDocument/2006/relationships/chart" Target="../charts/chart8.xml"/><Relationship Id="rId4" Type="http://schemas.openxmlformats.org/officeDocument/2006/relationships/chart" Target="../charts/chart4.xml"/><Relationship Id="rId9" Type="http://schemas.openxmlformats.org/officeDocument/2006/relationships/image" Target="../media/image2.emf"/><Relationship Id="rId14" Type="http://schemas.openxmlformats.org/officeDocument/2006/relationships/image" Target="../media/image7.emf"/><Relationship Id="rId2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910648</xdr:colOff>
      <xdr:row>17</xdr:row>
      <xdr:rowOff>170544</xdr:rowOff>
    </xdr:from>
    <xdr:to>
      <xdr:col>15</xdr:col>
      <xdr:colOff>186170</xdr:colOff>
      <xdr:row>39</xdr:row>
      <xdr:rowOff>6929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B38A0-094E-491B-9605-12598A46F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13856</xdr:colOff>
      <xdr:row>18</xdr:row>
      <xdr:rowOff>25401</xdr:rowOff>
    </xdr:from>
    <xdr:to>
      <xdr:col>22</xdr:col>
      <xdr:colOff>385619</xdr:colOff>
      <xdr:row>39</xdr:row>
      <xdr:rowOff>68449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476BAD-6B75-42C0-A780-469DD29C3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18</xdr:row>
      <xdr:rowOff>25400</xdr:rowOff>
    </xdr:from>
    <xdr:to>
      <xdr:col>27</xdr:col>
      <xdr:colOff>531091</xdr:colOff>
      <xdr:row>39</xdr:row>
      <xdr:rowOff>68449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5E3E7B-A129-432B-9D19-E7A894F7B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142875</xdr:colOff>
      <xdr:row>17</xdr:row>
      <xdr:rowOff>84571</xdr:rowOff>
    </xdr:from>
    <xdr:to>
      <xdr:col>49</xdr:col>
      <xdr:colOff>1031875</xdr:colOff>
      <xdr:row>38</xdr:row>
      <xdr:rowOff>127619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42AEF-52BD-4F9D-91ED-1C13022EA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619702</xdr:colOff>
      <xdr:row>18</xdr:row>
      <xdr:rowOff>143452</xdr:rowOff>
    </xdr:from>
    <xdr:to>
      <xdr:col>56</xdr:col>
      <xdr:colOff>558800</xdr:colOff>
      <xdr:row>42</xdr:row>
      <xdr:rowOff>52573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9502F2-952B-4FE6-9895-C5D67447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17</xdr:row>
      <xdr:rowOff>25400</xdr:rowOff>
    </xdr:from>
    <xdr:to>
      <xdr:col>44</xdr:col>
      <xdr:colOff>571500</xdr:colOff>
      <xdr:row>38</xdr:row>
      <xdr:rowOff>71247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9E4125-874D-419D-8FD2-A1A7E7FED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63500</xdr:colOff>
      <xdr:row>19</xdr:row>
      <xdr:rowOff>25400</xdr:rowOff>
    </xdr:from>
    <xdr:to>
      <xdr:col>40</xdr:col>
      <xdr:colOff>799522</xdr:colOff>
      <xdr:row>40</xdr:row>
      <xdr:rowOff>84942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E371BD-4B87-4015-8B33-D24F794A5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516890</xdr:colOff>
      <xdr:row>3</xdr:row>
      <xdr:rowOff>212614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CE651D-74B5-45B0-903E-2E95956AF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95091" y="1166091"/>
          <a:ext cx="520700" cy="2164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740709</xdr:colOff>
      <xdr:row>4</xdr:row>
      <xdr:rowOff>212614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D7BFCD5-FE24-4A02-AC2C-FD12F3D10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95091" y="1547091"/>
          <a:ext cx="736899" cy="2164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969365</xdr:colOff>
      <xdr:row>5</xdr:row>
      <xdr:rowOff>212614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7CA8A09-F784-47FD-8FFC-A3DA1CEDF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595091" y="1928091"/>
          <a:ext cx="965555" cy="2164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1181863</xdr:colOff>
      <xdr:row>6</xdr:row>
      <xdr:rowOff>212614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7EF88F-7229-4B5E-ADA7-8D2A1EB86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595091" y="2309091"/>
          <a:ext cx="1181863" cy="2164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1393958</xdr:colOff>
      <xdr:row>7</xdr:row>
      <xdr:rowOff>212614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72B2265-4012-4FFC-A1E8-1C5C11995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595091" y="2690091"/>
          <a:ext cx="1397768" cy="2164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1622868</xdr:colOff>
      <xdr:row>8</xdr:row>
      <xdr:rowOff>212614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B76E8B3-B330-4EA2-B0AD-A737B251B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595091" y="3071091"/>
          <a:ext cx="1626678" cy="2164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1846119</xdr:colOff>
      <xdr:row>9</xdr:row>
      <xdr:rowOff>212614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BD4B4EF-886B-43BD-BEE6-DDC9965AE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595091" y="3452091"/>
          <a:ext cx="1842309" cy="2164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2057611</xdr:colOff>
      <xdr:row>10</xdr:row>
      <xdr:rowOff>212614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A45CA0A-B39E-43FB-BC81-3C2AC13FF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595091" y="3833091"/>
          <a:ext cx="2057611" cy="2164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2282905</xdr:colOff>
      <xdr:row>11</xdr:row>
      <xdr:rowOff>212614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6F9DFD6-F00B-423D-B3E4-E50054E8B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595091" y="4214091"/>
          <a:ext cx="2286640" cy="2164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2494448</xdr:colOff>
      <xdr:row>12</xdr:row>
      <xdr:rowOff>212614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A1C02AB-451E-48F5-81FD-3C601AA27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595091" y="4595091"/>
          <a:ext cx="2501993" cy="2164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2724174</xdr:colOff>
      <xdr:row>13</xdr:row>
      <xdr:rowOff>212614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428EDD34-3FAB-4402-A20E-52703B7A7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595091" y="4976091"/>
          <a:ext cx="2718384" cy="216424"/>
        </a:xfrm>
        <a:prstGeom prst="rect">
          <a:avLst/>
        </a:prstGeom>
      </xdr:spPr>
    </xdr:pic>
    <xdr:clientData/>
  </xdr:twoCellAnchor>
  <xdr:twoCellAnchor>
    <xdr:from>
      <xdr:col>56</xdr:col>
      <xdr:colOff>787400</xdr:colOff>
      <xdr:row>18</xdr:row>
      <xdr:rowOff>127000</xdr:rowOff>
    </xdr:from>
    <xdr:to>
      <xdr:col>62</xdr:col>
      <xdr:colOff>206375</xdr:colOff>
      <xdr:row>42</xdr:row>
      <xdr:rowOff>36121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C132F5A-DFE5-4041-A6C4-E456D33C2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67</xdr:col>
      <xdr:colOff>444499</xdr:colOff>
      <xdr:row>19</xdr:row>
      <xdr:rowOff>6350</xdr:rowOff>
    </xdr:from>
    <xdr:to>
      <xdr:col>71</xdr:col>
      <xdr:colOff>371474</xdr:colOff>
      <xdr:row>41</xdr:row>
      <xdr:rowOff>67871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8A363A0-0979-45F6-AF0D-6BD484F85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62</xdr:col>
      <xdr:colOff>911225</xdr:colOff>
      <xdr:row>19</xdr:row>
      <xdr:rowOff>0</xdr:rowOff>
    </xdr:from>
    <xdr:to>
      <xdr:col>66</xdr:col>
      <xdr:colOff>1203325</xdr:colOff>
      <xdr:row>41</xdr:row>
      <xdr:rowOff>74221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1760E7A-02D5-4EFE-B734-44353DF00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673100</xdr:colOff>
      <xdr:row>18</xdr:row>
      <xdr:rowOff>142875</xdr:rowOff>
    </xdr:from>
    <xdr:to>
      <xdr:col>74</xdr:col>
      <xdr:colOff>984250</xdr:colOff>
      <xdr:row>41</xdr:row>
      <xdr:rowOff>13896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B3AE494-4283-423A-B082-4B50DC887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75</xdr:col>
      <xdr:colOff>571500</xdr:colOff>
      <xdr:row>18</xdr:row>
      <xdr:rowOff>127000</xdr:rowOff>
    </xdr:from>
    <xdr:to>
      <xdr:col>88</xdr:col>
      <xdr:colOff>250825</xdr:colOff>
      <xdr:row>40</xdr:row>
      <xdr:rowOff>188521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0940626-EB84-4688-8C59-891071C72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2950238</xdr:colOff>
      <xdr:row>14</xdr:row>
      <xdr:rowOff>212614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A2E91A26-A4FB-4A6A-A49F-F584B8CCB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594412" y="4982882"/>
          <a:ext cx="2946353" cy="2164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3158918</xdr:colOff>
      <xdr:row>15</xdr:row>
      <xdr:rowOff>212614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28081B7-B434-4F21-96CE-0E16BF080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594412" y="5363882"/>
          <a:ext cx="3162653" cy="21642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uq, Nabila" id="{985C734D-8612-415F-82E3-C722AC88920F}" userId="S::nhuq@nrel.gov::00aef4d4-9279-4e7e-a7ea-bc6e684a24f6" providerId="AD"/>
  <person displayName="Miller, Jacob" id="{21BCE9B0-0012-401C-9109-332AA5D56115}" userId="S::jmiller3@nrel.gov::dc001535-f123-4a8b-834d-c0ecccf454b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21-03-31T17:16:46.41" personId="{985C734D-8612-415F-82E3-C722AC88920F}" id="{D34DADC3-5CAC-443B-A7A4-B1AA3E0BC8B9}">
    <text>Needed for flashpoint estimations; check whether references predicted or measured cells</text>
  </threadedComment>
  <threadedComment ref="AZ1" dT="2021-03-31T17:13:20.86" personId="{985C734D-8612-415F-82E3-C722AC88920F}" id="{FF1F8B2F-05A1-485A-9C68-6FB1049EDB44}">
    <text>See associated deviations per HC class on "pure component models" tab</text>
  </threadedComment>
  <threadedComment ref="BT2" dT="2021-04-16T20:52:42.39" personId="{985C734D-8612-415F-82E3-C722AC88920F}" id="{7B22AA94-4EFB-4FBE-8D0A-DCA9C0CB6CF4}">
    <text>download csv and search that way</text>
  </threadedComment>
  <threadedComment ref="BD3" dT="2021-05-12T20:40:56.15" personId="{985C734D-8612-415F-82E3-C722AC88920F}" id="{27BDA195-C2DD-4520-B19E-847552DC7BDF}">
    <text>TEST's experimental database is kind of messed up...</text>
  </threadedComment>
  <threadedComment ref="CK5" dT="2021-08-19T15:37:47.93" personId="{21BCE9B0-0012-401C-9109-332AA5D56115}" id="{ADD062D6-DAAA-4F16-A457-AB74587A8423}">
    <text>at -3 C, right before evaporation</text>
  </threadedComment>
  <threadedComment ref="CK6" dT="2021-08-19T15:38:42.99" personId="{21BCE9B0-0012-401C-9109-332AA5D56115}" id="{5437F76F-F02E-4902-BBE0-70CB3F559994}">
    <text>at 27 C, right before evaporation</text>
  </threadedComment>
  <threadedComment ref="BU11" dT="2021-05-17T18:47:00.01" personId="{985C734D-8612-415F-82E3-C722AC88920F}" id="{FF075CAE-3D3E-4E4D-B07A-94B50E06EE0D}">
    <text>Weird -0.22 prediction</text>
  </threadedComment>
  <threadedComment ref="CJ11" dT="2021-08-19T15:42:50.06" personId="{21BCE9B0-0012-401C-9109-332AA5D56115}" id="{EC985B53-A22E-44B7-9F66-DA39D82A3F79}">
    <text>AT -30, lowest I could get</text>
  </threadedComment>
  <threadedComment ref="CJ12" dT="2021-08-19T15:44:09.98" personId="{21BCE9B0-0012-401C-9109-332AA5D56115}" id="{8C4EE28B-F779-4A65-9A30-5189F2F6D85A}">
    <text>at -10C, lowest I could get</text>
  </threadedComment>
  <threadedComment ref="CJ13" dT="2021-08-19T15:45:01.41" personId="{21BCE9B0-0012-401C-9109-332AA5D56115}" id="{83DA92A9-0C95-42C9-9708-2EACD1A4F226}">
    <text>at -10, lowest I could get</text>
  </threadedComment>
  <threadedComment ref="CJ14" dT="2021-08-19T15:45:42.01" personId="{21BCE9B0-0012-401C-9109-332AA5D56115}" id="{C7E19623-4D02-4895-AB05-0D6EA1D2229F}">
    <text>At 0 C, lowest I could get</text>
  </threadedComment>
  <threadedComment ref="CJ15" dT="2021-08-19T15:46:27.66" personId="{21BCE9B0-0012-401C-9109-332AA5D56115}" id="{C064BDB9-D5AD-4401-B05F-0360CF5973A2}">
    <text>at 10 C, lowest I could get</text>
  </threadedComment>
  <threadedComment ref="CJ16" dT="2021-08-19T15:47:14.53" personId="{21BCE9B0-0012-401C-9109-332AA5D56115}" id="{F169C029-8468-4415-95BE-90D0C7C6E5F7}">
    <text>at 20 C, lowest I could get</text>
  </threadedComment>
  <threadedComment ref="B20" dT="2021-05-17T17:32:20.82" personId="{985C734D-8612-415F-82E3-C722AC88920F}" id="{5CAD9754-B13A-41BC-8C2B-7028E5A4B6F0}">
    <text>EPIWeb 4.1 - free software from the EPA
TEST - free software from the EPA
Need to get both installed by NREL; mention I had it done before, so they know whether they need to do the full approval process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ombustdb.herokuapp.com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5E6D-39EC-4A47-9091-0F82015F11C7}">
  <dimension ref="A1:CR33"/>
  <sheetViews>
    <sheetView tabSelected="1" zoomScale="70" zoomScaleNormal="70" workbookViewId="0">
      <pane xSplit="4" ySplit="3" topLeftCell="CF4" activePane="bottomRight" state="frozen"/>
      <selection pane="topRight" activeCell="D1" sqref="D1"/>
      <selection pane="bottomLeft" activeCell="A4" sqref="A4"/>
      <selection pane="bottomRight" activeCell="CK4" sqref="CK4"/>
    </sheetView>
  </sheetViews>
  <sheetFormatPr defaultColWidth="8.77734375" defaultRowHeight="14.4" x14ac:dyDescent="0.3"/>
  <cols>
    <col min="1" max="1" width="8.77734375" style="21"/>
    <col min="2" max="2" width="33.109375" style="21" customWidth="1"/>
    <col min="3" max="3" width="23.88671875" style="21" customWidth="1"/>
    <col min="4" max="4" width="46.88671875" style="21" customWidth="1"/>
    <col min="5" max="5" width="14.77734375" style="21" customWidth="1"/>
    <col min="6" max="6" width="15.5546875" style="21" customWidth="1"/>
    <col min="7" max="7" width="12.44140625" style="21" customWidth="1"/>
    <col min="8" max="8" width="5.77734375" style="21" customWidth="1"/>
    <col min="9" max="9" width="7.5546875" style="21" customWidth="1"/>
    <col min="10" max="17" width="5.77734375" style="21" customWidth="1"/>
    <col min="18" max="18" width="12.33203125" style="21" customWidth="1"/>
    <col min="19" max="19" width="12.44140625" style="21" customWidth="1"/>
    <col min="20" max="20" width="12.21875" style="21" customWidth="1"/>
    <col min="21" max="21" width="10.77734375" style="21" customWidth="1"/>
    <col min="22" max="22" width="12.44140625" style="21" customWidth="1"/>
    <col min="23" max="23" width="11.44140625" style="21" customWidth="1"/>
    <col min="24" max="24" width="19.5546875" style="21" customWidth="1"/>
    <col min="25" max="25" width="14.21875" style="21" customWidth="1"/>
    <col min="26" max="26" width="12.21875" style="21" customWidth="1"/>
    <col min="27" max="28" width="11.77734375" style="21" customWidth="1"/>
    <col min="29" max="30" width="18.44140625" style="21" customWidth="1"/>
    <col min="31" max="31" width="16.21875" style="45" customWidth="1"/>
    <col min="32" max="32" width="9.21875" style="21" customWidth="1"/>
    <col min="33" max="33" width="10" style="21" customWidth="1"/>
    <col min="34" max="34" width="10.77734375" style="21" customWidth="1"/>
    <col min="35" max="35" width="10.77734375" style="46" customWidth="1"/>
    <col min="36" max="36" width="10.77734375" style="21" customWidth="1"/>
    <col min="37" max="37" width="10.5546875" style="21" customWidth="1"/>
    <col min="38" max="38" width="10" style="21" customWidth="1"/>
    <col min="39" max="39" width="8.5546875" style="21" customWidth="1"/>
    <col min="40" max="40" width="14.5546875" style="21" customWidth="1"/>
    <col min="41" max="41" width="12.21875" style="21" customWidth="1"/>
    <col min="42" max="42" width="10.21875" style="21" customWidth="1"/>
    <col min="43" max="43" width="10.21875" style="46" customWidth="1"/>
    <col min="44" max="45" width="9.21875" style="21" customWidth="1"/>
    <col min="46" max="46" width="8.21875" style="21" customWidth="1"/>
    <col min="47" max="47" width="10.5546875" style="21" customWidth="1"/>
    <col min="48" max="48" width="19.21875" style="21" customWidth="1"/>
    <col min="49" max="49" width="8.21875" style="21" customWidth="1"/>
    <col min="50" max="51" width="17.21875" style="21" customWidth="1"/>
    <col min="52" max="52" width="13.21875" style="21" customWidth="1"/>
    <col min="53" max="54" width="15" style="21" customWidth="1"/>
    <col min="55" max="58" width="12.21875" style="21" customWidth="1"/>
    <col min="59" max="59" width="12.77734375" style="21" customWidth="1"/>
    <col min="60" max="60" width="13.77734375" style="21" customWidth="1"/>
    <col min="61" max="61" width="18.21875" style="21" customWidth="1"/>
    <col min="62" max="62" width="14.5546875" style="21" customWidth="1"/>
    <col min="63" max="63" width="14.109375" style="21" customWidth="1"/>
    <col min="64" max="64" width="15.109375" style="21" customWidth="1"/>
    <col min="65" max="65" width="18.21875" style="21" customWidth="1"/>
    <col min="66" max="66" width="14.5546875" style="21" customWidth="1"/>
    <col min="67" max="67" width="18.21875" style="21" customWidth="1"/>
    <col min="68" max="68" width="14.5546875" style="21" customWidth="1"/>
    <col min="69" max="69" width="18.21875" style="21" customWidth="1"/>
    <col min="70" max="70" width="14.5546875" style="21" customWidth="1"/>
    <col min="71" max="71" width="11.77734375" style="21" customWidth="1"/>
    <col min="72" max="72" width="12.77734375" style="21" customWidth="1"/>
    <col min="73" max="73" width="15.77734375" style="21" customWidth="1"/>
    <col min="74" max="74" width="14.21875" style="21" customWidth="1"/>
    <col min="75" max="75" width="14.44140625" style="21" customWidth="1"/>
    <col min="76" max="76" width="10.77734375" style="21" customWidth="1"/>
    <col min="77" max="80" width="14.21875" style="21" hidden="1" customWidth="1"/>
    <col min="81" max="81" width="15.5546875" style="21" hidden="1" customWidth="1"/>
    <col min="82" max="83" width="14.21875" style="21" hidden="1" customWidth="1"/>
    <col min="84" max="84" width="8.77734375" style="21"/>
    <col min="85" max="85" width="14.44140625" style="21" bestFit="1" customWidth="1"/>
    <col min="86" max="86" width="8.77734375" style="21"/>
    <col min="87" max="87" width="40" style="21" bestFit="1" customWidth="1"/>
    <col min="88" max="88" width="22.44140625" style="21" bestFit="1" customWidth="1"/>
    <col min="89" max="89" width="21.77734375" style="21" bestFit="1" customWidth="1"/>
    <col min="90" max="95" width="8.77734375" style="21"/>
    <col min="96" max="96" width="14.44140625" style="21" bestFit="1" customWidth="1"/>
    <col min="97" max="16384" width="8.77734375" style="21"/>
  </cols>
  <sheetData>
    <row r="1" spans="1:91" s="4" customFormat="1" ht="18" x14ac:dyDescent="0.3">
      <c r="B1" s="65" t="s">
        <v>4</v>
      </c>
      <c r="C1" s="97" t="s">
        <v>5</v>
      </c>
      <c r="D1" s="98"/>
      <c r="E1" s="65"/>
      <c r="F1" s="65"/>
      <c r="G1" s="59" t="s">
        <v>6</v>
      </c>
      <c r="H1" s="98" t="s">
        <v>7</v>
      </c>
      <c r="I1" s="98"/>
      <c r="J1" s="98"/>
      <c r="K1" s="98"/>
      <c r="L1" s="98"/>
      <c r="M1" s="98"/>
      <c r="N1" s="98"/>
      <c r="O1" s="98"/>
      <c r="P1" s="98"/>
      <c r="Q1" s="98"/>
      <c r="R1" s="98"/>
      <c r="S1" s="97" t="s">
        <v>8</v>
      </c>
      <c r="T1" s="99"/>
      <c r="U1" s="95" t="s">
        <v>9</v>
      </c>
      <c r="V1" s="96"/>
      <c r="W1" s="95" t="s">
        <v>116</v>
      </c>
      <c r="X1" s="96"/>
      <c r="Y1" s="95" t="s">
        <v>10</v>
      </c>
      <c r="Z1" s="96"/>
      <c r="AA1" s="95" t="s">
        <v>110</v>
      </c>
      <c r="AB1" s="106"/>
      <c r="AC1" s="106"/>
      <c r="AD1" s="106"/>
      <c r="AE1" s="96"/>
      <c r="AF1" s="95" t="s">
        <v>11</v>
      </c>
      <c r="AG1" s="106"/>
      <c r="AH1" s="96"/>
      <c r="AI1" s="95" t="s">
        <v>11</v>
      </c>
      <c r="AJ1" s="106"/>
      <c r="AK1" s="96"/>
      <c r="AL1" s="95" t="s">
        <v>12</v>
      </c>
      <c r="AM1" s="96"/>
      <c r="AN1" s="95" t="s">
        <v>13</v>
      </c>
      <c r="AO1" s="106"/>
      <c r="AP1" s="96"/>
      <c r="AQ1" s="95" t="s">
        <v>14</v>
      </c>
      <c r="AR1" s="106"/>
      <c r="AS1" s="106"/>
      <c r="AT1" s="1" t="s">
        <v>15</v>
      </c>
      <c r="AU1" s="2"/>
      <c r="AV1" s="2"/>
      <c r="AW1" s="2"/>
      <c r="AX1" s="2"/>
      <c r="AY1" s="56"/>
      <c r="AZ1" s="95" t="s">
        <v>16</v>
      </c>
      <c r="BA1" s="106"/>
      <c r="BB1" s="96"/>
      <c r="BC1" s="97" t="s">
        <v>17</v>
      </c>
      <c r="BD1" s="98"/>
      <c r="BE1" s="98"/>
      <c r="BF1" s="99"/>
      <c r="BG1" s="97" t="s">
        <v>18</v>
      </c>
      <c r="BH1" s="98"/>
      <c r="BI1" s="98" t="s">
        <v>115</v>
      </c>
      <c r="BJ1" s="98"/>
      <c r="BK1" s="98"/>
      <c r="BL1" s="99"/>
      <c r="BM1" s="97" t="s">
        <v>124</v>
      </c>
      <c r="BN1" s="98"/>
      <c r="BO1" s="98"/>
      <c r="BP1" s="98"/>
      <c r="BQ1" s="98"/>
      <c r="BR1" s="99"/>
      <c r="BS1" s="95" t="s">
        <v>3</v>
      </c>
      <c r="BT1" s="96"/>
      <c r="BU1" s="97" t="s">
        <v>19</v>
      </c>
      <c r="BV1" s="99"/>
      <c r="BW1" s="97" t="s">
        <v>20</v>
      </c>
      <c r="BX1" s="99"/>
      <c r="BY1" s="59" t="s">
        <v>21</v>
      </c>
      <c r="BZ1" s="65" t="s">
        <v>22</v>
      </c>
      <c r="CA1" s="65"/>
      <c r="CB1" s="65" t="s">
        <v>23</v>
      </c>
      <c r="CC1" s="59" t="s">
        <v>24</v>
      </c>
      <c r="CD1" s="65"/>
      <c r="CE1" s="65" t="s">
        <v>25</v>
      </c>
      <c r="CF1" s="92"/>
      <c r="CG1" s="94" t="s">
        <v>128</v>
      </c>
      <c r="CI1" s="94" t="s">
        <v>129</v>
      </c>
      <c r="CJ1" s="4" t="s">
        <v>131</v>
      </c>
      <c r="CK1" s="4" t="s">
        <v>132</v>
      </c>
    </row>
    <row r="2" spans="1:91" s="3" customFormat="1" ht="28.8" x14ac:dyDescent="0.3">
      <c r="B2" s="63" t="s">
        <v>26</v>
      </c>
      <c r="C2" s="62" t="s">
        <v>27</v>
      </c>
      <c r="D2" s="63" t="s">
        <v>5</v>
      </c>
      <c r="E2" s="63" t="s">
        <v>28</v>
      </c>
      <c r="F2" s="63" t="s">
        <v>29</v>
      </c>
      <c r="G2" s="62"/>
      <c r="H2" s="63" t="s">
        <v>30</v>
      </c>
      <c r="I2" s="63" t="s">
        <v>31</v>
      </c>
      <c r="J2" s="63" t="s">
        <v>32</v>
      </c>
      <c r="K2" s="63" t="s">
        <v>31</v>
      </c>
      <c r="L2" s="63" t="s">
        <v>33</v>
      </c>
      <c r="M2" s="63" t="s">
        <v>31</v>
      </c>
      <c r="N2" s="63" t="s">
        <v>34</v>
      </c>
      <c r="O2" s="63" t="s">
        <v>31</v>
      </c>
      <c r="P2" s="63" t="s">
        <v>35</v>
      </c>
      <c r="Q2" s="63" t="s">
        <v>31</v>
      </c>
      <c r="R2" s="61" t="s">
        <v>36</v>
      </c>
      <c r="S2" s="60" t="s">
        <v>0</v>
      </c>
      <c r="T2" s="61" t="s">
        <v>1</v>
      </c>
      <c r="U2" s="60" t="s">
        <v>0</v>
      </c>
      <c r="V2" s="61" t="s">
        <v>1</v>
      </c>
      <c r="W2" s="62" t="s">
        <v>37</v>
      </c>
      <c r="X2" s="63" t="s">
        <v>38</v>
      </c>
      <c r="Y2" s="62" t="s">
        <v>37</v>
      </c>
      <c r="Z2" s="63" t="s">
        <v>38</v>
      </c>
      <c r="AA2" s="100" t="s">
        <v>37</v>
      </c>
      <c r="AB2" s="101"/>
      <c r="AC2" s="61" t="s">
        <v>38</v>
      </c>
      <c r="AD2" s="75"/>
      <c r="AE2" s="6" t="s">
        <v>39</v>
      </c>
      <c r="AF2" s="62" t="s">
        <v>40</v>
      </c>
      <c r="AG2" s="63" t="s">
        <v>41</v>
      </c>
      <c r="AH2" s="63" t="s">
        <v>42</v>
      </c>
      <c r="AI2" s="60" t="s">
        <v>43</v>
      </c>
      <c r="AJ2" s="63" t="s">
        <v>44</v>
      </c>
      <c r="AK2" s="61" t="s">
        <v>38</v>
      </c>
      <c r="AL2" s="60" t="s">
        <v>45</v>
      </c>
      <c r="AM2" s="61" t="s">
        <v>1</v>
      </c>
      <c r="AN2" s="102" t="s">
        <v>45</v>
      </c>
      <c r="AO2" s="103"/>
      <c r="AP2" s="104"/>
      <c r="AQ2" s="100" t="s">
        <v>0</v>
      </c>
      <c r="AR2" s="107"/>
      <c r="AS2" s="61" t="s">
        <v>1</v>
      </c>
      <c r="AT2" s="62" t="s">
        <v>46</v>
      </c>
      <c r="AU2" s="63" t="s">
        <v>47</v>
      </c>
      <c r="AV2" s="63" t="s">
        <v>48</v>
      </c>
      <c r="AW2" s="63" t="s">
        <v>49</v>
      </c>
      <c r="AX2" s="63" t="s">
        <v>50</v>
      </c>
      <c r="AY2" s="7" t="s">
        <v>51</v>
      </c>
      <c r="AZ2" s="51" t="s">
        <v>52</v>
      </c>
      <c r="BA2" s="76" t="s">
        <v>53</v>
      </c>
      <c r="BB2" s="7" t="s">
        <v>54</v>
      </c>
      <c r="BC2" s="100" t="s">
        <v>37</v>
      </c>
      <c r="BD2" s="101"/>
      <c r="BE2" s="101" t="s">
        <v>1</v>
      </c>
      <c r="BF2" s="105"/>
      <c r="BG2" s="62" t="s">
        <v>0</v>
      </c>
      <c r="BH2" s="63" t="s">
        <v>1</v>
      </c>
      <c r="BI2" s="52" t="s">
        <v>55</v>
      </c>
      <c r="BJ2" s="64" t="s">
        <v>1</v>
      </c>
      <c r="BK2" s="52" t="s">
        <v>0</v>
      </c>
      <c r="BL2" s="64" t="s">
        <v>1</v>
      </c>
      <c r="BM2" s="62" t="s">
        <v>55</v>
      </c>
      <c r="BN2" s="64" t="s">
        <v>1</v>
      </c>
      <c r="BO2" s="88" t="s">
        <v>37</v>
      </c>
      <c r="BP2" s="89" t="s">
        <v>1</v>
      </c>
      <c r="BQ2" s="62" t="s">
        <v>37</v>
      </c>
      <c r="BR2" s="64" t="s">
        <v>1</v>
      </c>
      <c r="BS2" s="60" t="s">
        <v>0</v>
      </c>
      <c r="BT2" s="61" t="s">
        <v>1</v>
      </c>
      <c r="BU2" s="74" t="s">
        <v>0</v>
      </c>
      <c r="BV2" s="61" t="s">
        <v>1</v>
      </c>
      <c r="BW2" s="74" t="s">
        <v>0</v>
      </c>
      <c r="BX2" s="61" t="s">
        <v>1</v>
      </c>
      <c r="BY2" s="60" t="s">
        <v>0</v>
      </c>
      <c r="BZ2" s="61" t="s">
        <v>0</v>
      </c>
      <c r="CA2" s="61" t="s">
        <v>1</v>
      </c>
      <c r="CB2" s="63"/>
      <c r="CC2" s="8" t="s">
        <v>56</v>
      </c>
      <c r="CD2" s="61" t="s">
        <v>1</v>
      </c>
      <c r="CE2" s="63"/>
      <c r="CF2" s="52"/>
    </row>
    <row r="3" spans="1:91" s="9" customFormat="1" ht="15" thickBot="1" x14ac:dyDescent="0.35">
      <c r="B3" s="10"/>
      <c r="C3" s="57"/>
      <c r="E3" s="10"/>
      <c r="F3" s="10"/>
      <c r="G3" s="57"/>
      <c r="H3" s="9">
        <v>12</v>
      </c>
      <c r="J3" s="9">
        <v>1</v>
      </c>
      <c r="L3" s="9">
        <v>16</v>
      </c>
      <c r="N3" s="9">
        <v>14</v>
      </c>
      <c r="P3" s="9">
        <v>32</v>
      </c>
      <c r="R3" s="9" t="s">
        <v>57</v>
      </c>
      <c r="S3" s="57" t="s">
        <v>58</v>
      </c>
      <c r="T3" s="58"/>
      <c r="U3" s="57" t="s">
        <v>58</v>
      </c>
      <c r="W3" s="57" t="s">
        <v>58</v>
      </c>
      <c r="X3" s="10"/>
      <c r="Y3" s="57" t="s">
        <v>58</v>
      </c>
      <c r="AA3" s="79"/>
      <c r="AB3" s="9" t="s">
        <v>59</v>
      </c>
      <c r="AC3" s="12"/>
      <c r="AD3" s="73" t="s">
        <v>59</v>
      </c>
      <c r="AE3" s="13" t="s">
        <v>60</v>
      </c>
      <c r="AF3" s="11"/>
      <c r="AI3" s="11"/>
      <c r="AK3" s="10"/>
      <c r="AL3" s="11"/>
      <c r="AM3" s="10"/>
      <c r="AN3" s="57" t="s">
        <v>61</v>
      </c>
      <c r="AO3" s="9" t="s">
        <v>62</v>
      </c>
      <c r="AP3" s="9" t="s">
        <v>63</v>
      </c>
      <c r="AQ3" s="74" t="s">
        <v>43</v>
      </c>
      <c r="AR3" s="77" t="s">
        <v>44</v>
      </c>
      <c r="AS3" s="14" t="s">
        <v>64</v>
      </c>
      <c r="AT3" s="57"/>
      <c r="AU3" s="15" t="s">
        <v>65</v>
      </c>
      <c r="AV3" s="16"/>
      <c r="AW3" s="15" t="s">
        <v>65</v>
      </c>
      <c r="AZ3" s="57"/>
      <c r="BA3" s="108" t="s">
        <v>66</v>
      </c>
      <c r="BB3" s="109"/>
      <c r="BC3" s="15" t="s">
        <v>65</v>
      </c>
      <c r="BD3" s="17" t="s">
        <v>67</v>
      </c>
      <c r="BE3" s="17" t="s">
        <v>68</v>
      </c>
      <c r="BF3" s="10" t="s">
        <v>130</v>
      </c>
      <c r="BG3" s="108" t="s">
        <v>69</v>
      </c>
      <c r="BH3" s="109"/>
      <c r="BI3" s="19" t="s">
        <v>74</v>
      </c>
      <c r="BJ3" s="20"/>
      <c r="BK3" s="19" t="s">
        <v>75</v>
      </c>
      <c r="BL3" s="20"/>
      <c r="BM3" s="18" t="s">
        <v>76</v>
      </c>
      <c r="BN3" s="20"/>
      <c r="BO3" s="84" t="s">
        <v>113</v>
      </c>
      <c r="BP3" s="20"/>
      <c r="BQ3" s="84" t="s">
        <v>123</v>
      </c>
      <c r="BR3" s="20"/>
      <c r="BS3" s="90" t="s">
        <v>70</v>
      </c>
      <c r="BU3" s="57"/>
      <c r="BW3" s="57"/>
      <c r="BY3" s="57"/>
      <c r="CC3" s="57"/>
      <c r="CF3" s="87"/>
    </row>
    <row r="4" spans="1:91" ht="30" customHeight="1" thickTop="1" x14ac:dyDescent="0.3">
      <c r="A4" s="21">
        <v>1</v>
      </c>
      <c r="B4" s="78" t="s">
        <v>77</v>
      </c>
      <c r="C4" s="29" t="s">
        <v>99</v>
      </c>
      <c r="D4" s="5"/>
      <c r="E4" s="5"/>
      <c r="F4" s="30"/>
      <c r="G4" s="31" t="s">
        <v>88</v>
      </c>
      <c r="H4" s="32">
        <v>3</v>
      </c>
      <c r="I4" s="33">
        <f t="shared" ref="I4:I11" si="0">H4*$H$3/R4</f>
        <v>0.81818181818181823</v>
      </c>
      <c r="J4" s="32">
        <v>8</v>
      </c>
      <c r="K4" s="33">
        <f t="shared" ref="K4:K11" si="1">J4*$J$3/R4</f>
        <v>0.18181818181818182</v>
      </c>
      <c r="L4" s="32"/>
      <c r="M4" s="33">
        <f t="shared" ref="M4:M11" si="2">L4*$L$3/R4</f>
        <v>0</v>
      </c>
      <c r="N4" s="32"/>
      <c r="O4" s="33">
        <f t="shared" ref="O4:O11" si="3">N4*$N$3/R4</f>
        <v>0</v>
      </c>
      <c r="P4" s="32"/>
      <c r="Q4" s="33">
        <f t="shared" ref="Q4:Q11" si="4">P4*$P$3/R4</f>
        <v>0</v>
      </c>
      <c r="R4" s="21">
        <f t="shared" ref="R4:R11" si="5">H4*$H$3+J4*$J$3+L4*$L$3+N4*$N$3+P4*$P$3</f>
        <v>44</v>
      </c>
      <c r="S4" s="34">
        <v>-7.76</v>
      </c>
      <c r="T4" s="27">
        <v>-42.1</v>
      </c>
      <c r="U4" s="34">
        <v>-133.88999999999999</v>
      </c>
      <c r="V4" s="27">
        <v>-187.6</v>
      </c>
      <c r="W4" s="34">
        <v>6140</v>
      </c>
      <c r="X4" s="27">
        <v>7150</v>
      </c>
      <c r="Y4" s="34">
        <v>368.9</v>
      </c>
      <c r="Z4" s="27">
        <v>62.4</v>
      </c>
      <c r="AA4" s="35">
        <v>12.1</v>
      </c>
      <c r="AB4" s="23">
        <v>8.5</v>
      </c>
      <c r="AC4" s="23" t="s">
        <v>2</v>
      </c>
      <c r="AD4" s="23" t="s">
        <v>2</v>
      </c>
      <c r="AE4" s="24">
        <f>AA4/H4</f>
        <v>4.0333333333333332</v>
      </c>
      <c r="AF4" s="29">
        <f>0.3578*100*I4+1.1357*100*K4+0.059*100*O4+0.1119*100*Q4-0.0845*100*M4</f>
        <v>49.923636363636362</v>
      </c>
      <c r="AG4" s="21">
        <f t="shared" ref="AG4:AG9" si="6">0.336*100*I4+1.418*100*K4+0.094*100*Q4-0.145*100*M4</f>
        <v>53.272727272727266</v>
      </c>
      <c r="AH4" s="21">
        <f t="shared" ref="AH4:AH9" si="7">0.3515*100*I4+1.1617*100*K4+0.06276*100*O4+0.1046*100*Q4-0.1109*100*M4</f>
        <v>49.880909090909086</v>
      </c>
      <c r="AI4" s="36">
        <f>AVERAGE(AF4:AH4)</f>
        <v>51.025757575757574</v>
      </c>
      <c r="AJ4" s="21">
        <f t="shared" ref="AJ4:AJ11" si="8">_xlfn.STDEV.S(AF4:AH4)/2</f>
        <v>0.97302505354226876</v>
      </c>
      <c r="AK4" s="32"/>
      <c r="AL4" s="37">
        <f t="shared" ref="AL4:AL9" si="9">K4</f>
        <v>0.18181818181818182</v>
      </c>
      <c r="AM4" s="32"/>
      <c r="AN4" s="29">
        <f t="shared" ref="AN4:AN11" si="10">AF4-(0.2122*100*AL4)</f>
        <v>46.065454545454543</v>
      </c>
      <c r="AO4" s="21">
        <f t="shared" ref="AO4:AO11" si="11">AG4-(0.2122*100*AL4)</f>
        <v>49.414545454545447</v>
      </c>
      <c r="AP4" s="21">
        <f t="shared" ref="AP4:AP11" si="12">AH4-(0.2122*100*AL4)</f>
        <v>46.022727272727266</v>
      </c>
      <c r="AQ4" s="36">
        <f t="shared" ref="AQ4:AQ11" si="13">AVERAGE(AN4:AP4)</f>
        <v>47.167575757575754</v>
      </c>
      <c r="AR4" s="21">
        <f t="shared" ref="AR4:AR11" si="14">_xlfn.STDEV.S(AN4:AP4)/2</f>
        <v>0.97302505354226876</v>
      </c>
      <c r="AS4" s="38"/>
      <c r="AT4" s="29">
        <f>83.8/(4*H4+4*P4+J4-0-2*L4+0.84)</f>
        <v>4.0211132437619961</v>
      </c>
      <c r="AU4" s="26">
        <f t="shared" ref="AU4:AU10" si="15">T4+273.15</f>
        <v>231.04999999999998</v>
      </c>
      <c r="AV4" s="26">
        <f t="shared" ref="AV4:AV11" si="16">AU4/(1.3611-0.0697*LN(AT4))</f>
        <v>182.77705354966631</v>
      </c>
      <c r="AW4" s="26">
        <f t="shared" ref="AW4:AW12" si="17">(T4*9/5)+32</f>
        <v>-43.78</v>
      </c>
      <c r="AX4" s="21">
        <f>0.683*AW4-119</f>
        <v>-148.90174000000002</v>
      </c>
      <c r="AY4" s="21">
        <f t="shared" ref="AY4:AY9" si="18" xml:space="preserve"> 0.714*AU4</f>
        <v>164.96969999999999</v>
      </c>
      <c r="AZ4" s="50">
        <f t="shared" ref="AZ4:AZ9" si="19">AV4-273.15</f>
        <v>-90.372946450333671</v>
      </c>
      <c r="BA4" s="26">
        <f>(AX4-32)*5/9</f>
        <v>-100.50096666666667</v>
      </c>
      <c r="BB4" s="26">
        <f>AY4-273.15</f>
        <v>-108.18029999999999</v>
      </c>
      <c r="BC4" s="40">
        <f>AVERAGE(BA4:BB4)</f>
        <v>-104.34063333333333</v>
      </c>
      <c r="BD4" s="27">
        <v>-63.77</v>
      </c>
      <c r="BE4" s="82">
        <v>-104</v>
      </c>
      <c r="BF4" s="49">
        <v>-104</v>
      </c>
      <c r="BG4" s="34">
        <v>0.78</v>
      </c>
      <c r="BH4" s="27" t="s">
        <v>2</v>
      </c>
      <c r="BI4" s="41">
        <v>13.9</v>
      </c>
      <c r="BJ4" s="27" t="s">
        <v>2</v>
      </c>
      <c r="BK4" s="21">
        <f t="shared" ref="BK4:BK11" si="20">BI4*0.1*100</f>
        <v>139</v>
      </c>
      <c r="BL4" s="53" t="e">
        <f>BJ4*0.1*100</f>
        <v>#VALUE!</v>
      </c>
      <c r="BM4" s="41">
        <v>-0.82</v>
      </c>
      <c r="BN4" s="27" t="s">
        <v>2</v>
      </c>
      <c r="BO4" s="85">
        <f>10^BM4</f>
        <v>0.15135612484362079</v>
      </c>
      <c r="BP4" s="86" t="e">
        <f>10^BN4</f>
        <v>#VALUE!</v>
      </c>
      <c r="BQ4" s="85">
        <f>10^BM4</f>
        <v>0.15135612484362079</v>
      </c>
      <c r="BR4" s="86" t="e">
        <f>10^BN4</f>
        <v>#VALUE!</v>
      </c>
      <c r="BS4" s="42" t="s">
        <v>2</v>
      </c>
      <c r="BT4" s="49">
        <v>0</v>
      </c>
      <c r="BU4" s="42">
        <v>91.55</v>
      </c>
      <c r="BV4" s="49">
        <v>111</v>
      </c>
      <c r="BW4" s="42">
        <v>97.89</v>
      </c>
      <c r="BX4" s="49">
        <v>97.1</v>
      </c>
      <c r="BY4" s="29">
        <f t="shared" ref="BY4:BY10" si="21">-BU4-BW4</f>
        <v>-189.44</v>
      </c>
      <c r="BZ4" s="21">
        <f t="shared" ref="BZ4:BZ8" si="22">AVERAGE(BU4,BW4)</f>
        <v>94.72</v>
      </c>
      <c r="CC4" s="42"/>
      <c r="CF4" s="29"/>
      <c r="CG4" s="21">
        <f>10^(-6.1188+2414/(273+BF4+230.56))</f>
        <v>0.83723198295321288</v>
      </c>
      <c r="CI4" s="21">
        <f t="shared" ref="CI4:CI16" si="23">(BF4+273)^(-1/0.0246)</f>
        <v>2.7258365617906317E-91</v>
      </c>
      <c r="CJ4" s="21">
        <v>0</v>
      </c>
      <c r="CK4" s="21">
        <v>0</v>
      </c>
    </row>
    <row r="5" spans="1:91" ht="30" customHeight="1" x14ac:dyDescent="0.3">
      <c r="A5" s="21">
        <f>A4+1</f>
        <v>2</v>
      </c>
      <c r="B5" s="78" t="s">
        <v>78</v>
      </c>
      <c r="C5" s="29" t="s">
        <v>100</v>
      </c>
      <c r="D5" s="5"/>
      <c r="E5" s="5"/>
      <c r="F5" s="30"/>
      <c r="G5" s="39" t="s">
        <v>89</v>
      </c>
      <c r="H5" s="32">
        <v>4</v>
      </c>
      <c r="I5" s="33">
        <f t="shared" si="0"/>
        <v>0.82758620689655171</v>
      </c>
      <c r="J5" s="32">
        <v>10</v>
      </c>
      <c r="K5" s="33">
        <f t="shared" si="1"/>
        <v>0.17241379310344829</v>
      </c>
      <c r="L5" s="32"/>
      <c r="M5" s="33">
        <f t="shared" si="2"/>
        <v>0</v>
      </c>
      <c r="N5" s="32"/>
      <c r="O5" s="33">
        <f t="shared" si="3"/>
        <v>0</v>
      </c>
      <c r="P5" s="32"/>
      <c r="Q5" s="33">
        <f t="shared" si="4"/>
        <v>0</v>
      </c>
      <c r="R5" s="21">
        <f t="shared" si="5"/>
        <v>58</v>
      </c>
      <c r="S5" s="34">
        <v>19.579999999999998</v>
      </c>
      <c r="T5" s="27">
        <v>-0.5</v>
      </c>
      <c r="U5" s="34">
        <v>-120.28</v>
      </c>
      <c r="V5" s="27">
        <v>-138.19999999999999</v>
      </c>
      <c r="W5" s="34">
        <v>1810</v>
      </c>
      <c r="X5" s="27">
        <v>1820</v>
      </c>
      <c r="Y5" s="34">
        <v>135.6</v>
      </c>
      <c r="Z5" s="27">
        <v>61.2</v>
      </c>
      <c r="AA5" s="35">
        <v>18.5</v>
      </c>
      <c r="AB5" s="23">
        <v>8.5</v>
      </c>
      <c r="AC5" s="23" t="s">
        <v>2</v>
      </c>
      <c r="AD5" s="23" t="s">
        <v>2</v>
      </c>
      <c r="AE5" s="24">
        <f t="shared" ref="AE5:AE9" si="24">AA5/H5</f>
        <v>4.625</v>
      </c>
      <c r="AF5" s="29">
        <f t="shared" ref="AF5:AF9" si="25">0.3578*100*I5+1.1357*100*K5+0.059*100*O5+0.1119*100*Q5-0.0845*100*M5</f>
        <v>49.192068965517244</v>
      </c>
      <c r="AG5" s="21">
        <f t="shared" si="6"/>
        <v>52.255172413793105</v>
      </c>
      <c r="AH5" s="21">
        <f t="shared" si="7"/>
        <v>49.118965517241378</v>
      </c>
      <c r="AI5" s="36">
        <f t="shared" ref="AI5:AI11" si="26">AVERAGE(AF5:AH5)</f>
        <v>50.188735632183914</v>
      </c>
      <c r="AJ5" s="21">
        <f t="shared" si="8"/>
        <v>0.89497999388645333</v>
      </c>
      <c r="AK5" s="32"/>
      <c r="AL5" s="37">
        <f t="shared" si="9"/>
        <v>0.17241379310344829</v>
      </c>
      <c r="AM5" s="32"/>
      <c r="AN5" s="29">
        <f t="shared" si="10"/>
        <v>45.533448275862071</v>
      </c>
      <c r="AO5" s="21">
        <f t="shared" si="11"/>
        <v>48.596551724137932</v>
      </c>
      <c r="AP5" s="21">
        <f t="shared" si="12"/>
        <v>45.460344827586205</v>
      </c>
      <c r="AQ5" s="36">
        <f t="shared" si="13"/>
        <v>46.530114942528733</v>
      </c>
      <c r="AR5" s="21">
        <f t="shared" si="14"/>
        <v>0.89497999388645333</v>
      </c>
      <c r="AS5" s="38"/>
      <c r="AT5" s="29">
        <f t="shared" ref="AT5:AT11" si="27">83.8/(4*H5+4*P5+J5-0-2*L5+0.84)</f>
        <v>3.1222056631892698</v>
      </c>
      <c r="AU5" s="26">
        <f t="shared" si="15"/>
        <v>272.64999999999998</v>
      </c>
      <c r="AV5" s="26">
        <f t="shared" si="16"/>
        <v>212.71802022129563</v>
      </c>
      <c r="AW5" s="26">
        <f t="shared" si="17"/>
        <v>31.1</v>
      </c>
      <c r="AX5" s="21">
        <f t="shared" ref="AX5:AX14" si="28">0.683*AW5-119</f>
        <v>-97.758700000000005</v>
      </c>
      <c r="AY5" s="21">
        <f t="shared" si="18"/>
        <v>194.67209999999997</v>
      </c>
      <c r="AZ5" s="50">
        <f t="shared" si="19"/>
        <v>-60.431979778704346</v>
      </c>
      <c r="BA5" s="26">
        <f t="shared" ref="BA5:BA9" si="29">(AX5-32)*5/9</f>
        <v>-72.088166666666666</v>
      </c>
      <c r="BB5" s="26">
        <f t="shared" ref="BB5:BB9" si="30">AY5-273.15</f>
        <v>-78.477900000000005</v>
      </c>
      <c r="BC5" s="40">
        <f t="shared" ref="BC5:BC14" si="31">AVERAGE(BA5:BB5)</f>
        <v>-75.283033333333336</v>
      </c>
      <c r="BD5" s="27">
        <v>-44.3</v>
      </c>
      <c r="BE5" s="27" t="s">
        <v>2</v>
      </c>
      <c r="BF5" s="80">
        <v>-60</v>
      </c>
      <c r="BG5" s="34">
        <v>0.8</v>
      </c>
      <c r="BH5" s="27" t="s">
        <v>2</v>
      </c>
      <c r="BI5" s="41">
        <v>13.86</v>
      </c>
      <c r="BJ5" s="27">
        <v>11.86</v>
      </c>
      <c r="BK5" s="21">
        <f t="shared" si="20"/>
        <v>138.60000000000002</v>
      </c>
      <c r="BL5" s="53">
        <f t="shared" ref="BL5:BL14" si="32">BJ5*0.1*100</f>
        <v>118.6</v>
      </c>
      <c r="BM5" s="41">
        <v>-0.73</v>
      </c>
      <c r="BN5" s="27">
        <v>-0.78</v>
      </c>
      <c r="BO5" s="85">
        <f t="shared" ref="BO5:BO16" si="33">10^BM5</f>
        <v>0.18620871366628672</v>
      </c>
      <c r="BP5" s="86">
        <f t="shared" ref="BP5:BP16" si="34">10^BN5</f>
        <v>0.16595869074375599</v>
      </c>
      <c r="BQ5" s="85">
        <f>10^BM5</f>
        <v>0.18620871366628672</v>
      </c>
      <c r="BR5" s="86">
        <f>10^BN5</f>
        <v>0.16595869074375599</v>
      </c>
      <c r="BS5" s="42">
        <v>21.076000000000001</v>
      </c>
      <c r="BT5" s="49">
        <v>20.6</v>
      </c>
      <c r="BU5" s="42">
        <v>96.129000000000005</v>
      </c>
      <c r="BV5" s="49">
        <v>94</v>
      </c>
      <c r="BW5" s="42">
        <v>90.046999999999997</v>
      </c>
      <c r="BX5" s="49">
        <v>89.1</v>
      </c>
      <c r="BY5" s="29">
        <f t="shared" si="21"/>
        <v>-186.17599999999999</v>
      </c>
      <c r="BZ5" s="21">
        <f t="shared" si="22"/>
        <v>93.087999999999994</v>
      </c>
      <c r="CC5" s="42"/>
      <c r="CF5" s="29"/>
      <c r="CG5" s="21">
        <f t="shared" ref="CG5:CG16" si="35">10^(-6.1188+2414/(273+BF5+230.56))</f>
        <v>0.21063485455841535</v>
      </c>
      <c r="CI5" s="21">
        <f t="shared" si="23"/>
        <v>2.2409007628025327E-95</v>
      </c>
      <c r="CJ5" s="21">
        <v>0.31669999999999998</v>
      </c>
      <c r="CK5" s="21">
        <v>0.2092</v>
      </c>
    </row>
    <row r="6" spans="1:91" ht="30" customHeight="1" x14ac:dyDescent="0.3">
      <c r="A6" s="21">
        <f t="shared" ref="A6:A16" si="36">A5+1</f>
        <v>3</v>
      </c>
      <c r="B6" s="78" t="s">
        <v>79</v>
      </c>
      <c r="C6" s="29" t="s">
        <v>101</v>
      </c>
      <c r="D6" s="5"/>
      <c r="E6" s="5"/>
      <c r="F6" s="30"/>
      <c r="G6" s="31" t="s">
        <v>90</v>
      </c>
      <c r="H6" s="32">
        <v>5</v>
      </c>
      <c r="I6" s="33">
        <f t="shared" si="0"/>
        <v>0.83333333333333337</v>
      </c>
      <c r="J6" s="32">
        <v>12</v>
      </c>
      <c r="K6" s="33">
        <f t="shared" si="1"/>
        <v>0.16666666666666666</v>
      </c>
      <c r="L6" s="32"/>
      <c r="M6" s="33">
        <f t="shared" si="2"/>
        <v>0</v>
      </c>
      <c r="N6" s="32"/>
      <c r="O6" s="33">
        <f t="shared" si="3"/>
        <v>0</v>
      </c>
      <c r="P6" s="32"/>
      <c r="Q6" s="33">
        <f t="shared" si="4"/>
        <v>0</v>
      </c>
      <c r="R6" s="21">
        <f t="shared" si="5"/>
        <v>72</v>
      </c>
      <c r="S6" s="34">
        <v>46.01</v>
      </c>
      <c r="T6" s="27">
        <v>36</v>
      </c>
      <c r="U6" s="34">
        <v>-106.92</v>
      </c>
      <c r="V6" s="27">
        <v>-129.69999999999999</v>
      </c>
      <c r="W6" s="34">
        <v>513</v>
      </c>
      <c r="X6" s="27">
        <v>514</v>
      </c>
      <c r="Y6" s="34">
        <v>49.76</v>
      </c>
      <c r="Z6" s="27">
        <v>38</v>
      </c>
      <c r="AA6" s="35">
        <v>24.9</v>
      </c>
      <c r="AB6" s="23">
        <v>8.5</v>
      </c>
      <c r="AC6" s="23" t="s">
        <v>111</v>
      </c>
      <c r="AD6" s="23">
        <v>2.4</v>
      </c>
      <c r="AE6" s="24">
        <f t="shared" si="24"/>
        <v>4.9799999999999995</v>
      </c>
      <c r="AF6" s="29">
        <f t="shared" si="25"/>
        <v>48.745000000000005</v>
      </c>
      <c r="AG6" s="21">
        <f t="shared" si="6"/>
        <v>51.633333333333333</v>
      </c>
      <c r="AH6" s="21">
        <f t="shared" si="7"/>
        <v>48.653333333333336</v>
      </c>
      <c r="AI6" s="36">
        <f t="shared" si="26"/>
        <v>49.67722222222222</v>
      </c>
      <c r="AJ6" s="21">
        <f t="shared" si="8"/>
        <v>0.84733091288228357</v>
      </c>
      <c r="AK6" s="32"/>
      <c r="AL6" s="37">
        <f t="shared" si="9"/>
        <v>0.16666666666666666</v>
      </c>
      <c r="AM6" s="32"/>
      <c r="AN6" s="29">
        <f t="shared" si="10"/>
        <v>45.208333333333336</v>
      </c>
      <c r="AO6" s="21">
        <f t="shared" si="11"/>
        <v>48.096666666666664</v>
      </c>
      <c r="AP6" s="21">
        <f t="shared" si="12"/>
        <v>45.116666666666667</v>
      </c>
      <c r="AQ6" s="36">
        <f t="shared" si="13"/>
        <v>46.140555555555558</v>
      </c>
      <c r="AR6" s="21">
        <f t="shared" si="14"/>
        <v>0.84733091288228357</v>
      </c>
      <c r="AS6" s="38"/>
      <c r="AT6" s="29">
        <f t="shared" si="27"/>
        <v>2.5517661388550543</v>
      </c>
      <c r="AU6" s="26">
        <f t="shared" si="15"/>
        <v>309.14999999999998</v>
      </c>
      <c r="AV6" s="26">
        <f t="shared" si="16"/>
        <v>238.57737317367605</v>
      </c>
      <c r="AW6" s="26">
        <f t="shared" si="17"/>
        <v>96.8</v>
      </c>
      <c r="AX6" s="21">
        <f t="shared" si="28"/>
        <v>-52.885599999999997</v>
      </c>
      <c r="AY6" s="21">
        <f t="shared" si="18"/>
        <v>220.73309999999998</v>
      </c>
      <c r="AZ6" s="50">
        <f t="shared" si="19"/>
        <v>-34.572626826323926</v>
      </c>
      <c r="BA6" s="26">
        <f t="shared" si="29"/>
        <v>-47.158666666666669</v>
      </c>
      <c r="BB6" s="26">
        <f t="shared" si="30"/>
        <v>-52.416899999999998</v>
      </c>
      <c r="BC6" s="40">
        <f t="shared" si="31"/>
        <v>-49.787783333333337</v>
      </c>
      <c r="BD6" s="27">
        <v>-28.63</v>
      </c>
      <c r="BE6" s="27">
        <v>-49.4</v>
      </c>
      <c r="BF6" s="49">
        <v>-49</v>
      </c>
      <c r="BG6" s="34">
        <v>0.69</v>
      </c>
      <c r="BH6" s="27">
        <v>0.63</v>
      </c>
      <c r="BI6" s="41">
        <v>16.309999999999999</v>
      </c>
      <c r="BJ6" s="27">
        <v>15.49</v>
      </c>
      <c r="BK6" s="21">
        <f t="shared" si="20"/>
        <v>163.1</v>
      </c>
      <c r="BL6" s="53">
        <f t="shared" si="32"/>
        <v>154.9</v>
      </c>
      <c r="BM6" s="41">
        <v>-0.63</v>
      </c>
      <c r="BN6" s="27">
        <v>-0.65</v>
      </c>
      <c r="BO6" s="85">
        <f t="shared" si="33"/>
        <v>0.23442288153199217</v>
      </c>
      <c r="BP6" s="86">
        <f t="shared" si="34"/>
        <v>0.22387211385683392</v>
      </c>
      <c r="BQ6" s="85">
        <f t="shared" ref="BQ6:BQ14" si="37">10^BM6</f>
        <v>0.23442288153199217</v>
      </c>
      <c r="BR6" s="86">
        <f t="shared" ref="BR6:BR14" si="38">10^BN6</f>
        <v>0.22387211385683392</v>
      </c>
      <c r="BS6" s="42">
        <v>30.318999999999999</v>
      </c>
      <c r="BT6" s="49">
        <v>30</v>
      </c>
      <c r="BU6" s="42">
        <v>64.114999999999995</v>
      </c>
      <c r="BV6" s="49">
        <v>61.8</v>
      </c>
      <c r="BW6" s="42">
        <v>60.6</v>
      </c>
      <c r="BX6" s="49">
        <v>63.2</v>
      </c>
      <c r="BY6" s="29">
        <f t="shared" si="21"/>
        <v>-124.715</v>
      </c>
      <c r="BZ6" s="21">
        <f t="shared" si="22"/>
        <v>62.357500000000002</v>
      </c>
      <c r="CC6" s="42"/>
      <c r="CF6" s="29"/>
      <c r="CG6" s="21">
        <f t="shared" si="35"/>
        <v>0.15553568987407829</v>
      </c>
      <c r="CI6" s="21">
        <f t="shared" si="23"/>
        <v>2.8937610673126704E-96</v>
      </c>
      <c r="CJ6" s="21">
        <v>0.42</v>
      </c>
      <c r="CK6" s="21">
        <v>0.2145</v>
      </c>
    </row>
    <row r="7" spans="1:91" ht="30" customHeight="1" x14ac:dyDescent="0.3">
      <c r="A7" s="21">
        <f t="shared" si="36"/>
        <v>4</v>
      </c>
      <c r="B7" s="78" t="s">
        <v>80</v>
      </c>
      <c r="C7" s="29" t="s">
        <v>102</v>
      </c>
      <c r="D7" s="5"/>
      <c r="E7" s="5"/>
      <c r="F7" s="43"/>
      <c r="G7" s="31" t="s">
        <v>91</v>
      </c>
      <c r="H7" s="32">
        <v>6</v>
      </c>
      <c r="I7" s="33">
        <f t="shared" si="0"/>
        <v>0.83720930232558144</v>
      </c>
      <c r="J7" s="32">
        <v>14</v>
      </c>
      <c r="K7" s="33">
        <f t="shared" si="1"/>
        <v>0.16279069767441862</v>
      </c>
      <c r="L7" s="32"/>
      <c r="M7" s="33">
        <f t="shared" si="2"/>
        <v>0</v>
      </c>
      <c r="N7" s="32"/>
      <c r="O7" s="33">
        <f t="shared" si="3"/>
        <v>0</v>
      </c>
      <c r="P7" s="32"/>
      <c r="Q7" s="33">
        <f t="shared" si="4"/>
        <v>0</v>
      </c>
      <c r="R7" s="21">
        <f t="shared" si="5"/>
        <v>86</v>
      </c>
      <c r="S7" s="34">
        <v>71.53</v>
      </c>
      <c r="T7" s="27">
        <v>68.7</v>
      </c>
      <c r="U7" s="34">
        <v>-93.84</v>
      </c>
      <c r="V7" s="27">
        <v>-95.3</v>
      </c>
      <c r="W7" s="34">
        <v>150</v>
      </c>
      <c r="X7" s="27">
        <v>151</v>
      </c>
      <c r="Y7" s="34">
        <v>17.239999999999998</v>
      </c>
      <c r="Z7" s="27">
        <v>9.5</v>
      </c>
      <c r="AA7" s="35">
        <v>31.4</v>
      </c>
      <c r="AB7" s="23">
        <v>8.5</v>
      </c>
      <c r="AC7" s="23">
        <v>30.4</v>
      </c>
      <c r="AD7" s="23">
        <v>2.2999999999999998</v>
      </c>
      <c r="AE7" s="24">
        <f t="shared" si="24"/>
        <v>5.2333333333333334</v>
      </c>
      <c r="AF7" s="29">
        <f t="shared" si="25"/>
        <v>48.443488372093029</v>
      </c>
      <c r="AG7" s="21">
        <f t="shared" si="6"/>
        <v>51.213953488372091</v>
      </c>
      <c r="AH7" s="21">
        <f t="shared" si="7"/>
        <v>48.3393023255814</v>
      </c>
      <c r="AI7" s="36">
        <f t="shared" si="26"/>
        <v>49.332248062015509</v>
      </c>
      <c r="AJ7" s="21">
        <f t="shared" si="8"/>
        <v>0.81521855455405223</v>
      </c>
      <c r="AK7" s="32"/>
      <c r="AL7" s="37">
        <f t="shared" si="9"/>
        <v>0.16279069767441862</v>
      </c>
      <c r="AM7" s="32"/>
      <c r="AN7" s="29">
        <f t="shared" si="10"/>
        <v>44.989069767441869</v>
      </c>
      <c r="AO7" s="21">
        <f t="shared" si="11"/>
        <v>47.759534883720931</v>
      </c>
      <c r="AP7" s="21">
        <f t="shared" si="12"/>
        <v>44.88488372093024</v>
      </c>
      <c r="AQ7" s="36">
        <f t="shared" si="13"/>
        <v>45.877829457364349</v>
      </c>
      <c r="AR7" s="21">
        <f t="shared" si="14"/>
        <v>0.81521855455405223</v>
      </c>
      <c r="AS7" s="38"/>
      <c r="AT7" s="29">
        <f t="shared" si="27"/>
        <v>2.1575695159629245</v>
      </c>
      <c r="AU7" s="26">
        <f t="shared" si="15"/>
        <v>341.84999999999997</v>
      </c>
      <c r="AV7" s="26">
        <f t="shared" si="16"/>
        <v>261.45276910047141</v>
      </c>
      <c r="AW7" s="26">
        <f t="shared" si="17"/>
        <v>155.66000000000003</v>
      </c>
      <c r="AX7" s="21">
        <f t="shared" si="28"/>
        <v>-12.684219999999968</v>
      </c>
      <c r="AY7" s="21">
        <f t="shared" si="18"/>
        <v>244.08089999999996</v>
      </c>
      <c r="AZ7" s="50">
        <f t="shared" si="19"/>
        <v>-11.697230899528563</v>
      </c>
      <c r="BA7" s="26">
        <f t="shared" si="29"/>
        <v>-24.824566666666652</v>
      </c>
      <c r="BB7" s="26">
        <f t="shared" si="30"/>
        <v>-29.06910000000002</v>
      </c>
      <c r="BC7" s="40">
        <f t="shared" si="31"/>
        <v>-26.946833333333338</v>
      </c>
      <c r="BD7" s="27">
        <v>-3.42</v>
      </c>
      <c r="BE7" s="27" t="s">
        <v>2</v>
      </c>
      <c r="BF7" s="49">
        <v>-23</v>
      </c>
      <c r="BG7" s="34">
        <v>0.71</v>
      </c>
      <c r="BH7" s="27">
        <v>0.66</v>
      </c>
      <c r="BI7" s="41">
        <v>18.68</v>
      </c>
      <c r="BJ7" s="27">
        <v>17.89</v>
      </c>
      <c r="BK7" s="21">
        <f t="shared" si="20"/>
        <v>186.8</v>
      </c>
      <c r="BL7" s="53">
        <f t="shared" si="32"/>
        <v>178.9</v>
      </c>
      <c r="BM7" s="41">
        <v>-0.52</v>
      </c>
      <c r="BN7" s="27">
        <v>-0.52</v>
      </c>
      <c r="BO7" s="85">
        <f t="shared" si="33"/>
        <v>0.30199517204020154</v>
      </c>
      <c r="BP7" s="86">
        <f t="shared" si="34"/>
        <v>0.30199517204020154</v>
      </c>
      <c r="BQ7" s="85">
        <f t="shared" si="37"/>
        <v>0.30199517204020154</v>
      </c>
      <c r="BR7" s="86">
        <f t="shared" si="38"/>
        <v>0.30199517204020154</v>
      </c>
      <c r="BS7" s="42">
        <v>43.31</v>
      </c>
      <c r="BT7" s="49">
        <v>47.9</v>
      </c>
      <c r="BU7" s="42">
        <v>27.64</v>
      </c>
      <c r="BV7" s="49">
        <v>24.8</v>
      </c>
      <c r="BW7" s="42">
        <v>27.826000000000001</v>
      </c>
      <c r="BX7" s="49">
        <v>26</v>
      </c>
      <c r="BY7" s="29">
        <f t="shared" si="21"/>
        <v>-55.466000000000001</v>
      </c>
      <c r="BZ7" s="21">
        <f t="shared" si="22"/>
        <v>27.733000000000001</v>
      </c>
      <c r="CC7" s="42"/>
      <c r="CF7" s="29"/>
      <c r="CG7" s="21">
        <f t="shared" si="35"/>
        <v>8.0261291326764184E-2</v>
      </c>
      <c r="CI7" s="21">
        <f t="shared" si="23"/>
        <v>3.3324517888625622E-98</v>
      </c>
      <c r="CJ7" s="21">
        <v>0.68700000000000006</v>
      </c>
      <c r="CK7" s="21">
        <v>0.25530000000000003</v>
      </c>
    </row>
    <row r="8" spans="1:91" ht="30" customHeight="1" x14ac:dyDescent="0.3">
      <c r="A8" s="21">
        <f t="shared" si="36"/>
        <v>5</v>
      </c>
      <c r="B8" s="78" t="s">
        <v>81</v>
      </c>
      <c r="C8" s="39" t="s">
        <v>103</v>
      </c>
      <c r="D8" s="5"/>
      <c r="E8" s="5"/>
      <c r="F8" s="30"/>
      <c r="G8" s="31" t="s">
        <v>92</v>
      </c>
      <c r="H8" s="32">
        <v>7</v>
      </c>
      <c r="I8" s="33">
        <f t="shared" si="0"/>
        <v>0.84</v>
      </c>
      <c r="J8" s="32">
        <v>16</v>
      </c>
      <c r="K8" s="33">
        <f t="shared" si="1"/>
        <v>0.16</v>
      </c>
      <c r="L8" s="32"/>
      <c r="M8" s="33">
        <f t="shared" si="2"/>
        <v>0</v>
      </c>
      <c r="N8" s="32"/>
      <c r="O8" s="33">
        <f t="shared" si="3"/>
        <v>0</v>
      </c>
      <c r="P8" s="32"/>
      <c r="Q8" s="33">
        <f t="shared" si="4"/>
        <v>0</v>
      </c>
      <c r="R8" s="21">
        <f t="shared" si="5"/>
        <v>100</v>
      </c>
      <c r="S8" s="34">
        <v>96.16</v>
      </c>
      <c r="T8" s="27">
        <v>98.5</v>
      </c>
      <c r="U8" s="34">
        <v>-81.010000000000005</v>
      </c>
      <c r="V8" s="27">
        <v>-90.6</v>
      </c>
      <c r="W8" s="34">
        <v>45.9</v>
      </c>
      <c r="X8" s="27">
        <v>46</v>
      </c>
      <c r="Y8" s="34">
        <v>3.5539999999999998</v>
      </c>
      <c r="Z8" s="27">
        <v>3.4</v>
      </c>
      <c r="AA8" s="35">
        <v>37.799999999999997</v>
      </c>
      <c r="AB8" s="23">
        <v>8.5</v>
      </c>
      <c r="AC8" s="23">
        <v>36</v>
      </c>
      <c r="AD8" s="23">
        <v>2.2000000000000002</v>
      </c>
      <c r="AE8" s="24">
        <f t="shared" si="24"/>
        <v>5.3999999999999995</v>
      </c>
      <c r="AF8" s="29">
        <f t="shared" si="25"/>
        <v>48.226399999999998</v>
      </c>
      <c r="AG8" s="21">
        <f t="shared" si="6"/>
        <v>50.911999999999999</v>
      </c>
      <c r="AH8" s="21">
        <f t="shared" si="7"/>
        <v>48.113199999999992</v>
      </c>
      <c r="AI8" s="36">
        <f t="shared" si="26"/>
        <v>49.083866666666665</v>
      </c>
      <c r="AJ8" s="21">
        <f t="shared" si="8"/>
        <v>0.79211065725271945</v>
      </c>
      <c r="AK8" s="32"/>
      <c r="AL8" s="37">
        <f t="shared" si="9"/>
        <v>0.16</v>
      </c>
      <c r="AM8" s="32"/>
      <c r="AN8" s="29">
        <f t="shared" si="10"/>
        <v>44.831199999999995</v>
      </c>
      <c r="AO8" s="21">
        <f t="shared" si="11"/>
        <v>47.516799999999996</v>
      </c>
      <c r="AP8" s="21">
        <f t="shared" si="12"/>
        <v>44.717999999999989</v>
      </c>
      <c r="AQ8" s="36">
        <f t="shared" si="13"/>
        <v>45.688666666666656</v>
      </c>
      <c r="AR8" s="21">
        <f t="shared" si="14"/>
        <v>0.79211065725271945</v>
      </c>
      <c r="AS8" s="38"/>
      <c r="AT8" s="29">
        <f t="shared" si="27"/>
        <v>1.8688670829616412</v>
      </c>
      <c r="AU8" s="26">
        <f t="shared" si="15"/>
        <v>371.65</v>
      </c>
      <c r="AV8" s="26">
        <f t="shared" si="16"/>
        <v>282.08421816357162</v>
      </c>
      <c r="AW8" s="26">
        <f t="shared" si="17"/>
        <v>209.3</v>
      </c>
      <c r="AX8" s="21">
        <f t="shared" si="28"/>
        <v>23.951900000000023</v>
      </c>
      <c r="AY8" s="21">
        <f t="shared" si="18"/>
        <v>265.35809999999998</v>
      </c>
      <c r="AZ8" s="50">
        <f t="shared" si="19"/>
        <v>8.9342181635716429</v>
      </c>
      <c r="BA8" s="26">
        <f t="shared" si="29"/>
        <v>-4.4711666666666536</v>
      </c>
      <c r="BB8" s="26">
        <f t="shared" si="30"/>
        <v>-7.7918999999999983</v>
      </c>
      <c r="BC8" s="40">
        <f t="shared" si="31"/>
        <v>-6.1315333333333264</v>
      </c>
      <c r="BD8" s="27">
        <v>6.86</v>
      </c>
      <c r="BE8" s="27">
        <v>-1.1000000000000001</v>
      </c>
      <c r="BF8" s="49">
        <v>-4</v>
      </c>
      <c r="BG8" s="34">
        <v>0.72</v>
      </c>
      <c r="BH8" s="27">
        <v>0.69</v>
      </c>
      <c r="BI8" s="41">
        <v>19.91</v>
      </c>
      <c r="BJ8" s="27">
        <v>19.649999999999999</v>
      </c>
      <c r="BK8" s="21">
        <f t="shared" si="20"/>
        <v>199.10000000000002</v>
      </c>
      <c r="BL8" s="53">
        <f t="shared" si="32"/>
        <v>196.5</v>
      </c>
      <c r="BM8" s="41">
        <v>-0.42</v>
      </c>
      <c r="BN8" s="27">
        <v>-0.41</v>
      </c>
      <c r="BO8" s="85">
        <f t="shared" si="33"/>
        <v>0.38018939632056115</v>
      </c>
      <c r="BP8" s="86">
        <f t="shared" si="34"/>
        <v>0.38904514499428056</v>
      </c>
      <c r="BQ8" s="85">
        <f t="shared" si="37"/>
        <v>0.38018939632056115</v>
      </c>
      <c r="BR8" s="86">
        <f t="shared" si="38"/>
        <v>0.38904514499428056</v>
      </c>
      <c r="BS8" s="42">
        <v>52.167999999999999</v>
      </c>
      <c r="BT8" s="49">
        <v>52.8</v>
      </c>
      <c r="BU8" s="42">
        <v>14.518000000000001</v>
      </c>
      <c r="BV8" s="49">
        <v>0</v>
      </c>
      <c r="BW8" s="42">
        <v>20.497</v>
      </c>
      <c r="BX8" s="49">
        <v>0</v>
      </c>
      <c r="BY8" s="29">
        <f t="shared" si="21"/>
        <v>-35.015000000000001</v>
      </c>
      <c r="BZ8" s="21">
        <f t="shared" si="22"/>
        <v>17.5075</v>
      </c>
      <c r="CC8" s="42"/>
      <c r="CF8" s="29"/>
      <c r="CG8" s="21">
        <f t="shared" si="35"/>
        <v>5.1695457375153561E-2</v>
      </c>
      <c r="CI8" s="21">
        <f t="shared" si="23"/>
        <v>1.6966103565627812E-99</v>
      </c>
      <c r="CJ8" s="21">
        <v>1.002</v>
      </c>
      <c r="CK8" s="21">
        <v>0.33100000000000002</v>
      </c>
    </row>
    <row r="9" spans="1:91" ht="30" customHeight="1" x14ac:dyDescent="0.3">
      <c r="A9" s="21">
        <f t="shared" si="36"/>
        <v>6</v>
      </c>
      <c r="B9" s="78" t="s">
        <v>82</v>
      </c>
      <c r="C9" s="29" t="s">
        <v>106</v>
      </c>
      <c r="D9" s="5"/>
      <c r="E9" s="5"/>
      <c r="F9" s="30"/>
      <c r="G9" s="31" t="s">
        <v>93</v>
      </c>
      <c r="H9" s="32">
        <v>8</v>
      </c>
      <c r="I9" s="33">
        <f t="shared" si="0"/>
        <v>0.84210526315789469</v>
      </c>
      <c r="J9" s="32">
        <v>18</v>
      </c>
      <c r="K9" s="33">
        <f t="shared" si="1"/>
        <v>0.15789473684210525</v>
      </c>
      <c r="L9" s="32"/>
      <c r="M9" s="33">
        <f t="shared" si="2"/>
        <v>0</v>
      </c>
      <c r="N9" s="32"/>
      <c r="O9" s="33">
        <f t="shared" si="3"/>
        <v>0</v>
      </c>
      <c r="P9" s="32"/>
      <c r="Q9" s="33">
        <f t="shared" si="4"/>
        <v>0</v>
      </c>
      <c r="R9" s="21">
        <f t="shared" si="5"/>
        <v>114</v>
      </c>
      <c r="S9" s="34">
        <v>119.87</v>
      </c>
      <c r="T9" s="27">
        <v>125.6</v>
      </c>
      <c r="U9" s="34">
        <v>-68.45</v>
      </c>
      <c r="V9" s="27">
        <v>-56.8</v>
      </c>
      <c r="W9" s="34">
        <v>14.8</v>
      </c>
      <c r="X9" s="27">
        <v>14.1</v>
      </c>
      <c r="Y9" s="34">
        <v>1.1519999999999999</v>
      </c>
      <c r="Z9" s="27">
        <v>0.66</v>
      </c>
      <c r="AA9" s="54">
        <v>44.3</v>
      </c>
      <c r="AB9" s="23">
        <v>8.5</v>
      </c>
      <c r="AC9" s="23">
        <v>42.6</v>
      </c>
      <c r="AD9" s="23">
        <v>2</v>
      </c>
      <c r="AE9" s="24">
        <f t="shared" si="24"/>
        <v>5.5374999999999996</v>
      </c>
      <c r="AF9" s="29">
        <f t="shared" si="25"/>
        <v>48.062631578947368</v>
      </c>
      <c r="AG9" s="21">
        <f t="shared" si="6"/>
        <v>50.68421052631578</v>
      </c>
      <c r="AH9" s="21">
        <f t="shared" si="7"/>
        <v>47.94263157894737</v>
      </c>
      <c r="AI9" s="36">
        <f t="shared" si="26"/>
        <v>48.896491228070168</v>
      </c>
      <c r="AJ9" s="21">
        <f t="shared" si="8"/>
        <v>0.77468626181665079</v>
      </c>
      <c r="AK9" s="32"/>
      <c r="AL9" s="37">
        <f t="shared" si="9"/>
        <v>0.15789473684210525</v>
      </c>
      <c r="AM9" s="32"/>
      <c r="AN9" s="29">
        <f t="shared" si="10"/>
        <v>44.712105263157895</v>
      </c>
      <c r="AO9" s="21">
        <f t="shared" si="11"/>
        <v>47.333684210526307</v>
      </c>
      <c r="AP9" s="21">
        <f t="shared" si="12"/>
        <v>44.592105263157897</v>
      </c>
      <c r="AQ9" s="36">
        <f t="shared" si="13"/>
        <v>45.545964912280702</v>
      </c>
      <c r="AR9" s="21">
        <f t="shared" si="14"/>
        <v>0.77468626181665079</v>
      </c>
      <c r="AS9" s="38"/>
      <c r="AT9" s="29">
        <f t="shared" si="27"/>
        <v>1.6483084185680565</v>
      </c>
      <c r="AU9" s="26">
        <f t="shared" si="15"/>
        <v>398.75</v>
      </c>
      <c r="AV9" s="26">
        <f t="shared" si="16"/>
        <v>300.65579783348653</v>
      </c>
      <c r="AW9" s="26">
        <f t="shared" si="17"/>
        <v>258.08</v>
      </c>
      <c r="AX9" s="21">
        <f t="shared" si="28"/>
        <v>57.268640000000005</v>
      </c>
      <c r="AY9" s="21">
        <f t="shared" si="18"/>
        <v>284.70749999999998</v>
      </c>
      <c r="AZ9" s="50">
        <f t="shared" si="19"/>
        <v>27.505797833486554</v>
      </c>
      <c r="BA9" s="26">
        <f t="shared" si="29"/>
        <v>14.038133333333336</v>
      </c>
      <c r="BB9" s="26">
        <f t="shared" si="30"/>
        <v>11.557500000000005</v>
      </c>
      <c r="BC9" s="40">
        <f t="shared" si="31"/>
        <v>12.79781666666667</v>
      </c>
      <c r="BD9" s="27">
        <v>24.37</v>
      </c>
      <c r="BE9" s="27">
        <v>13</v>
      </c>
      <c r="BF9" s="49">
        <v>13.333333333333334</v>
      </c>
      <c r="BG9" s="34">
        <v>0.73</v>
      </c>
      <c r="BH9" s="27">
        <v>0.71</v>
      </c>
      <c r="BI9" s="41">
        <v>21.21</v>
      </c>
      <c r="BJ9" s="27">
        <v>21.14</v>
      </c>
      <c r="BK9" s="21">
        <f t="shared" si="20"/>
        <v>212.1</v>
      </c>
      <c r="BL9" s="53">
        <f t="shared" si="32"/>
        <v>211.40000000000003</v>
      </c>
      <c r="BM9" s="41">
        <v>-0.31</v>
      </c>
      <c r="BN9" s="27">
        <v>-0.3</v>
      </c>
      <c r="BO9" s="85">
        <f t="shared" si="33"/>
        <v>0.48977881936844614</v>
      </c>
      <c r="BP9" s="86">
        <f t="shared" si="34"/>
        <v>0.50118723362727224</v>
      </c>
      <c r="BQ9" s="85">
        <f t="shared" si="37"/>
        <v>0.48977881936844614</v>
      </c>
      <c r="BR9" s="86">
        <f t="shared" si="38"/>
        <v>0.50118723362727224</v>
      </c>
      <c r="BS9" s="42">
        <v>52.49</v>
      </c>
      <c r="BT9" s="49">
        <v>64</v>
      </c>
      <c r="BU9" s="42" t="s">
        <v>2</v>
      </c>
      <c r="BV9" s="49">
        <v>0</v>
      </c>
      <c r="BW9" s="42" t="s">
        <v>2</v>
      </c>
      <c r="BX9" s="49">
        <v>0</v>
      </c>
      <c r="BY9" s="29" t="e">
        <f>-BU11-BW11</f>
        <v>#VALUE!</v>
      </c>
      <c r="BZ9" s="21">
        <f>AVERAGE(BU11,BW11)</f>
        <v>42.997999999999998</v>
      </c>
      <c r="CC9" s="42"/>
      <c r="CF9" s="29"/>
      <c r="CG9" s="21">
        <f t="shared" si="35"/>
        <v>3.5596655745204042E-2</v>
      </c>
      <c r="CI9" s="21">
        <f t="shared" si="23"/>
        <v>1.3401646746407555E-100</v>
      </c>
      <c r="CJ9" s="21">
        <v>1.488</v>
      </c>
      <c r="CK9" s="21">
        <v>0.43020000000000003</v>
      </c>
    </row>
    <row r="10" spans="1:91" ht="30" customHeight="1" x14ac:dyDescent="0.3">
      <c r="A10" s="21">
        <f t="shared" si="36"/>
        <v>7</v>
      </c>
      <c r="B10" s="78" t="s">
        <v>83</v>
      </c>
      <c r="C10" s="39" t="s">
        <v>107</v>
      </c>
      <c r="D10" s="5"/>
      <c r="E10" s="5"/>
      <c r="F10" s="30"/>
      <c r="G10" s="31" t="s">
        <v>94</v>
      </c>
      <c r="H10" s="32">
        <v>9</v>
      </c>
      <c r="I10" s="33">
        <f t="shared" si="0"/>
        <v>0.84375</v>
      </c>
      <c r="J10" s="32">
        <v>20</v>
      </c>
      <c r="K10" s="33">
        <f t="shared" si="1"/>
        <v>0.15625</v>
      </c>
      <c r="L10" s="32"/>
      <c r="M10" s="33">
        <f t="shared" si="2"/>
        <v>0</v>
      </c>
      <c r="N10" s="32"/>
      <c r="O10" s="33">
        <f t="shared" si="3"/>
        <v>0</v>
      </c>
      <c r="P10" s="32"/>
      <c r="Q10" s="33">
        <f t="shared" si="4"/>
        <v>0</v>
      </c>
      <c r="R10" s="21">
        <f t="shared" si="5"/>
        <v>128</v>
      </c>
      <c r="S10" s="34">
        <v>142.69</v>
      </c>
      <c r="T10" s="27">
        <v>150.80000000000001</v>
      </c>
      <c r="U10" s="34">
        <v>-56.16</v>
      </c>
      <c r="V10" s="27">
        <v>-53.5</v>
      </c>
      <c r="W10" s="34">
        <v>4.96</v>
      </c>
      <c r="X10" s="27">
        <v>4.45</v>
      </c>
      <c r="Y10" s="34">
        <v>0.40579999999999999</v>
      </c>
      <c r="Z10" s="27">
        <v>0.22</v>
      </c>
      <c r="AA10" s="35">
        <v>50.7</v>
      </c>
      <c r="AB10" s="23">
        <v>8.5</v>
      </c>
      <c r="AC10" s="23">
        <v>50.1</v>
      </c>
      <c r="AD10" s="23">
        <v>2</v>
      </c>
      <c r="AE10" s="24">
        <f t="shared" ref="AE10:AE13" si="39">AA10/H10</f>
        <v>5.6333333333333337</v>
      </c>
      <c r="AF10" s="29">
        <f t="shared" ref="AF10:AF14" si="40">0.3578*100*I10+1.1357*100*K10+0.059*100*O10+0.1119*100*Q10-0.0845*100*M10</f>
        <v>47.934687499999995</v>
      </c>
      <c r="AG10" s="21">
        <f t="shared" ref="AG10:AG14" si="41">0.336*100*I10+1.418*100*K10+0.094*100*Q10-0.145*100*M10</f>
        <v>50.506249999999994</v>
      </c>
      <c r="AH10" s="21">
        <f t="shared" ref="AH10:AH14" si="42">0.3515*100*I10+1.1617*100*K10+0.06276*100*O10+0.1046*100*Q10-0.1109*100*M10</f>
        <v>47.809375000000003</v>
      </c>
      <c r="AI10" s="36">
        <f t="shared" si="26"/>
        <v>48.750104166666667</v>
      </c>
      <c r="AJ10" s="21">
        <f t="shared" si="8"/>
        <v>0.76107850229371454</v>
      </c>
      <c r="AK10" s="32"/>
      <c r="AL10" s="37">
        <f t="shared" ref="AL10:AL14" si="43">K10</f>
        <v>0.15625</v>
      </c>
      <c r="AM10" s="32"/>
      <c r="AN10" s="29">
        <f t="shared" si="10"/>
        <v>44.619062499999998</v>
      </c>
      <c r="AO10" s="21">
        <f t="shared" si="11"/>
        <v>47.190624999999997</v>
      </c>
      <c r="AP10" s="21">
        <f t="shared" si="12"/>
        <v>44.493750000000006</v>
      </c>
      <c r="AQ10" s="36">
        <f t="shared" si="13"/>
        <v>45.434479166666669</v>
      </c>
      <c r="AR10" s="21">
        <f t="shared" si="14"/>
        <v>0.76107850229371454</v>
      </c>
      <c r="AS10" s="38"/>
      <c r="AT10" s="29">
        <f t="shared" si="27"/>
        <v>1.474313863476425</v>
      </c>
      <c r="AU10" s="26">
        <f t="shared" si="15"/>
        <v>423.95</v>
      </c>
      <c r="AV10" s="26">
        <f t="shared" si="16"/>
        <v>317.79336198781874</v>
      </c>
      <c r="AW10" s="26">
        <f t="shared" si="17"/>
        <v>303.44</v>
      </c>
      <c r="AX10" s="21">
        <f t="shared" si="28"/>
        <v>88.249520000000018</v>
      </c>
      <c r="AY10" s="21">
        <f t="shared" ref="AY10:AY11" si="44" xml:space="preserve"> 0.714*AU10</f>
        <v>302.70029999999997</v>
      </c>
      <c r="AZ10" s="50">
        <f t="shared" ref="AZ10:AZ14" si="45">AV10-273.15</f>
        <v>44.643361987818764</v>
      </c>
      <c r="BA10" s="26">
        <f t="shared" ref="BA10:BA14" si="46">(AX10-32)*5/9</f>
        <v>31.249733333333342</v>
      </c>
      <c r="BB10" s="26">
        <f t="shared" ref="BB10:BB14" si="47">AY10-273.15</f>
        <v>29.550299999999993</v>
      </c>
      <c r="BC10" s="40">
        <f t="shared" si="31"/>
        <v>30.400016666666666</v>
      </c>
      <c r="BD10" s="27">
        <v>40.159999999999997</v>
      </c>
      <c r="BE10" s="27">
        <v>31.1</v>
      </c>
      <c r="BF10" s="49">
        <v>31</v>
      </c>
      <c r="BG10" s="34">
        <v>0.74</v>
      </c>
      <c r="BH10" s="27">
        <v>0.72</v>
      </c>
      <c r="BI10" s="41">
        <v>22.35</v>
      </c>
      <c r="BJ10" s="27">
        <v>22.38</v>
      </c>
      <c r="BK10" s="21">
        <f t="shared" si="20"/>
        <v>223.50000000000003</v>
      </c>
      <c r="BL10" s="53">
        <f t="shared" si="32"/>
        <v>223.8</v>
      </c>
      <c r="BM10" s="41">
        <v>-0.14000000000000001</v>
      </c>
      <c r="BN10" s="27">
        <v>-0.18</v>
      </c>
      <c r="BO10" s="85">
        <f t="shared" si="33"/>
        <v>0.72443596007499</v>
      </c>
      <c r="BP10" s="86">
        <f t="shared" si="34"/>
        <v>0.660693448007596</v>
      </c>
      <c r="BQ10" s="85">
        <f t="shared" si="37"/>
        <v>0.72443596007499</v>
      </c>
      <c r="BR10" s="86">
        <f t="shared" si="38"/>
        <v>0.660693448007596</v>
      </c>
      <c r="BS10" s="42">
        <v>59.49</v>
      </c>
      <c r="BT10" s="49">
        <v>60.9</v>
      </c>
      <c r="BU10" s="42" t="s">
        <v>2</v>
      </c>
      <c r="BV10" s="49">
        <v>0</v>
      </c>
      <c r="BW10" s="42" t="s">
        <v>2</v>
      </c>
      <c r="BX10" s="49">
        <v>0</v>
      </c>
      <c r="BY10" s="29" t="e">
        <f t="shared" si="21"/>
        <v>#VALUE!</v>
      </c>
      <c r="BZ10" s="21" t="e">
        <f t="shared" ref="BZ10:BZ13" si="48">AVERAGE(BU10,BW10)</f>
        <v>#DIV/0!</v>
      </c>
      <c r="CC10" s="42"/>
      <c r="CF10" s="29"/>
      <c r="CG10" s="21">
        <f t="shared" si="35"/>
        <v>2.4949595786226395E-2</v>
      </c>
      <c r="CI10" s="21">
        <f t="shared" si="23"/>
        <v>1.1753833329916663E-101</v>
      </c>
      <c r="CJ10" s="21">
        <v>2.37</v>
      </c>
      <c r="CK10" s="21">
        <v>0.54700000000000004</v>
      </c>
    </row>
    <row r="11" spans="1:91" ht="30" customHeight="1" thickBot="1" x14ac:dyDescent="0.35">
      <c r="A11" s="21">
        <f t="shared" si="36"/>
        <v>8</v>
      </c>
      <c r="B11" s="78" t="s">
        <v>84</v>
      </c>
      <c r="C11" s="39" t="s">
        <v>105</v>
      </c>
      <c r="D11" s="5"/>
      <c r="E11" s="5"/>
      <c r="F11" s="30"/>
      <c r="G11" s="31" t="s">
        <v>95</v>
      </c>
      <c r="H11" s="32">
        <v>10</v>
      </c>
      <c r="I11" s="66">
        <f t="shared" si="0"/>
        <v>0.84507042253521125</v>
      </c>
      <c r="J11" s="32">
        <v>22</v>
      </c>
      <c r="K11" s="33">
        <f t="shared" si="1"/>
        <v>0.15492957746478872</v>
      </c>
      <c r="L11" s="32"/>
      <c r="M11" s="33">
        <f t="shared" si="2"/>
        <v>0</v>
      </c>
      <c r="N11" s="32"/>
      <c r="O11" s="33">
        <f t="shared" si="3"/>
        <v>0</v>
      </c>
      <c r="P11" s="32"/>
      <c r="Q11" s="33">
        <f t="shared" si="4"/>
        <v>0</v>
      </c>
      <c r="R11" s="53">
        <f t="shared" si="5"/>
        <v>142</v>
      </c>
      <c r="S11" s="34">
        <v>164.6</v>
      </c>
      <c r="T11" s="27">
        <v>174.1</v>
      </c>
      <c r="U11" s="34">
        <v>-44.13</v>
      </c>
      <c r="V11" s="27">
        <v>-29.7</v>
      </c>
      <c r="W11" s="67">
        <v>1.73</v>
      </c>
      <c r="X11" s="68">
        <v>1.43</v>
      </c>
      <c r="Y11" s="34">
        <v>1.252</v>
      </c>
      <c r="Z11" s="27">
        <v>5.1999999999999998E-2</v>
      </c>
      <c r="AA11" s="35">
        <v>57.2</v>
      </c>
      <c r="AB11" s="23">
        <v>8.5</v>
      </c>
      <c r="AC11" s="23">
        <v>54</v>
      </c>
      <c r="AD11" s="23">
        <v>2.7</v>
      </c>
      <c r="AE11" s="24">
        <v>103.7</v>
      </c>
      <c r="AF11" s="29">
        <f t="shared" si="40"/>
        <v>47.831971830985914</v>
      </c>
      <c r="AG11" s="21">
        <f t="shared" si="41"/>
        <v>50.363380281690141</v>
      </c>
      <c r="AH11" s="21">
        <f t="shared" si="42"/>
        <v>47.702394366197183</v>
      </c>
      <c r="AI11" s="36">
        <f t="shared" si="26"/>
        <v>48.632582159624413</v>
      </c>
      <c r="AJ11" s="21">
        <f t="shared" si="8"/>
        <v>0.75015734755365782</v>
      </c>
      <c r="AK11" s="32"/>
      <c r="AL11" s="37">
        <f t="shared" si="43"/>
        <v>0.15492957746478872</v>
      </c>
      <c r="AM11" s="32"/>
      <c r="AN11" s="29">
        <f t="shared" si="10"/>
        <v>44.544366197183095</v>
      </c>
      <c r="AO11" s="21">
        <f t="shared" si="11"/>
        <v>47.075774647887322</v>
      </c>
      <c r="AP11" s="21">
        <f t="shared" si="12"/>
        <v>44.414788732394364</v>
      </c>
      <c r="AQ11" s="36">
        <f t="shared" si="13"/>
        <v>45.344976525821586</v>
      </c>
      <c r="AR11" s="21">
        <f t="shared" si="14"/>
        <v>0.75015734755365782</v>
      </c>
      <c r="AS11" s="38"/>
      <c r="AT11" s="29">
        <f t="shared" si="27"/>
        <v>1.333545512412476</v>
      </c>
      <c r="AU11" s="26">
        <f>T11+273.15</f>
        <v>447.25</v>
      </c>
      <c r="AV11" s="26">
        <f t="shared" si="16"/>
        <v>333.51044278413934</v>
      </c>
      <c r="AW11" s="26">
        <f t="shared" si="17"/>
        <v>345.38</v>
      </c>
      <c r="AX11" s="21">
        <f t="shared" si="28"/>
        <v>116.89454000000001</v>
      </c>
      <c r="AY11" s="21">
        <f t="shared" si="44"/>
        <v>319.3365</v>
      </c>
      <c r="AZ11" s="50">
        <f t="shared" si="45"/>
        <v>60.360442784139366</v>
      </c>
      <c r="BA11" s="26">
        <f t="shared" si="46"/>
        <v>47.163633333333337</v>
      </c>
      <c r="BB11" s="26">
        <f t="shared" si="47"/>
        <v>46.186500000000024</v>
      </c>
      <c r="BC11" s="40">
        <f t="shared" si="31"/>
        <v>46.67506666666668</v>
      </c>
      <c r="BD11" s="27">
        <v>46.03</v>
      </c>
      <c r="BE11" s="27">
        <v>46.11</v>
      </c>
      <c r="BF11" s="49">
        <v>46</v>
      </c>
      <c r="BG11" s="34">
        <v>0.74</v>
      </c>
      <c r="BH11" s="27">
        <v>0.73</v>
      </c>
      <c r="BI11" s="41">
        <v>22.96</v>
      </c>
      <c r="BJ11" s="27">
        <v>23.37</v>
      </c>
      <c r="BK11" s="21">
        <f t="shared" si="20"/>
        <v>229.60000000000002</v>
      </c>
      <c r="BL11" s="53">
        <f t="shared" si="32"/>
        <v>233.70000000000002</v>
      </c>
      <c r="BM11" s="41">
        <v>-0.06</v>
      </c>
      <c r="BN11" s="69">
        <v>-7.0000000000000007E-2</v>
      </c>
      <c r="BO11" s="85">
        <f t="shared" si="33"/>
        <v>0.87096358995608059</v>
      </c>
      <c r="BP11" s="86">
        <f t="shared" si="34"/>
        <v>0.85113803820237643</v>
      </c>
      <c r="BQ11" s="85">
        <f t="shared" si="37"/>
        <v>0.87096358995608059</v>
      </c>
      <c r="BR11" s="86">
        <f t="shared" si="38"/>
        <v>0.85113803820237643</v>
      </c>
      <c r="BS11" s="42">
        <v>66.415999999999997</v>
      </c>
      <c r="BT11" s="49">
        <v>65.5</v>
      </c>
      <c r="BU11" s="91" t="s">
        <v>2</v>
      </c>
      <c r="BV11" s="72">
        <v>39.799999999999997</v>
      </c>
      <c r="BW11" s="91">
        <v>42.997999999999998</v>
      </c>
      <c r="BX11" s="72">
        <v>40.5</v>
      </c>
      <c r="CC11" s="49"/>
      <c r="CF11" s="93" t="s">
        <v>127</v>
      </c>
      <c r="CG11" s="21">
        <f t="shared" si="35"/>
        <v>1.8784731553632843E-2</v>
      </c>
      <c r="CI11" s="21">
        <f t="shared" si="23"/>
        <v>1.6591701762751239E-102</v>
      </c>
      <c r="CJ11" s="21">
        <v>2.44</v>
      </c>
      <c r="CK11" s="21">
        <v>0.69199999999999995</v>
      </c>
    </row>
    <row r="12" spans="1:91" s="22" customFormat="1" ht="30" customHeight="1" thickTop="1" x14ac:dyDescent="0.3">
      <c r="A12" s="21">
        <f t="shared" si="36"/>
        <v>9</v>
      </c>
      <c r="B12" s="78" t="s">
        <v>85</v>
      </c>
      <c r="C12" s="29" t="s">
        <v>108</v>
      </c>
      <c r="D12" s="5"/>
      <c r="E12" s="5"/>
      <c r="F12" s="30"/>
      <c r="G12" s="31" t="s">
        <v>96</v>
      </c>
      <c r="H12" s="32">
        <v>11</v>
      </c>
      <c r="I12" s="66">
        <f t="shared" ref="I12" si="49">H12*$H$3/R12</f>
        <v>0.84615384615384615</v>
      </c>
      <c r="J12" s="32">
        <v>24</v>
      </c>
      <c r="K12" s="66">
        <f t="shared" ref="K12" si="50">J12*$J$3/R12</f>
        <v>0.15384615384615385</v>
      </c>
      <c r="L12" s="32"/>
      <c r="M12" s="66">
        <f t="shared" ref="M12" si="51">L12*$L$3/R12</f>
        <v>0</v>
      </c>
      <c r="N12" s="32"/>
      <c r="O12" s="66">
        <f t="shared" ref="O12" si="52">N12*$N$3/R12</f>
        <v>0</v>
      </c>
      <c r="P12" s="32"/>
      <c r="Q12" s="66">
        <f t="shared" ref="Q12" si="53">P12*$P$3/R12</f>
        <v>0</v>
      </c>
      <c r="R12" s="21">
        <f t="shared" ref="R12" si="54">H12*$H$3+J12*$J$3+L12*$L$3+N12*$N$3+P12*$P$3</f>
        <v>156</v>
      </c>
      <c r="S12" s="34">
        <v>185.61</v>
      </c>
      <c r="T12" s="69">
        <v>195.9</v>
      </c>
      <c r="U12" s="34">
        <v>-32.36</v>
      </c>
      <c r="V12" s="69">
        <v>-25.6</v>
      </c>
      <c r="W12" s="34">
        <v>0.629</v>
      </c>
      <c r="X12" s="69">
        <v>0.41199999999999998</v>
      </c>
      <c r="Y12" s="34">
        <v>0.2571</v>
      </c>
      <c r="Z12" s="69">
        <v>4.4000000000000003E-3</v>
      </c>
      <c r="AA12" s="35">
        <v>63.6</v>
      </c>
      <c r="AB12" s="23">
        <v>8.6</v>
      </c>
      <c r="AC12" s="23">
        <v>60.1</v>
      </c>
      <c r="AD12" s="23">
        <v>3</v>
      </c>
      <c r="AE12" s="24">
        <f t="shared" si="39"/>
        <v>5.7818181818181822</v>
      </c>
      <c r="AF12" s="21">
        <f t="shared" si="40"/>
        <v>47.747692307692304</v>
      </c>
      <c r="AG12" s="21">
        <f t="shared" si="41"/>
        <v>50.246153846153845</v>
      </c>
      <c r="AH12" s="53">
        <f t="shared" si="42"/>
        <v>47.614615384615384</v>
      </c>
      <c r="AI12" s="36">
        <f t="shared" ref="AI12" si="55">AVERAGE(AF12:AH12)</f>
        <v>48.536153846153844</v>
      </c>
      <c r="AJ12" s="21">
        <f t="shared" ref="AJ12" si="56">_xlfn.STDEV.S(AF12:AH12)/2</f>
        <v>0.74119875318026329</v>
      </c>
      <c r="AK12" s="70"/>
      <c r="AL12" s="37">
        <f t="shared" si="43"/>
        <v>0.15384615384615385</v>
      </c>
      <c r="AM12" s="70"/>
      <c r="AN12" s="29">
        <f t="shared" ref="AN12" si="57">AF12-(0.2122*100*AL12)</f>
        <v>44.483076923076922</v>
      </c>
      <c r="AO12" s="21">
        <f t="shared" ref="AO12" si="58">AG12-(0.2122*100*AL12)</f>
        <v>46.981538461538463</v>
      </c>
      <c r="AP12" s="53">
        <f t="shared" ref="AP12" si="59">AH12-(0.2122*100*AL12)</f>
        <v>44.35</v>
      </c>
      <c r="AQ12" s="36">
        <f t="shared" ref="AQ12" si="60">AVERAGE(AN12:AP12)</f>
        <v>45.271538461538462</v>
      </c>
      <c r="AR12" s="21">
        <f t="shared" ref="AR12" si="61">_xlfn.STDEV.S(AN12:AP12)/2</f>
        <v>0.74119875318026329</v>
      </c>
      <c r="AS12" s="71"/>
      <c r="AT12" s="29">
        <f t="shared" ref="AT12:AT14" si="62">83.8/(4*H12+4*P12+J12-0-2*L12+0.84)</f>
        <v>1.2173155142359093</v>
      </c>
      <c r="AU12" s="26">
        <f>T12+273.15</f>
        <v>469.04999999999995</v>
      </c>
      <c r="AV12" s="26">
        <f t="shared" ref="AV12" si="63">AU12/(1.3611-0.0697*LN(AT12))</f>
        <v>348.11653321033748</v>
      </c>
      <c r="AW12" s="26">
        <f t="shared" si="17"/>
        <v>384.62</v>
      </c>
      <c r="AX12" s="21">
        <f t="shared" si="28"/>
        <v>143.69546000000003</v>
      </c>
      <c r="AY12" s="21">
        <f xml:space="preserve"> 0.714*AU12</f>
        <v>334.90169999999995</v>
      </c>
      <c r="AZ12" s="50">
        <f t="shared" si="45"/>
        <v>74.966533210337502</v>
      </c>
      <c r="BA12" s="26">
        <f t="shared" si="46"/>
        <v>62.053033333333346</v>
      </c>
      <c r="BB12" s="26">
        <f t="shared" si="47"/>
        <v>61.751699999999971</v>
      </c>
      <c r="BC12" s="40">
        <f t="shared" si="31"/>
        <v>61.902366666666659</v>
      </c>
      <c r="BD12" s="27">
        <v>61.52</v>
      </c>
      <c r="BE12" s="27">
        <v>60</v>
      </c>
      <c r="BF12" s="81">
        <v>65</v>
      </c>
      <c r="BG12" s="27">
        <v>0.75</v>
      </c>
      <c r="BH12" s="69">
        <v>0.74</v>
      </c>
      <c r="BI12" s="41">
        <v>23.42</v>
      </c>
      <c r="BJ12" s="27">
        <v>24.21</v>
      </c>
      <c r="BK12" s="21">
        <f t="shared" ref="BK12:BK14" si="64">BI12*0.1*100</f>
        <v>234.20000000000002</v>
      </c>
      <c r="BL12" s="53">
        <f t="shared" si="32"/>
        <v>242.10000000000002</v>
      </c>
      <c r="BM12" s="41">
        <v>0.03</v>
      </c>
      <c r="BN12" s="69">
        <v>0.04</v>
      </c>
      <c r="BO12" s="85">
        <f t="shared" si="33"/>
        <v>1.0715193052376064</v>
      </c>
      <c r="BP12" s="86">
        <f t="shared" si="34"/>
        <v>1.0964781961431851</v>
      </c>
      <c r="BQ12" s="85">
        <f t="shared" si="37"/>
        <v>1.0715193052376064</v>
      </c>
      <c r="BR12" s="86">
        <f t="shared" si="38"/>
        <v>1.0964781961431851</v>
      </c>
      <c r="BS12" s="42">
        <v>72</v>
      </c>
      <c r="BT12" s="83">
        <v>81</v>
      </c>
      <c r="BU12" s="42" t="s">
        <v>2</v>
      </c>
      <c r="BV12" s="49">
        <v>0</v>
      </c>
      <c r="BW12" s="42" t="s">
        <v>2</v>
      </c>
      <c r="BX12" s="49">
        <v>0</v>
      </c>
      <c r="BY12" s="22" t="e">
        <f>BU12-BW12</f>
        <v>#VALUE!</v>
      </c>
      <c r="BZ12" s="22" t="e">
        <f t="shared" si="48"/>
        <v>#DIV/0!</v>
      </c>
      <c r="CB12" s="25"/>
      <c r="CC12" s="28"/>
      <c r="CF12" s="29"/>
      <c r="CG12" s="21">
        <f t="shared" si="35"/>
        <v>1.339719831658746E-2</v>
      </c>
      <c r="CH12" s="21"/>
      <c r="CI12" s="21">
        <f t="shared" si="23"/>
        <v>1.5794581341929272E-103</v>
      </c>
      <c r="CJ12" s="22">
        <v>2.2200000000000002</v>
      </c>
      <c r="CK12" s="21">
        <v>0.86150000000000004</v>
      </c>
      <c r="CL12" s="21"/>
      <c r="CM12" s="21"/>
    </row>
    <row r="13" spans="1:91" ht="30" customHeight="1" x14ac:dyDescent="0.3">
      <c r="A13" s="21">
        <f t="shared" si="36"/>
        <v>10</v>
      </c>
      <c r="B13" s="78" t="s">
        <v>86</v>
      </c>
      <c r="C13" s="29" t="s">
        <v>104</v>
      </c>
      <c r="D13" s="5"/>
      <c r="E13" s="5"/>
      <c r="F13" s="30"/>
      <c r="G13" s="31" t="s">
        <v>97</v>
      </c>
      <c r="H13" s="32">
        <v>12</v>
      </c>
      <c r="I13" s="33">
        <f>H13*$H$3/R13</f>
        <v>0.84705882352941175</v>
      </c>
      <c r="J13" s="32">
        <v>26</v>
      </c>
      <c r="K13" s="33">
        <f>J13*$J$3/R13</f>
        <v>0.15294117647058825</v>
      </c>
      <c r="L13" s="32"/>
      <c r="M13" s="33">
        <f>L13*$L$3/R13</f>
        <v>0</v>
      </c>
      <c r="N13" s="32"/>
      <c r="O13" s="33">
        <f>N13*$N$3/R13</f>
        <v>0</v>
      </c>
      <c r="P13" s="32"/>
      <c r="Q13" s="33">
        <f>P13*$P$3/R13</f>
        <v>0</v>
      </c>
      <c r="R13" s="21">
        <f>H13*$H$3+J13*$J$3+L13*$L$3+N13*$N$3+P13*$P$3</f>
        <v>170</v>
      </c>
      <c r="S13" s="34">
        <v>205.71</v>
      </c>
      <c r="T13" s="27">
        <v>216.3</v>
      </c>
      <c r="U13" s="34">
        <v>-20.85</v>
      </c>
      <c r="V13" s="27">
        <v>-9.6</v>
      </c>
      <c r="W13" s="34">
        <v>0.23599999999999999</v>
      </c>
      <c r="X13" s="27">
        <v>0.13500000000000001</v>
      </c>
      <c r="Y13" s="34">
        <v>0.1099</v>
      </c>
      <c r="Z13" s="27">
        <v>3.7000000000000002E-3</v>
      </c>
      <c r="AA13" s="35">
        <v>70</v>
      </c>
      <c r="AB13" s="23">
        <v>8.6</v>
      </c>
      <c r="AC13" s="23">
        <v>67.099999999999994</v>
      </c>
      <c r="AD13" s="23">
        <v>3.4</v>
      </c>
      <c r="AE13" s="24">
        <f t="shared" si="39"/>
        <v>5.833333333333333</v>
      </c>
      <c r="AF13" s="29">
        <f t="shared" si="40"/>
        <v>47.677294117647058</v>
      </c>
      <c r="AG13" s="21">
        <f t="shared" si="41"/>
        <v>50.148235294117647</v>
      </c>
      <c r="AH13" s="21">
        <f t="shared" si="42"/>
        <v>47.541294117647055</v>
      </c>
      <c r="AI13" s="36">
        <f>AVERAGE(AF13:AH13)</f>
        <v>48.455607843137251</v>
      </c>
      <c r="AJ13" s="21">
        <f>_xlfn.STDEV.S(AF13:AH13)/2</f>
        <v>0.73371737846722851</v>
      </c>
      <c r="AK13" s="32"/>
      <c r="AL13" s="37">
        <f t="shared" si="43"/>
        <v>0.15294117647058825</v>
      </c>
      <c r="AM13" s="32"/>
      <c r="AN13" s="29">
        <f>AF13-(0.2122*100*AL13)</f>
        <v>44.431882352941173</v>
      </c>
      <c r="AO13" s="21">
        <f>AG13-(0.2122*100*AL13)</f>
        <v>46.902823529411762</v>
      </c>
      <c r="AP13" s="21">
        <f>AH13-(0.2122*100*AL13)</f>
        <v>44.29588235294117</v>
      </c>
      <c r="AQ13" s="36">
        <f>AVERAGE(AN13:AP13)</f>
        <v>45.210196078431373</v>
      </c>
      <c r="AR13" s="21">
        <f>_xlfn.STDEV.S(AN13:AP13)/2</f>
        <v>0.73371737846722851</v>
      </c>
      <c r="AS13" s="38"/>
      <c r="AT13" s="29">
        <f t="shared" si="62"/>
        <v>1.119722073757349</v>
      </c>
      <c r="AU13" s="26">
        <f>T13+273.15</f>
        <v>489.45</v>
      </c>
      <c r="AV13" s="26">
        <f>AU13/(1.3611-0.0697*LN(AT13))</f>
        <v>361.69330852066037</v>
      </c>
      <c r="AW13" s="26">
        <f t="shared" ref="AW13:AW14" si="65">(T13*9/5)+32</f>
        <v>421.34000000000003</v>
      </c>
      <c r="AX13" s="21">
        <f t="shared" si="28"/>
        <v>168.77522000000005</v>
      </c>
      <c r="AY13" s="21">
        <f t="shared" ref="AY13:AY14" si="66" xml:space="preserve"> 0.714*AU13</f>
        <v>349.46729999999997</v>
      </c>
      <c r="AZ13" s="50">
        <f t="shared" si="45"/>
        <v>88.543308520660389</v>
      </c>
      <c r="BA13" s="26">
        <f t="shared" si="46"/>
        <v>75.986233333333359</v>
      </c>
      <c r="BB13" s="26">
        <f t="shared" si="47"/>
        <v>76.317299999999989</v>
      </c>
      <c r="BC13" s="40">
        <f t="shared" si="31"/>
        <v>76.151766666666674</v>
      </c>
      <c r="BD13" s="27">
        <v>73.66</v>
      </c>
      <c r="BE13" s="27">
        <v>71.099999999999994</v>
      </c>
      <c r="BF13" s="49">
        <v>74</v>
      </c>
      <c r="BG13" s="34">
        <v>0.75</v>
      </c>
      <c r="BH13" s="27">
        <v>0.75</v>
      </c>
      <c r="BI13" s="41">
        <v>24.49</v>
      </c>
      <c r="BJ13" s="27">
        <v>24.91</v>
      </c>
      <c r="BK13" s="21">
        <f t="shared" si="64"/>
        <v>244.89999999999998</v>
      </c>
      <c r="BL13" s="53">
        <f t="shared" si="32"/>
        <v>249.10000000000002</v>
      </c>
      <c r="BM13" s="41">
        <v>0.1</v>
      </c>
      <c r="BN13" s="27">
        <v>0.15</v>
      </c>
      <c r="BO13" s="85">
        <f t="shared" si="33"/>
        <v>1.2589254117941673</v>
      </c>
      <c r="BP13" s="86">
        <f t="shared" si="34"/>
        <v>1.4125375446227544</v>
      </c>
      <c r="BQ13" s="85">
        <f t="shared" si="37"/>
        <v>1.2589254117941673</v>
      </c>
      <c r="BR13" s="86">
        <f t="shared" si="38"/>
        <v>1.4125375446227544</v>
      </c>
      <c r="BS13" s="42">
        <v>78.507999999999996</v>
      </c>
      <c r="BT13" s="49">
        <v>72.900000000000006</v>
      </c>
      <c r="BU13" s="42" t="s">
        <v>2</v>
      </c>
      <c r="BV13" s="49">
        <v>0</v>
      </c>
      <c r="BW13" s="42" t="s">
        <v>2</v>
      </c>
      <c r="BX13" s="49">
        <v>0</v>
      </c>
      <c r="BY13" s="29" t="e">
        <f>-BU13-BW13</f>
        <v>#VALUE!</v>
      </c>
      <c r="BZ13" s="21" t="e">
        <f t="shared" si="48"/>
        <v>#DIV/0!</v>
      </c>
      <c r="CC13" s="42"/>
      <c r="CF13" s="29"/>
      <c r="CG13" s="21">
        <f t="shared" si="35"/>
        <v>1.1504091584678685E-2</v>
      </c>
      <c r="CI13" s="21">
        <f t="shared" si="23"/>
        <v>5.4271796212537167E-104</v>
      </c>
      <c r="CJ13" s="21">
        <v>2.8929999999999998</v>
      </c>
      <c r="CK13" s="21">
        <v>1.06</v>
      </c>
    </row>
    <row r="14" spans="1:91" ht="30" customHeight="1" x14ac:dyDescent="0.3">
      <c r="A14" s="21">
        <f t="shared" si="36"/>
        <v>11</v>
      </c>
      <c r="B14" s="78" t="s">
        <v>87</v>
      </c>
      <c r="C14" s="29" t="s">
        <v>109</v>
      </c>
      <c r="D14" s="5"/>
      <c r="E14" s="5"/>
      <c r="F14" s="30"/>
      <c r="G14" s="39" t="s">
        <v>98</v>
      </c>
      <c r="H14" s="32">
        <v>13</v>
      </c>
      <c r="I14" s="33">
        <f>H14*$H$3/R14</f>
        <v>0.84782608695652173</v>
      </c>
      <c r="J14" s="32">
        <v>28</v>
      </c>
      <c r="K14" s="33">
        <f>J14*$J$3/R14</f>
        <v>0.15217391304347827</v>
      </c>
      <c r="L14" s="32"/>
      <c r="M14" s="33">
        <f>L14*$L$3/R14</f>
        <v>0</v>
      </c>
      <c r="N14" s="32"/>
      <c r="O14" s="33">
        <f>N14*$N$3/R14</f>
        <v>0</v>
      </c>
      <c r="P14" s="32"/>
      <c r="Q14" s="33">
        <f>P14*$P$3/R14</f>
        <v>0</v>
      </c>
      <c r="R14" s="21">
        <f>H14*$H$3+J14*$J$3+L14*$L$3+N14*$N$3+P14*$P$3</f>
        <v>184</v>
      </c>
      <c r="S14" s="34">
        <v>224.91</v>
      </c>
      <c r="T14" s="27">
        <v>235.4</v>
      </c>
      <c r="U14" s="34">
        <v>-9.61</v>
      </c>
      <c r="V14" s="27">
        <v>-5.3</v>
      </c>
      <c r="W14" s="34">
        <v>9.2100000000000001E-2</v>
      </c>
      <c r="X14" s="27">
        <v>5.5800000000000002E-2</v>
      </c>
      <c r="Y14" s="34">
        <v>2.7459999999999998E-2</v>
      </c>
      <c r="Z14" s="27">
        <v>4.7000000000000002E-3</v>
      </c>
      <c r="AA14" s="54">
        <v>76.5</v>
      </c>
      <c r="AB14" s="55">
        <v>8.6999999999999993</v>
      </c>
      <c r="AC14" s="23">
        <v>72.5</v>
      </c>
      <c r="AD14" s="23">
        <v>3.6</v>
      </c>
      <c r="AE14" s="24">
        <f>AA14/H14</f>
        <v>5.884615384615385</v>
      </c>
      <c r="AF14" s="29">
        <f t="shared" si="40"/>
        <v>47.617608695652173</v>
      </c>
      <c r="AG14" s="21">
        <f t="shared" si="41"/>
        <v>50.065217391304344</v>
      </c>
      <c r="AH14" s="21">
        <f t="shared" si="42"/>
        <v>47.479130434782604</v>
      </c>
      <c r="AI14" s="36">
        <f>AVERAGE(AF14:AH14)</f>
        <v>48.387318840579702</v>
      </c>
      <c r="AJ14" s="21">
        <f>_xlfn.STDEV.S(AF14:AH14)/2</f>
        <v>0.72737571396703971</v>
      </c>
      <c r="AK14" s="32"/>
      <c r="AL14" s="37">
        <f t="shared" si="43"/>
        <v>0.15217391304347827</v>
      </c>
      <c r="AM14" s="32"/>
      <c r="AN14" s="29">
        <f>AF14-(0.2122*100*AL14)</f>
        <v>44.388478260869562</v>
      </c>
      <c r="AO14" s="21">
        <f>AG14-(0.2122*100*AL14)</f>
        <v>46.836086956521733</v>
      </c>
      <c r="AP14" s="21">
        <f>AH14-(0.2122*100*AL14)</f>
        <v>44.249999999999993</v>
      </c>
      <c r="AQ14" s="36">
        <f>AVERAGE(AN14:AP14)</f>
        <v>45.158188405797098</v>
      </c>
      <c r="AR14" s="21">
        <f>_xlfn.STDEV.S(AN14:AP14)/2</f>
        <v>0.72737571396703971</v>
      </c>
      <c r="AS14" s="38"/>
      <c r="AT14" s="29">
        <f t="shared" si="62"/>
        <v>1.0366155368629391</v>
      </c>
      <c r="AU14" s="26">
        <f t="shared" ref="AU14" si="67">T14+273.15</f>
        <v>508.54999999999995</v>
      </c>
      <c r="AV14" s="26">
        <f>AU14/(1.3611-0.0697*LN(AT14))</f>
        <v>374.32094011126946</v>
      </c>
      <c r="AW14" s="26">
        <f t="shared" si="65"/>
        <v>455.71999999999997</v>
      </c>
      <c r="AX14" s="21">
        <f t="shared" si="28"/>
        <v>192.25675999999999</v>
      </c>
      <c r="AY14" s="21">
        <f t="shared" si="66"/>
        <v>363.10469999999992</v>
      </c>
      <c r="AZ14" s="50">
        <f t="shared" si="45"/>
        <v>101.17094011126949</v>
      </c>
      <c r="BA14" s="26">
        <f t="shared" si="46"/>
        <v>89.031533333333329</v>
      </c>
      <c r="BB14" s="26">
        <f t="shared" si="47"/>
        <v>89.954699999999946</v>
      </c>
      <c r="BC14" s="40">
        <f t="shared" si="31"/>
        <v>89.493116666666637</v>
      </c>
      <c r="BD14" s="27">
        <v>88.7</v>
      </c>
      <c r="BE14" s="27">
        <v>101.7</v>
      </c>
      <c r="BF14" s="49">
        <v>79</v>
      </c>
      <c r="BG14" s="34">
        <v>0.75</v>
      </c>
      <c r="BH14" s="27">
        <v>0.76</v>
      </c>
      <c r="BI14" s="41">
        <v>24.86</v>
      </c>
      <c r="BJ14" s="27">
        <v>25.55</v>
      </c>
      <c r="BK14" s="21">
        <f t="shared" si="64"/>
        <v>248.60000000000002</v>
      </c>
      <c r="BL14" s="53">
        <f t="shared" si="32"/>
        <v>255.50000000000003</v>
      </c>
      <c r="BM14" s="34">
        <v>0.21</v>
      </c>
      <c r="BN14" s="27">
        <v>0.24</v>
      </c>
      <c r="BO14" s="85">
        <f t="shared" si="33"/>
        <v>1.62181009735893</v>
      </c>
      <c r="BP14" s="86">
        <f t="shared" si="34"/>
        <v>1.7378008287493756</v>
      </c>
      <c r="BQ14" s="85">
        <f t="shared" si="37"/>
        <v>1.62181009735893</v>
      </c>
      <c r="BR14" s="86">
        <f t="shared" si="38"/>
        <v>1.7378008287493756</v>
      </c>
      <c r="BS14" s="42">
        <v>82.37</v>
      </c>
      <c r="BT14" s="49">
        <v>90</v>
      </c>
      <c r="BU14" s="42" t="s">
        <v>2</v>
      </c>
      <c r="BV14" s="49">
        <v>0</v>
      </c>
      <c r="BW14" s="42" t="s">
        <v>2</v>
      </c>
      <c r="BX14" s="49">
        <v>0</v>
      </c>
      <c r="BY14" s="29" t="e">
        <f>-BU14-BW14</f>
        <v>#VALUE!</v>
      </c>
      <c r="BZ14" s="21" t="e">
        <f>AVERAGE(BU14,BW14)</f>
        <v>#DIV/0!</v>
      </c>
      <c r="CC14" s="42"/>
      <c r="CF14" s="29"/>
      <c r="CG14" s="21">
        <f t="shared" si="35"/>
        <v>1.0592029497243473E-2</v>
      </c>
      <c r="CI14" s="21">
        <f t="shared" si="23"/>
        <v>3.033929953282079E-104</v>
      </c>
      <c r="CJ14" s="21">
        <v>2.9630000000000001</v>
      </c>
      <c r="CK14" s="21">
        <v>1.3120000000000001</v>
      </c>
    </row>
    <row r="15" spans="1:91" ht="30" customHeight="1" x14ac:dyDescent="0.3">
      <c r="A15" s="21">
        <f t="shared" si="36"/>
        <v>12</v>
      </c>
      <c r="B15" s="78" t="s">
        <v>117</v>
      </c>
      <c r="C15" s="29" t="s">
        <v>121</v>
      </c>
      <c r="D15" s="5"/>
      <c r="E15" s="5"/>
      <c r="F15" s="30"/>
      <c r="G15" s="39" t="s">
        <v>119</v>
      </c>
      <c r="H15" s="32">
        <v>14</v>
      </c>
      <c r="I15" s="33">
        <f>H15*$H$3/R15</f>
        <v>0.84848484848484851</v>
      </c>
      <c r="J15" s="32">
        <v>30</v>
      </c>
      <c r="K15" s="33">
        <f>J15*$J$3/R15</f>
        <v>0.15151515151515152</v>
      </c>
      <c r="L15" s="32"/>
      <c r="M15" s="33">
        <f>L15*$L$3/R15</f>
        <v>0</v>
      </c>
      <c r="N15" s="32"/>
      <c r="O15" s="33">
        <f>N15*$N$3/R15</f>
        <v>0</v>
      </c>
      <c r="P15" s="32"/>
      <c r="Q15" s="33">
        <f>P15*$P$3/R15</f>
        <v>0</v>
      </c>
      <c r="R15" s="21">
        <f>H15*$H$3+J15*$J$3+L15*$L$3+N15*$N$3+P15*$P$3</f>
        <v>198</v>
      </c>
      <c r="S15" s="34">
        <v>243.2</v>
      </c>
      <c r="T15" s="27">
        <v>253.5</v>
      </c>
      <c r="U15" s="34">
        <v>1.36</v>
      </c>
      <c r="V15" s="27">
        <v>5.8</v>
      </c>
      <c r="W15" s="34">
        <v>3.6900000000000002E-2</v>
      </c>
      <c r="X15" s="68">
        <v>1.1599999999999999E-2</v>
      </c>
      <c r="Y15" s="34">
        <v>9.1920000000000005E-3</v>
      </c>
      <c r="Z15" s="27">
        <v>2.2000000000000001E-3</v>
      </c>
      <c r="AA15" s="54">
        <v>82.9</v>
      </c>
      <c r="AB15" s="55">
        <v>8.8000000000000007</v>
      </c>
      <c r="AC15" s="23">
        <v>78.400000000000006</v>
      </c>
      <c r="AD15" s="23">
        <v>3.9</v>
      </c>
      <c r="AE15" s="24">
        <f>AA15/H15</f>
        <v>5.9214285714285717</v>
      </c>
      <c r="AF15" s="29">
        <f t="shared" ref="AF15:AF16" si="68">0.3578*100*I15+1.1357*100*K15+0.059*100*O15+0.1119*100*Q15-0.0845*100*M15</f>
        <v>47.566363636363633</v>
      </c>
      <c r="AG15" s="21">
        <f t="shared" ref="AG15:AG16" si="69">0.336*100*I15+1.418*100*K15+0.094*100*Q15-0.145*100*M15</f>
        <v>49.993939393939399</v>
      </c>
      <c r="AH15" s="21">
        <f t="shared" ref="AH15:AH16" si="70">0.3515*100*I15+1.1617*100*K15+0.06276*100*O15+0.1046*100*Q15-0.1109*100*M15</f>
        <v>47.425757575757572</v>
      </c>
      <c r="AI15" s="36">
        <f>AVERAGE(AF15:AH15)</f>
        <v>48.328686868686873</v>
      </c>
      <c r="AJ15" s="21">
        <f>_xlfn.STDEV.S(AF15:AH15)/2</f>
        <v>0.72193178273898184</v>
      </c>
      <c r="AK15" s="32"/>
      <c r="AL15" s="37">
        <f t="shared" ref="AL15:AL16" si="71">K15</f>
        <v>0.15151515151515152</v>
      </c>
      <c r="AM15" s="32"/>
      <c r="AN15" s="29">
        <f>AF15-(0.2122*100*AL15)</f>
        <v>44.351212121212114</v>
      </c>
      <c r="AO15" s="21">
        <f>AG15-(0.2122*100*AL15)</f>
        <v>46.778787878787881</v>
      </c>
      <c r="AP15" s="21">
        <f>AH15-(0.2122*100*AL15)</f>
        <v>44.210606060606054</v>
      </c>
      <c r="AQ15" s="36">
        <f>AVERAGE(AN15:AP15)</f>
        <v>45.113535353535347</v>
      </c>
      <c r="AR15" s="21">
        <f>_xlfn.STDEV.S(AN15:AP15)/2</f>
        <v>0.72193178273898184</v>
      </c>
      <c r="AS15" s="38"/>
      <c r="AT15" s="29">
        <f t="shared" ref="AT15:AT16" si="72">83.8/(4*H15+4*P15+J15-0-2*L15+0.84)</f>
        <v>0.96499309074159367</v>
      </c>
      <c r="AU15" s="26">
        <f t="shared" ref="AU15:AU16" si="73">T15+273.15</f>
        <v>526.65</v>
      </c>
      <c r="AV15" s="26">
        <f>AU15/(1.3611-0.0697*LN(AT15))</f>
        <v>386.22491223196801</v>
      </c>
      <c r="AW15" s="26">
        <f t="shared" ref="AW15:AW16" si="74">(T15*9/5)+32</f>
        <v>488.3</v>
      </c>
      <c r="AX15" s="21">
        <f t="shared" ref="AX15:AX16" si="75">0.683*AW15-119</f>
        <v>214.50890000000004</v>
      </c>
      <c r="AY15" s="21">
        <f t="shared" ref="AY15:AY16" si="76" xml:space="preserve"> 0.714*AU15</f>
        <v>376.02809999999999</v>
      </c>
      <c r="AZ15" s="50">
        <f t="shared" ref="AZ15:AZ16" si="77">AV15-273.15</f>
        <v>113.07491223196803</v>
      </c>
      <c r="BA15" s="26">
        <f t="shared" ref="BA15:BA16" si="78">(AX15-32)*5/9</f>
        <v>101.39383333333336</v>
      </c>
      <c r="BB15" s="26">
        <f t="shared" ref="BB15:BB16" si="79">AY15-273.15</f>
        <v>102.87810000000002</v>
      </c>
      <c r="BC15" s="40">
        <f t="shared" ref="BC15:BC16" si="80">AVERAGE(BA15:BB15)</f>
        <v>102.13596666666669</v>
      </c>
      <c r="BD15" s="27">
        <v>101.22</v>
      </c>
      <c r="BE15" s="27">
        <v>99</v>
      </c>
      <c r="BF15" s="49">
        <v>100</v>
      </c>
      <c r="BG15" s="34">
        <v>0.75</v>
      </c>
      <c r="BH15" s="27">
        <v>0.77</v>
      </c>
      <c r="BI15" s="41">
        <v>25.5</v>
      </c>
      <c r="BJ15" s="27">
        <v>26.13</v>
      </c>
      <c r="BK15" s="21">
        <f t="shared" ref="BK15:BK16" si="81">BI15*0.1*100</f>
        <v>255.00000000000003</v>
      </c>
      <c r="BL15" s="53">
        <f t="shared" ref="BL15:BL16" si="82">BJ15*0.1*100</f>
        <v>261.3</v>
      </c>
      <c r="BM15" s="34">
        <v>0.28000000000000003</v>
      </c>
      <c r="BN15" s="27" t="s">
        <v>2</v>
      </c>
      <c r="BO15" s="85">
        <f t="shared" si="33"/>
        <v>1.9054607179632475</v>
      </c>
      <c r="BP15" s="86" t="e">
        <f t="shared" si="34"/>
        <v>#VALUE!</v>
      </c>
      <c r="BQ15" s="85">
        <f t="shared" ref="BQ15:BQ16" si="83">10^BM15</f>
        <v>1.9054607179632475</v>
      </c>
      <c r="BR15" s="86" t="e">
        <f t="shared" ref="BR15:BR16" si="84">10^BN15</f>
        <v>#VALUE!</v>
      </c>
      <c r="BS15" s="42">
        <v>86.759</v>
      </c>
      <c r="BT15" s="49">
        <v>85.1</v>
      </c>
      <c r="BU15" s="42" t="s">
        <v>2</v>
      </c>
      <c r="BV15" s="49">
        <v>0</v>
      </c>
      <c r="BW15" s="42" t="s">
        <v>2</v>
      </c>
      <c r="BX15" s="49">
        <v>0</v>
      </c>
      <c r="BY15" s="29" t="e">
        <f>-BU15-BW15</f>
        <v>#VALUE!</v>
      </c>
      <c r="BZ15" s="21" t="e">
        <f>AVERAGE(BU15,BW15)</f>
        <v>#DIV/0!</v>
      </c>
      <c r="CC15" s="42"/>
      <c r="CF15" s="29"/>
      <c r="CG15" s="21">
        <f t="shared" si="35"/>
        <v>7.5998034299525627E-3</v>
      </c>
      <c r="CI15" s="21">
        <f t="shared" si="23"/>
        <v>2.8773359829756301E-105</v>
      </c>
      <c r="CJ15" s="21">
        <v>2.92</v>
      </c>
      <c r="CK15" s="21">
        <v>1.57</v>
      </c>
    </row>
    <row r="16" spans="1:91" ht="30" customHeight="1" x14ac:dyDescent="0.3">
      <c r="A16" s="21">
        <f t="shared" si="36"/>
        <v>13</v>
      </c>
      <c r="B16" s="78" t="s">
        <v>118</v>
      </c>
      <c r="C16" s="29" t="s">
        <v>122</v>
      </c>
      <c r="D16" s="5"/>
      <c r="E16" s="5"/>
      <c r="F16" s="30"/>
      <c r="G16" s="39" t="s">
        <v>120</v>
      </c>
      <c r="H16" s="32">
        <v>15</v>
      </c>
      <c r="I16" s="33">
        <f>H16*$H$3/R16</f>
        <v>0.84905660377358494</v>
      </c>
      <c r="J16" s="32">
        <v>32</v>
      </c>
      <c r="K16" s="33">
        <f>J16*$J$3/R16</f>
        <v>0.15094339622641509</v>
      </c>
      <c r="L16" s="32"/>
      <c r="M16" s="33">
        <f>L16*$L$3/R16</f>
        <v>0</v>
      </c>
      <c r="N16" s="32"/>
      <c r="O16" s="33">
        <f>N16*$N$3/R16</f>
        <v>0</v>
      </c>
      <c r="P16" s="32"/>
      <c r="Q16" s="33">
        <f>P16*$P$3/R16</f>
        <v>0</v>
      </c>
      <c r="R16" s="21">
        <f>H16*$H$3+J16*$J$3+L16*$L$3+N16*$N$3+P16*$P$3</f>
        <v>212</v>
      </c>
      <c r="S16" s="34">
        <v>260.58</v>
      </c>
      <c r="T16" s="27">
        <v>270.60000000000002</v>
      </c>
      <c r="U16" s="34">
        <v>12.07</v>
      </c>
      <c r="V16" s="27">
        <v>9.9</v>
      </c>
      <c r="W16" s="34">
        <v>1.5299999999999999E-2</v>
      </c>
      <c r="X16" s="68">
        <v>3.4299999999999999E-3</v>
      </c>
      <c r="Y16" s="34">
        <v>2.8660000000000001E-3</v>
      </c>
      <c r="Z16" s="68">
        <v>7.6000000000000004E-5</v>
      </c>
      <c r="AA16" s="54">
        <v>89.4</v>
      </c>
      <c r="AB16" s="55">
        <v>8.9</v>
      </c>
      <c r="AC16" s="23">
        <v>84.1</v>
      </c>
      <c r="AD16" s="23">
        <v>4.2</v>
      </c>
      <c r="AE16" s="24">
        <f>AA16/H16</f>
        <v>5.96</v>
      </c>
      <c r="AF16" s="29">
        <f t="shared" si="68"/>
        <v>47.521886792452833</v>
      </c>
      <c r="AG16" s="21">
        <f t="shared" si="69"/>
        <v>49.932075471698113</v>
      </c>
      <c r="AH16" s="21">
        <f t="shared" si="70"/>
        <v>47.379433962264152</v>
      </c>
      <c r="AI16" s="36">
        <f>AVERAGE(AF16:AH16)</f>
        <v>48.277798742138366</v>
      </c>
      <c r="AJ16" s="21">
        <f>_xlfn.STDEV.S(AF16:AH16)/2</f>
        <v>0.71720757554549031</v>
      </c>
      <c r="AK16" s="32"/>
      <c r="AL16" s="37">
        <f t="shared" si="71"/>
        <v>0.15094339622641509</v>
      </c>
      <c r="AM16" s="32"/>
      <c r="AN16" s="29">
        <f>AF16-(0.2122*100*AL16)</f>
        <v>44.318867924528305</v>
      </c>
      <c r="AO16" s="21">
        <f>AG16-(0.2122*100*AL16)</f>
        <v>46.729056603773586</v>
      </c>
      <c r="AP16" s="21">
        <f>AH16-(0.2122*100*AL16)</f>
        <v>44.176415094339625</v>
      </c>
      <c r="AQ16" s="36">
        <f>AVERAGE(AN16:AP16)</f>
        <v>45.074779874213839</v>
      </c>
      <c r="AR16" s="21">
        <f>_xlfn.STDEV.S(AN16:AP16)/2</f>
        <v>0.71720757554549031</v>
      </c>
      <c r="AS16" s="38"/>
      <c r="AT16" s="29">
        <f t="shared" si="72"/>
        <v>0.90262817750969404</v>
      </c>
      <c r="AU16" s="26">
        <f t="shared" si="73"/>
        <v>543.75</v>
      </c>
      <c r="AV16" s="26">
        <f>AU16/(1.3611-0.0697*LN(AT16))</f>
        <v>397.40823706488624</v>
      </c>
      <c r="AW16" s="26">
        <f t="shared" si="74"/>
        <v>519.08000000000004</v>
      </c>
      <c r="AX16" s="21">
        <f t="shared" si="75"/>
        <v>235.53164000000004</v>
      </c>
      <c r="AY16" s="21">
        <f t="shared" si="76"/>
        <v>388.23749999999995</v>
      </c>
      <c r="AZ16" s="50">
        <f t="shared" si="77"/>
        <v>124.25823706488626</v>
      </c>
      <c r="BA16" s="26">
        <f t="shared" si="78"/>
        <v>113.07313333333336</v>
      </c>
      <c r="BB16" s="26">
        <f t="shared" si="79"/>
        <v>115.08749999999998</v>
      </c>
      <c r="BC16" s="40">
        <f t="shared" si="80"/>
        <v>114.08031666666668</v>
      </c>
      <c r="BD16" s="27">
        <v>113.99</v>
      </c>
      <c r="BE16" s="27">
        <v>132.19999999999999</v>
      </c>
      <c r="BF16" s="49">
        <v>132</v>
      </c>
      <c r="BG16" s="34">
        <v>0.75</v>
      </c>
      <c r="BH16" s="27" t="s">
        <v>125</v>
      </c>
      <c r="BI16" s="41">
        <v>25.81</v>
      </c>
      <c r="BJ16" s="27" t="s">
        <v>126</v>
      </c>
      <c r="BK16" s="21">
        <f t="shared" si="81"/>
        <v>258.10000000000002</v>
      </c>
      <c r="BL16" s="53" t="e">
        <f t="shared" si="82"/>
        <v>#VALUE!</v>
      </c>
      <c r="BM16" s="34">
        <v>0.37</v>
      </c>
      <c r="BN16" s="27" t="s">
        <v>2</v>
      </c>
      <c r="BO16" s="85">
        <f t="shared" si="33"/>
        <v>2.344228815319922</v>
      </c>
      <c r="BP16" s="86" t="e">
        <f t="shared" si="34"/>
        <v>#VALUE!</v>
      </c>
      <c r="BQ16" s="85">
        <f t="shared" si="83"/>
        <v>2.344228815319922</v>
      </c>
      <c r="BR16" s="86" t="e">
        <f t="shared" si="84"/>
        <v>#VALUE!</v>
      </c>
      <c r="BS16" s="42">
        <v>88.447999999999993</v>
      </c>
      <c r="BT16" s="49">
        <v>96</v>
      </c>
      <c r="BU16" s="42" t="s">
        <v>2</v>
      </c>
      <c r="BV16" s="49">
        <v>0</v>
      </c>
      <c r="BW16" s="42" t="s">
        <v>2</v>
      </c>
      <c r="BX16" s="49">
        <v>0</v>
      </c>
      <c r="BY16" s="29" t="e">
        <f>-BU16-BW16</f>
        <v>#VALUE!</v>
      </c>
      <c r="BZ16" s="21" t="e">
        <f>AVERAGE(BU16,BW16)</f>
        <v>#DIV/0!</v>
      </c>
      <c r="CC16" s="42"/>
      <c r="CF16" s="29"/>
      <c r="CG16" s="21">
        <f t="shared" si="35"/>
        <v>4.7799701797378857E-3</v>
      </c>
      <c r="CI16" s="21">
        <f t="shared" si="23"/>
        <v>1.0136624649886475E-106</v>
      </c>
      <c r="CJ16" s="21">
        <v>2.827</v>
      </c>
      <c r="CK16" s="21">
        <v>1.877</v>
      </c>
    </row>
    <row r="18" spans="1:96" x14ac:dyDescent="0.3">
      <c r="B18" s="44" t="s">
        <v>71</v>
      </c>
    </row>
    <row r="19" spans="1:96" x14ac:dyDescent="0.3">
      <c r="B19" s="32" t="s">
        <v>72</v>
      </c>
      <c r="R19" s="47"/>
    </row>
    <row r="20" spans="1:96" x14ac:dyDescent="0.3">
      <c r="B20" s="27" t="s">
        <v>73</v>
      </c>
      <c r="R20" s="48"/>
      <c r="CQ20" s="21">
        <v>250</v>
      </c>
      <c r="CR20" s="21">
        <f>CQ20^(-1/0.0246)</f>
        <v>3.3324517888625622E-98</v>
      </c>
    </row>
    <row r="21" spans="1:96" x14ac:dyDescent="0.3">
      <c r="B21" s="49" t="s">
        <v>112</v>
      </c>
      <c r="R21" s="48"/>
      <c r="CQ21" s="21">
        <f>CQ20+50</f>
        <v>300</v>
      </c>
      <c r="CR21" s="21">
        <f>CQ21^(-1/0.0246)</f>
        <v>2.013789331646097E-101</v>
      </c>
    </row>
    <row r="22" spans="1:96" x14ac:dyDescent="0.3">
      <c r="CQ22" s="21">
        <f t="shared" ref="CQ22:CQ29" si="85">CQ21+50</f>
        <v>350</v>
      </c>
      <c r="CR22" s="21">
        <f t="shared" ref="CR22:CR29" si="86">CQ22^(-1/0.0246)</f>
        <v>3.8247215528497561E-104</v>
      </c>
    </row>
    <row r="23" spans="1:96" x14ac:dyDescent="0.3">
      <c r="B23" s="72" t="s">
        <v>114</v>
      </c>
      <c r="CQ23" s="21">
        <f t="shared" si="85"/>
        <v>400</v>
      </c>
      <c r="CR23" s="21">
        <f t="shared" si="86"/>
        <v>1.6795912541902673E-106</v>
      </c>
    </row>
    <row r="24" spans="1:96" x14ac:dyDescent="0.3">
      <c r="R24" s="48"/>
      <c r="CQ24" s="21">
        <f t="shared" si="85"/>
        <v>450</v>
      </c>
      <c r="CR24" s="21">
        <f t="shared" si="86"/>
        <v>1.3990485102222553E-108</v>
      </c>
    </row>
    <row r="25" spans="1:96" x14ac:dyDescent="0.3">
      <c r="R25" s="48"/>
      <c r="CQ25" s="21">
        <f t="shared" si="85"/>
        <v>500</v>
      </c>
      <c r="CR25" s="21">
        <f t="shared" si="86"/>
        <v>1.9309551271361315E-110</v>
      </c>
    </row>
    <row r="26" spans="1:96" x14ac:dyDescent="0.3">
      <c r="CQ26" s="21">
        <f t="shared" si="85"/>
        <v>550</v>
      </c>
      <c r="CR26" s="21">
        <f t="shared" si="86"/>
        <v>4.0099845883027837E-112</v>
      </c>
    </row>
    <row r="27" spans="1:96" x14ac:dyDescent="0.3">
      <c r="CQ27" s="21">
        <f t="shared" si="85"/>
        <v>600</v>
      </c>
      <c r="CR27" s="21">
        <f t="shared" si="86"/>
        <v>1.1668696447192129E-113</v>
      </c>
    </row>
    <row r="28" spans="1:96" x14ac:dyDescent="0.3">
      <c r="CQ28" s="21">
        <f t="shared" si="85"/>
        <v>650</v>
      </c>
      <c r="CR28" s="21">
        <f t="shared" si="86"/>
        <v>4.507425857461908E-115</v>
      </c>
    </row>
    <row r="29" spans="1:96" x14ac:dyDescent="0.3">
      <c r="B29" s="21">
        <v>212</v>
      </c>
      <c r="C29" s="21">
        <f>(5/9)*(B29-32)</f>
        <v>100</v>
      </c>
      <c r="CQ29" s="21">
        <f t="shared" si="85"/>
        <v>700</v>
      </c>
      <c r="CR29" s="21">
        <f t="shared" si="86"/>
        <v>2.2161958102517302E-116</v>
      </c>
    </row>
    <row r="31" spans="1:96" s="45" customForma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48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F31" s="21"/>
      <c r="AG31" s="21"/>
      <c r="AH31" s="21"/>
      <c r="AI31" s="46"/>
      <c r="AJ31" s="21"/>
      <c r="AK31" s="21"/>
      <c r="AL31" s="21"/>
      <c r="AM31" s="21"/>
      <c r="AN31" s="21"/>
      <c r="AO31" s="21"/>
      <c r="AP31" s="21"/>
      <c r="AQ31" s="46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</row>
    <row r="32" spans="1:96" s="45" customFormat="1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48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F32" s="21"/>
      <c r="AG32" s="21"/>
      <c r="AH32" s="21"/>
      <c r="AI32" s="46"/>
      <c r="AJ32" s="21"/>
      <c r="AK32" s="21"/>
      <c r="AL32" s="21"/>
      <c r="AM32" s="21"/>
      <c r="AN32" s="21"/>
      <c r="AO32" s="21"/>
      <c r="AP32" s="21"/>
      <c r="AQ32" s="46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</row>
    <row r="33" spans="1:83" s="45" customFormat="1" x14ac:dyDescent="0.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48"/>
      <c r="W33" s="21"/>
      <c r="X33" s="21"/>
      <c r="Y33" s="21"/>
      <c r="Z33" s="21"/>
      <c r="AA33" s="21"/>
      <c r="AB33" s="21"/>
      <c r="AC33" s="48"/>
      <c r="AD33" s="48"/>
      <c r="AF33" s="21"/>
      <c r="AG33" s="21"/>
      <c r="AH33" s="21"/>
      <c r="AI33" s="46"/>
      <c r="AJ33" s="21"/>
      <c r="AK33" s="21"/>
      <c r="AL33" s="21"/>
      <c r="AM33" s="21"/>
      <c r="AN33" s="21"/>
      <c r="AO33" s="21"/>
      <c r="AP33" s="21"/>
      <c r="AQ33" s="46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</row>
  </sheetData>
  <mergeCells count="27">
    <mergeCell ref="BA3:BB3"/>
    <mergeCell ref="BG3:BH3"/>
    <mergeCell ref="BW1:BX1"/>
    <mergeCell ref="BI1:BL1"/>
    <mergeCell ref="BG1:BH1"/>
    <mergeCell ref="BM1:BR1"/>
    <mergeCell ref="BS1:BT1"/>
    <mergeCell ref="BU1:BV1"/>
    <mergeCell ref="AA2:AB2"/>
    <mergeCell ref="AN2:AP2"/>
    <mergeCell ref="BC2:BD2"/>
    <mergeCell ref="BE2:BF2"/>
    <mergeCell ref="AZ1:BB1"/>
    <mergeCell ref="BC1:BF1"/>
    <mergeCell ref="AA1:AE1"/>
    <mergeCell ref="AF1:AH1"/>
    <mergeCell ref="AI1:AK1"/>
    <mergeCell ref="AL1:AM1"/>
    <mergeCell ref="AN1:AP1"/>
    <mergeCell ref="AQ1:AS1"/>
    <mergeCell ref="AQ2:AR2"/>
    <mergeCell ref="Y1:Z1"/>
    <mergeCell ref="C1:D1"/>
    <mergeCell ref="H1:R1"/>
    <mergeCell ref="S1:T1"/>
    <mergeCell ref="U1:V1"/>
    <mergeCell ref="W1:X1"/>
  </mergeCells>
  <hyperlinks>
    <hyperlink ref="BS3" r:id="rId1" xr:uid="{2B563681-57CB-4C16-82B6-BD0AB6596A04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FP 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Huq, Nabila</dc:creator>
  <cp:lastModifiedBy>Miller, Jacob</cp:lastModifiedBy>
  <dcterms:created xsi:type="dcterms:W3CDTF">2021-02-05T18:23:00Z</dcterms:created>
  <dcterms:modified xsi:type="dcterms:W3CDTF">2021-08-19T19:46:56Z</dcterms:modified>
</cp:coreProperties>
</file>