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miller3_nrel_gov/Documents/Jet fuel project/Fuel_props/VULTURE code/"/>
    </mc:Choice>
  </mc:AlternateContent>
  <xr:revisionPtr revIDLastSave="218" documentId="13_ncr:1_{ED489050-759C-49EA-B309-1FA34FF5CA83}" xr6:coauthVersionLast="47" xr6:coauthVersionMax="47" xr10:uidLastSave="{04824E11-85F1-4002-9ED5-6F8383898731}"/>
  <bookViews>
    <workbookView xWindow="-108" yWindow="-108" windowWidth="23256" windowHeight="12576" xr2:uid="{E5CB794A-8251-44A7-A489-3EBCBE347334}"/>
  </bookViews>
  <sheets>
    <sheet name="VFA Alcohols - HN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6" i="10" l="1"/>
  <c r="AK5" i="10" l="1"/>
  <c r="AM4" i="10"/>
  <c r="BU4" i="10"/>
  <c r="BU48" i="10"/>
  <c r="BU5" i="10"/>
  <c r="BU6" i="10"/>
  <c r="BU7" i="10"/>
  <c r="BU8" i="10"/>
  <c r="BU9" i="10"/>
  <c r="BU10" i="10"/>
  <c r="BU11" i="10"/>
  <c r="BU12" i="10"/>
  <c r="BU13" i="10"/>
  <c r="BU14" i="10"/>
  <c r="BU15" i="10"/>
  <c r="BU16" i="10"/>
  <c r="BU17" i="10"/>
  <c r="BU18" i="10"/>
  <c r="BU19" i="10"/>
  <c r="BU20" i="10"/>
  <c r="BU21" i="10"/>
  <c r="BU22" i="10"/>
  <c r="BU23" i="10"/>
  <c r="BU24" i="10"/>
  <c r="BU25" i="10"/>
  <c r="BU26" i="10"/>
  <c r="BU27" i="10"/>
  <c r="BU28" i="10"/>
  <c r="BU29" i="10"/>
  <c r="BU30" i="10"/>
  <c r="BU31" i="10"/>
  <c r="BU32" i="10"/>
  <c r="BU33" i="10"/>
  <c r="BU34" i="10"/>
  <c r="BU35" i="10"/>
  <c r="BU36" i="10"/>
  <c r="BU37" i="10"/>
  <c r="BU38" i="10"/>
  <c r="BU39" i="10"/>
  <c r="BU40" i="10"/>
  <c r="BU41" i="10"/>
  <c r="BU42" i="10"/>
  <c r="BU43" i="10"/>
  <c r="BU44" i="10"/>
  <c r="BU45" i="10"/>
  <c r="BU46" i="10"/>
  <c r="BU47" i="10"/>
  <c r="AK4" i="10"/>
  <c r="BI27" i="10"/>
  <c r="AY27" i="10"/>
  <c r="AA27" i="10"/>
  <c r="Y27" i="10"/>
  <c r="X27" i="10"/>
  <c r="W27" i="10"/>
  <c r="V27" i="10"/>
  <c r="U27" i="10"/>
  <c r="T27" i="10"/>
  <c r="R27" i="10"/>
  <c r="S27" i="10"/>
  <c r="K27" i="10"/>
  <c r="I27" i="10"/>
  <c r="G27" i="10"/>
  <c r="F27" i="10"/>
  <c r="BF27" i="10"/>
  <c r="BD27" i="10"/>
  <c r="BC27" i="10"/>
  <c r="BA27" i="10"/>
  <c r="AZ27" i="10"/>
  <c r="B27" i="10"/>
  <c r="BL6" i="10"/>
  <c r="Z36" i="10"/>
  <c r="Z31" i="10"/>
  <c r="Z42" i="10"/>
  <c r="Z38" i="10"/>
  <c r="Z33" i="10"/>
  <c r="Z22" i="10"/>
  <c r="Z39" i="10"/>
  <c r="Z30" i="10"/>
  <c r="Z37" i="10"/>
  <c r="Z32" i="10"/>
  <c r="AB32" i="10" s="1"/>
  <c r="Z26" i="10"/>
  <c r="AB26" i="10" s="1"/>
  <c r="AB27" i="10" s="1"/>
  <c r="Z43" i="10"/>
  <c r="Z41" i="10"/>
  <c r="Z44" i="10"/>
  <c r="Z45" i="10"/>
  <c r="AB45" i="10" s="1"/>
  <c r="Z46" i="10"/>
  <c r="Z47" i="10"/>
  <c r="Z48" i="10"/>
  <c r="Q27" i="10" l="1"/>
  <c r="N27" i="10" s="1"/>
  <c r="Z27" i="10"/>
  <c r="BL9" i="10"/>
  <c r="BL10" i="10"/>
  <c r="BL12" i="10"/>
  <c r="BL13" i="10"/>
  <c r="BL11" i="10"/>
  <c r="BL15" i="10"/>
  <c r="BL14" i="10"/>
  <c r="BL17" i="10"/>
  <c r="BL18" i="10"/>
  <c r="BL19" i="10"/>
  <c r="BL16" i="10"/>
  <c r="BL20" i="10"/>
  <c r="BL21" i="10"/>
  <c r="BL23" i="10"/>
  <c r="BL24" i="10"/>
  <c r="BL25" i="10"/>
  <c r="BL22" i="10"/>
  <c r="BL26" i="10"/>
  <c r="BL27" i="10" s="1"/>
  <c r="BL28" i="10"/>
  <c r="BL29" i="10"/>
  <c r="BL30" i="10"/>
  <c r="BL31" i="10"/>
  <c r="BL32" i="10"/>
  <c r="BL33" i="10"/>
  <c r="BL34" i="10"/>
  <c r="BL35" i="10"/>
  <c r="BL36" i="10"/>
  <c r="BL37" i="10"/>
  <c r="BL38" i="10"/>
  <c r="BL39" i="10"/>
  <c r="BL40" i="10"/>
  <c r="BL41" i="10"/>
  <c r="BL42" i="10"/>
  <c r="BL43" i="10"/>
  <c r="BL44" i="10"/>
  <c r="BL45" i="10"/>
  <c r="BL46" i="10"/>
  <c r="BL47" i="10"/>
  <c r="BL48" i="10"/>
  <c r="BO9" i="10"/>
  <c r="BO10" i="10"/>
  <c r="BO12" i="10"/>
  <c r="BO13" i="10"/>
  <c r="BO11" i="10"/>
  <c r="BO15" i="10"/>
  <c r="BO14" i="10"/>
  <c r="BO17" i="10"/>
  <c r="BO18" i="10"/>
  <c r="BO19" i="10"/>
  <c r="BO16" i="10"/>
  <c r="BO20" i="10"/>
  <c r="BO21" i="10"/>
  <c r="BO23" i="10"/>
  <c r="BO24" i="10"/>
  <c r="BO25" i="10"/>
  <c r="BO22" i="10"/>
  <c r="BO26" i="10"/>
  <c r="BO27" i="10" s="1"/>
  <c r="BO28" i="10"/>
  <c r="BO29" i="10"/>
  <c r="BO30" i="10"/>
  <c r="BO31" i="10"/>
  <c r="BO32" i="10"/>
  <c r="BO33" i="10"/>
  <c r="BO34" i="10"/>
  <c r="BO35" i="10"/>
  <c r="BO36" i="10"/>
  <c r="BO37" i="10"/>
  <c r="BO38" i="10"/>
  <c r="BO39" i="10"/>
  <c r="BO40" i="10"/>
  <c r="BO41" i="10"/>
  <c r="BO42" i="10"/>
  <c r="BO43" i="10"/>
  <c r="BO44" i="10"/>
  <c r="BO45" i="10"/>
  <c r="BO46" i="10"/>
  <c r="BO47" i="10"/>
  <c r="BO48" i="10"/>
  <c r="BO6" i="10"/>
  <c r="BO4" i="10"/>
  <c r="BP5" i="10"/>
  <c r="BO5" i="10"/>
  <c r="BP4" i="10"/>
  <c r="BP7" i="10"/>
  <c r="BP8" i="10"/>
  <c r="BO8" i="10"/>
  <c r="BO7" i="10"/>
  <c r="BL8" i="10"/>
  <c r="BL7" i="10"/>
  <c r="BM8" i="10"/>
  <c r="BM7" i="10"/>
  <c r="J27" i="10" l="1"/>
  <c r="AI27" i="10" s="1"/>
  <c r="L27" i="10"/>
  <c r="H27" i="10"/>
  <c r="AB29" i="10"/>
  <c r="AB22" i="10"/>
  <c r="AB31" i="10"/>
  <c r="AT48" i="10"/>
  <c r="AT46" i="10"/>
  <c r="AT45" i="10"/>
  <c r="AT42" i="10"/>
  <c r="AT38" i="10"/>
  <c r="AT37" i="10"/>
  <c r="AT33" i="10"/>
  <c r="AT34" i="10"/>
  <c r="AT32" i="10"/>
  <c r="AT29" i="10"/>
  <c r="AT26" i="10"/>
  <c r="AT27" i="10" s="1"/>
  <c r="AU27" i="10" s="1"/>
  <c r="AW27" i="10" s="1"/>
  <c r="AT20" i="10"/>
  <c r="AT14" i="10"/>
  <c r="AR48" i="10"/>
  <c r="AR46" i="10"/>
  <c r="AR45" i="10"/>
  <c r="AR42" i="10"/>
  <c r="AR41" i="10"/>
  <c r="AR38" i="10"/>
  <c r="AR37" i="10"/>
  <c r="AR34" i="10"/>
  <c r="AR33" i="10"/>
  <c r="AR32" i="10"/>
  <c r="AR29" i="10"/>
  <c r="AR26" i="10"/>
  <c r="AR27" i="10" s="1"/>
  <c r="AR20" i="10"/>
  <c r="AR14" i="10"/>
  <c r="AQ8" i="10"/>
  <c r="AQ5" i="10"/>
  <c r="AR6" i="10"/>
  <c r="AQ6" i="10"/>
  <c r="AB30" i="10" l="1"/>
  <c r="Q4" i="10"/>
  <c r="AB4" i="10"/>
  <c r="AQ4" i="10"/>
  <c r="AR4" i="10"/>
  <c r="AT4" i="10"/>
  <c r="AU4" i="10" s="1"/>
  <c r="AW4" i="10" s="1"/>
  <c r="BM4" i="10"/>
  <c r="BT4" i="10"/>
  <c r="Q5" i="10"/>
  <c r="N5" i="10" s="1"/>
  <c r="AB5" i="10"/>
  <c r="AP5" i="10"/>
  <c r="AR5" i="10"/>
  <c r="AS5" i="10" s="1"/>
  <c r="AV5" i="10" s="1"/>
  <c r="AX5" i="10" s="1"/>
  <c r="AT5" i="10"/>
  <c r="AU5" i="10" s="1"/>
  <c r="AW5" i="10" s="1"/>
  <c r="BM5" i="10"/>
  <c r="BT5" i="10"/>
  <c r="Q6" i="10"/>
  <c r="H6" i="10" s="1"/>
  <c r="AB6" i="10"/>
  <c r="AP6" i="10"/>
  <c r="AS6" i="10"/>
  <c r="AV6" i="10" s="1"/>
  <c r="AX6" i="10" s="1"/>
  <c r="AT6" i="10"/>
  <c r="AU6" i="10" s="1"/>
  <c r="AW6" i="10" s="1"/>
  <c r="Q7" i="10"/>
  <c r="L7" i="10" s="1"/>
  <c r="AB7" i="10"/>
  <c r="AP7" i="10"/>
  <c r="AQ7" i="10"/>
  <c r="AR7" i="10"/>
  <c r="AT7" i="10"/>
  <c r="AU7" i="10" s="1"/>
  <c r="AW7" i="10" s="1"/>
  <c r="Q8" i="10"/>
  <c r="H8" i="10" s="1"/>
  <c r="AB8" i="10"/>
  <c r="AP8" i="10"/>
  <c r="AR8" i="10"/>
  <c r="AS8" i="10" s="1"/>
  <c r="AV8" i="10" s="1"/>
  <c r="AX8" i="10" s="1"/>
  <c r="AT8" i="10"/>
  <c r="AU8" i="10" s="1"/>
  <c r="AW8" i="10" s="1"/>
  <c r="Q9" i="10"/>
  <c r="H9" i="10" s="1"/>
  <c r="AB9" i="10"/>
  <c r="AP9" i="10"/>
  <c r="AQ9" i="10"/>
  <c r="AR9" i="10"/>
  <c r="AT9" i="10"/>
  <c r="AU9" i="10" s="1"/>
  <c r="AW9" i="10" s="1"/>
  <c r="Q10" i="10"/>
  <c r="L10" i="10" s="1"/>
  <c r="AB10" i="10"/>
  <c r="AP10" i="10"/>
  <c r="AQ10" i="10"/>
  <c r="AR10" i="10"/>
  <c r="AT10" i="10"/>
  <c r="AU10" i="10" s="1"/>
  <c r="AW10" i="10" s="1"/>
  <c r="H4" i="10" l="1"/>
  <c r="J4" i="10"/>
  <c r="AI4" i="10" s="1"/>
  <c r="H5" i="10"/>
  <c r="AS4" i="10"/>
  <c r="AV4" i="10" s="1"/>
  <c r="AX4" i="10" s="1"/>
  <c r="J10" i="10"/>
  <c r="AI10" i="10" s="1"/>
  <c r="P6" i="10"/>
  <c r="N9" i="10"/>
  <c r="P8" i="10"/>
  <c r="J7" i="10"/>
  <c r="AI7" i="10" s="1"/>
  <c r="N6" i="10"/>
  <c r="P7" i="10"/>
  <c r="AS10" i="10"/>
  <c r="AV10" i="10" s="1"/>
  <c r="AX10" i="10" s="1"/>
  <c r="AS9" i="10"/>
  <c r="AV9" i="10" s="1"/>
  <c r="AX9" i="10" s="1"/>
  <c r="L9" i="10"/>
  <c r="H7" i="10"/>
  <c r="L6" i="10"/>
  <c r="L5" i="10"/>
  <c r="H10" i="10"/>
  <c r="P9" i="10"/>
  <c r="J9" i="10"/>
  <c r="AI9" i="10" s="1"/>
  <c r="AS7" i="10"/>
  <c r="AV7" i="10" s="1"/>
  <c r="AX7" i="10" s="1"/>
  <c r="J5" i="10"/>
  <c r="AI5" i="10" s="1"/>
  <c r="N8" i="10"/>
  <c r="J6" i="10"/>
  <c r="AI6" i="10" s="1"/>
  <c r="P4" i="10"/>
  <c r="P10" i="10"/>
  <c r="L8" i="10"/>
  <c r="N4" i="10"/>
  <c r="N10" i="10"/>
  <c r="J8" i="10"/>
  <c r="AI8" i="10" s="1"/>
  <c r="L4" i="10"/>
  <c r="N7" i="10"/>
  <c r="P5" i="10"/>
  <c r="AE5" i="10" l="1"/>
  <c r="AM5" i="10" s="1"/>
  <c r="AD7" i="10"/>
  <c r="AL7" i="10" s="1"/>
  <c r="AE7" i="10"/>
  <c r="AM7" i="10" s="1"/>
  <c r="AC4" i="10"/>
  <c r="AE4" i="10"/>
  <c r="AD10" i="10"/>
  <c r="AL10" i="10" s="1"/>
  <c r="AD9" i="10"/>
  <c r="AL9" i="10" s="1"/>
  <c r="AD4" i="10"/>
  <c r="AL4" i="10" s="1"/>
  <c r="AC9" i="10"/>
  <c r="AE9" i="10"/>
  <c r="AM9" i="10" s="1"/>
  <c r="AE10" i="10"/>
  <c r="AM10" i="10" s="1"/>
  <c r="AC8" i="10"/>
  <c r="AK8" i="10" s="1"/>
  <c r="AC10" i="10"/>
  <c r="AK10" i="10" s="1"/>
  <c r="AE8" i="10"/>
  <c r="AM8" i="10" s="1"/>
  <c r="AD8" i="10"/>
  <c r="AL8" i="10" s="1"/>
  <c r="AD5" i="10"/>
  <c r="AL5" i="10" s="1"/>
  <c r="AC5" i="10"/>
  <c r="AE6" i="10"/>
  <c r="AM6" i="10" s="1"/>
  <c r="AD6" i="10"/>
  <c r="AL6" i="10" s="1"/>
  <c r="AC7" i="10"/>
  <c r="AC6" i="10"/>
  <c r="AO4" i="10" l="1"/>
  <c r="AF4" i="10"/>
  <c r="AF9" i="10"/>
  <c r="AG9" i="10"/>
  <c r="AK9" i="10"/>
  <c r="AO9" i="10" s="1"/>
  <c r="AG8" i="10"/>
  <c r="AG10" i="10"/>
  <c r="AG4" i="10"/>
  <c r="AF8" i="10"/>
  <c r="AF10" i="10"/>
  <c r="AG5" i="10"/>
  <c r="AF5" i="10"/>
  <c r="AN8" i="10"/>
  <c r="AO8" i="10"/>
  <c r="AF7" i="10"/>
  <c r="AG7" i="10"/>
  <c r="AK7" i="10"/>
  <c r="AF6" i="10"/>
  <c r="AG6" i="10"/>
  <c r="AO10" i="10"/>
  <c r="AN10" i="10"/>
  <c r="AN4" i="10" l="1"/>
  <c r="AN9" i="10"/>
  <c r="AN5" i="10"/>
  <c r="AO5" i="10"/>
  <c r="AO7" i="10"/>
  <c r="AN7" i="10"/>
  <c r="AN6" i="10"/>
  <c r="AO6" i="10"/>
  <c r="AP12" i="10" l="1"/>
  <c r="AP13" i="10"/>
  <c r="AP11" i="10"/>
  <c r="AP15" i="10"/>
  <c r="AP14" i="10"/>
  <c r="AP17" i="10"/>
  <c r="AP18" i="10"/>
  <c r="AP19" i="10"/>
  <c r="AP16" i="10"/>
  <c r="AP20" i="10"/>
  <c r="AP21" i="10"/>
  <c r="AP23" i="10"/>
  <c r="AP24" i="10"/>
  <c r="AP25" i="10"/>
  <c r="AP22" i="10"/>
  <c r="AP26" i="10"/>
  <c r="AP28" i="10"/>
  <c r="AP29" i="10"/>
  <c r="AP30" i="10"/>
  <c r="AP31" i="10"/>
  <c r="AP32" i="10"/>
  <c r="AP33" i="10"/>
  <c r="AP34" i="10"/>
  <c r="AP35" i="10"/>
  <c r="AP36" i="10"/>
  <c r="AP37" i="10"/>
  <c r="AP38" i="10"/>
  <c r="AP39" i="10"/>
  <c r="AP40" i="10"/>
  <c r="AP41" i="10"/>
  <c r="AP42" i="10"/>
  <c r="AP43" i="10"/>
  <c r="AP44" i="10"/>
  <c r="AP45" i="10"/>
  <c r="AP46" i="10"/>
  <c r="AP47" i="10"/>
  <c r="AP48" i="10"/>
  <c r="AQ12" i="10"/>
  <c r="AR12" i="10"/>
  <c r="AT12" i="10"/>
  <c r="AU12" i="10" s="1"/>
  <c r="AW12" i="10" s="1"/>
  <c r="AQ13" i="10"/>
  <c r="AR13" i="10"/>
  <c r="AT13" i="10"/>
  <c r="AU13" i="10" s="1"/>
  <c r="AW13" i="10" s="1"/>
  <c r="AQ11" i="10"/>
  <c r="AR11" i="10"/>
  <c r="AT11" i="10"/>
  <c r="AU11" i="10" s="1"/>
  <c r="AW11" i="10" s="1"/>
  <c r="AQ15" i="10"/>
  <c r="AR15" i="10"/>
  <c r="AT15" i="10"/>
  <c r="AU15" i="10" s="1"/>
  <c r="AW15" i="10" s="1"/>
  <c r="AQ14" i="10"/>
  <c r="AU14" i="10"/>
  <c r="AW14" i="10" s="1"/>
  <c r="AQ17" i="10"/>
  <c r="AR17" i="10"/>
  <c r="AT17" i="10"/>
  <c r="AU17" i="10" s="1"/>
  <c r="AW17" i="10" s="1"/>
  <c r="AQ18" i="10"/>
  <c r="AR18" i="10"/>
  <c r="AT18" i="10"/>
  <c r="AU18" i="10" s="1"/>
  <c r="AW18" i="10" s="1"/>
  <c r="AQ19" i="10"/>
  <c r="AR19" i="10"/>
  <c r="AT19" i="10"/>
  <c r="AU19" i="10" s="1"/>
  <c r="AW19" i="10" s="1"/>
  <c r="AQ16" i="10"/>
  <c r="AR16" i="10"/>
  <c r="AT16" i="10"/>
  <c r="AU16" i="10" s="1"/>
  <c r="AW16" i="10" s="1"/>
  <c r="AQ20" i="10"/>
  <c r="AU20" i="10"/>
  <c r="AW20" i="10" s="1"/>
  <c r="AQ21" i="10"/>
  <c r="AR21" i="10"/>
  <c r="AT21" i="10"/>
  <c r="AU21" i="10" s="1"/>
  <c r="AW21" i="10" s="1"/>
  <c r="AQ23" i="10"/>
  <c r="AR23" i="10"/>
  <c r="AT23" i="10"/>
  <c r="AU23" i="10" s="1"/>
  <c r="AW23" i="10" s="1"/>
  <c r="AQ24" i="10"/>
  <c r="AR24" i="10"/>
  <c r="AT24" i="10"/>
  <c r="AU24" i="10" s="1"/>
  <c r="AW24" i="10" s="1"/>
  <c r="AQ25" i="10"/>
  <c r="AR25" i="10"/>
  <c r="AT25" i="10"/>
  <c r="AU25" i="10" s="1"/>
  <c r="AW25" i="10" s="1"/>
  <c r="AQ22" i="10"/>
  <c r="AR22" i="10"/>
  <c r="AT22" i="10"/>
  <c r="AU22" i="10" s="1"/>
  <c r="AW22" i="10" s="1"/>
  <c r="AQ26" i="10"/>
  <c r="AQ27" i="10" s="1"/>
  <c r="AS27" i="10" s="1"/>
  <c r="AV27" i="10" s="1"/>
  <c r="AX27" i="10" s="1"/>
  <c r="AU26" i="10"/>
  <c r="AW26" i="10" s="1"/>
  <c r="AQ28" i="10"/>
  <c r="AR28" i="10"/>
  <c r="AT28" i="10"/>
  <c r="AU28" i="10" s="1"/>
  <c r="AW28" i="10" s="1"/>
  <c r="AQ29" i="10"/>
  <c r="AU29" i="10"/>
  <c r="AW29" i="10" s="1"/>
  <c r="AQ30" i="10"/>
  <c r="AR30" i="10"/>
  <c r="AT30" i="10"/>
  <c r="AU30" i="10" s="1"/>
  <c r="AW30" i="10" s="1"/>
  <c r="AQ31" i="10"/>
  <c r="AR31" i="10"/>
  <c r="AT31" i="10"/>
  <c r="AU31" i="10" s="1"/>
  <c r="AW31" i="10" s="1"/>
  <c r="AQ32" i="10"/>
  <c r="AU32" i="10"/>
  <c r="AW32" i="10" s="1"/>
  <c r="AQ33" i="10"/>
  <c r="AU33" i="10"/>
  <c r="AW33" i="10" s="1"/>
  <c r="AQ34" i="10"/>
  <c r="AS34" i="10" s="1"/>
  <c r="AV34" i="10" s="1"/>
  <c r="AX34" i="10" s="1"/>
  <c r="AU34" i="10"/>
  <c r="AW34" i="10" s="1"/>
  <c r="AQ35" i="10"/>
  <c r="AR35" i="10"/>
  <c r="AT35" i="10"/>
  <c r="AU35" i="10" s="1"/>
  <c r="AW35" i="10" s="1"/>
  <c r="AQ36" i="10"/>
  <c r="AR36" i="10"/>
  <c r="AT36" i="10"/>
  <c r="AU36" i="10" s="1"/>
  <c r="AW36" i="10" s="1"/>
  <c r="AQ37" i="10"/>
  <c r="AU37" i="10"/>
  <c r="AW37" i="10" s="1"/>
  <c r="AQ38" i="10"/>
  <c r="AU38" i="10"/>
  <c r="AW38" i="10" s="1"/>
  <c r="AQ39" i="10"/>
  <c r="AR39" i="10"/>
  <c r="AT39" i="10"/>
  <c r="AU39" i="10" s="1"/>
  <c r="AW39" i="10" s="1"/>
  <c r="AQ40" i="10"/>
  <c r="AR40" i="10"/>
  <c r="AT40" i="10"/>
  <c r="AU40" i="10" s="1"/>
  <c r="AW40" i="10" s="1"/>
  <c r="AQ41" i="10"/>
  <c r="AT41" i="10"/>
  <c r="AU41" i="10" s="1"/>
  <c r="AW41" i="10" s="1"/>
  <c r="AQ42" i="10"/>
  <c r="AU42" i="10"/>
  <c r="AW42" i="10" s="1"/>
  <c r="AQ43" i="10"/>
  <c r="AR43" i="10"/>
  <c r="AT43" i="10"/>
  <c r="AU43" i="10" s="1"/>
  <c r="AW43" i="10" s="1"/>
  <c r="AQ44" i="10"/>
  <c r="AR44" i="10"/>
  <c r="AT44" i="10"/>
  <c r="AU44" i="10" s="1"/>
  <c r="AW44" i="10" s="1"/>
  <c r="AQ45" i="10"/>
  <c r="AU45" i="10"/>
  <c r="AW45" i="10" s="1"/>
  <c r="AQ46" i="10"/>
  <c r="AU46" i="10"/>
  <c r="AW46" i="10" s="1"/>
  <c r="AQ47" i="10"/>
  <c r="AR47" i="10"/>
  <c r="AT47" i="10"/>
  <c r="AU47" i="10" s="1"/>
  <c r="AW47" i="10" s="1"/>
  <c r="AQ48" i="10"/>
  <c r="AU48" i="10"/>
  <c r="AW48" i="10" s="1"/>
  <c r="AB33" i="10"/>
  <c r="AB15" i="10"/>
  <c r="AB41" i="10"/>
  <c r="AB34" i="10"/>
  <c r="AB35" i="10"/>
  <c r="AB36" i="10"/>
  <c r="AB37" i="10"/>
  <c r="AB38" i="10"/>
  <c r="AB39" i="10"/>
  <c r="AB40" i="10"/>
  <c r="AB42" i="10"/>
  <c r="AB43" i="10"/>
  <c r="AB44" i="10"/>
  <c r="AB46" i="10"/>
  <c r="AB47" i="10"/>
  <c r="AB48" i="10"/>
  <c r="AB25" i="10"/>
  <c r="AB21" i="10"/>
  <c r="AB20" i="10"/>
  <c r="AB16" i="10"/>
  <c r="AB14" i="10"/>
  <c r="AB12" i="10"/>
  <c r="AB13" i="10"/>
  <c r="AB11" i="10"/>
  <c r="AB17" i="10"/>
  <c r="AB18" i="10"/>
  <c r="AB19" i="10"/>
  <c r="AB23" i="10"/>
  <c r="AB24" i="10"/>
  <c r="AB28" i="10"/>
  <c r="Q48" i="10"/>
  <c r="L48" i="10" s="1"/>
  <c r="Q47" i="10"/>
  <c r="L47" i="10" s="1"/>
  <c r="Q46" i="10"/>
  <c r="P46" i="10" s="1"/>
  <c r="Q45" i="10"/>
  <c r="P45" i="10" s="1"/>
  <c r="Q44" i="10"/>
  <c r="L44" i="10" s="1"/>
  <c r="Q43" i="10"/>
  <c r="L43" i="10" s="1"/>
  <c r="Q42" i="10"/>
  <c r="P42" i="10" s="1"/>
  <c r="Q41" i="10"/>
  <c r="P41" i="10" s="1"/>
  <c r="Q40" i="10"/>
  <c r="L40" i="10" s="1"/>
  <c r="Q39" i="10"/>
  <c r="L39" i="10" s="1"/>
  <c r="Q38" i="10"/>
  <c r="P38" i="10" s="1"/>
  <c r="Q37" i="10"/>
  <c r="P37" i="10" s="1"/>
  <c r="Q36" i="10"/>
  <c r="L36" i="10" s="1"/>
  <c r="Q35" i="10"/>
  <c r="L35" i="10" s="1"/>
  <c r="Q34" i="10"/>
  <c r="P34" i="10" s="1"/>
  <c r="Q33" i="10"/>
  <c r="P33" i="10" s="1"/>
  <c r="Q32" i="10"/>
  <c r="L32" i="10" s="1"/>
  <c r="Q31" i="10"/>
  <c r="Q30" i="10"/>
  <c r="P30" i="10" s="1"/>
  <c r="Q29" i="10"/>
  <c r="J29" i="10" s="1"/>
  <c r="AI29" i="10" s="1"/>
  <c r="Q28" i="10"/>
  <c r="P28" i="10" s="1"/>
  <c r="Q26" i="10"/>
  <c r="Q22" i="10"/>
  <c r="L22" i="10" s="1"/>
  <c r="Q25" i="10"/>
  <c r="L25" i="10" s="1"/>
  <c r="Q24" i="10"/>
  <c r="P24" i="10" s="1"/>
  <c r="Q23" i="10"/>
  <c r="L23" i="10" s="1"/>
  <c r="Q21" i="10"/>
  <c r="P21" i="10" s="1"/>
  <c r="Q20" i="10"/>
  <c r="J20" i="10" s="1"/>
  <c r="AI20" i="10" s="1"/>
  <c r="Q16" i="10"/>
  <c r="L16" i="10" s="1"/>
  <c r="Q19" i="10"/>
  <c r="L19" i="10" s="1"/>
  <c r="Q18" i="10"/>
  <c r="P18" i="10" s="1"/>
  <c r="Q17" i="10"/>
  <c r="L17" i="10" s="1"/>
  <c r="Q14" i="10"/>
  <c r="P14" i="10" s="1"/>
  <c r="Q15" i="10"/>
  <c r="J15" i="10" s="1"/>
  <c r="AI15" i="10" s="1"/>
  <c r="Q11" i="10"/>
  <c r="L11" i="10" s="1"/>
  <c r="Q13" i="10"/>
  <c r="J13" i="10" s="1"/>
  <c r="AI13" i="10" s="1"/>
  <c r="Q12" i="10"/>
  <c r="P12" i="10" s="1"/>
  <c r="J26" i="10" l="1"/>
  <c r="AI26" i="10" s="1"/>
  <c r="N26" i="10"/>
  <c r="AS36" i="10"/>
  <c r="AV36" i="10" s="1"/>
  <c r="AX36" i="10" s="1"/>
  <c r="AS23" i="10"/>
  <c r="AV23" i="10" s="1"/>
  <c r="AX23" i="10" s="1"/>
  <c r="AS29" i="10"/>
  <c r="AV29" i="10" s="1"/>
  <c r="AX29" i="10" s="1"/>
  <c r="AS48" i="10"/>
  <c r="AV48" i="10" s="1"/>
  <c r="AX48" i="10" s="1"/>
  <c r="AS14" i="10"/>
  <c r="AV14" i="10" s="1"/>
  <c r="AX14" i="10" s="1"/>
  <c r="AS45" i="10"/>
  <c r="AV45" i="10" s="1"/>
  <c r="AX45" i="10" s="1"/>
  <c r="AS17" i="10"/>
  <c r="AV17" i="10" s="1"/>
  <c r="AX17" i="10" s="1"/>
  <c r="AS33" i="10"/>
  <c r="AV33" i="10" s="1"/>
  <c r="AX33" i="10" s="1"/>
  <c r="N42" i="10"/>
  <c r="AS40" i="10"/>
  <c r="AV40" i="10" s="1"/>
  <c r="AX40" i="10" s="1"/>
  <c r="AS30" i="10"/>
  <c r="AV30" i="10" s="1"/>
  <c r="AX30" i="10" s="1"/>
  <c r="AS38" i="10"/>
  <c r="AV38" i="10" s="1"/>
  <c r="AX38" i="10" s="1"/>
  <c r="AS25" i="10"/>
  <c r="AV25" i="10" s="1"/>
  <c r="AX25" i="10" s="1"/>
  <c r="AS47" i="10"/>
  <c r="AV47" i="10" s="1"/>
  <c r="AX47" i="10" s="1"/>
  <c r="AS42" i="10"/>
  <c r="AV42" i="10" s="1"/>
  <c r="AX42" i="10" s="1"/>
  <c r="AS32" i="10"/>
  <c r="AV32" i="10" s="1"/>
  <c r="AX32" i="10" s="1"/>
  <c r="AS11" i="10"/>
  <c r="AV11" i="10" s="1"/>
  <c r="AX11" i="10" s="1"/>
  <c r="AS37" i="10"/>
  <c r="AV37" i="10" s="1"/>
  <c r="AX37" i="10" s="1"/>
  <c r="AS24" i="10"/>
  <c r="AV24" i="10" s="1"/>
  <c r="AX24" i="10" s="1"/>
  <c r="J17" i="10"/>
  <c r="AI17" i="10" s="1"/>
  <c r="AS41" i="10"/>
  <c r="AV41" i="10" s="1"/>
  <c r="AX41" i="10" s="1"/>
  <c r="AS20" i="10"/>
  <c r="AV20" i="10" s="1"/>
  <c r="AX20" i="10" s="1"/>
  <c r="AS13" i="10"/>
  <c r="AV13" i="10" s="1"/>
  <c r="AX13" i="10" s="1"/>
  <c r="AS43" i="10"/>
  <c r="AV43" i="10" s="1"/>
  <c r="AX43" i="10" s="1"/>
  <c r="AS28" i="10"/>
  <c r="AV28" i="10" s="1"/>
  <c r="AX28" i="10" s="1"/>
  <c r="AS15" i="10"/>
  <c r="AV15" i="10" s="1"/>
  <c r="AX15" i="10" s="1"/>
  <c r="AS19" i="10"/>
  <c r="AV19" i="10" s="1"/>
  <c r="AX19" i="10" s="1"/>
  <c r="AS12" i="10"/>
  <c r="AV12" i="10" s="1"/>
  <c r="AX12" i="10" s="1"/>
  <c r="AS44" i="10"/>
  <c r="AV44" i="10" s="1"/>
  <c r="AX44" i="10" s="1"/>
  <c r="AS26" i="10"/>
  <c r="AV26" i="10" s="1"/>
  <c r="AX26" i="10" s="1"/>
  <c r="H18" i="10"/>
  <c r="J32" i="10"/>
  <c r="AI32" i="10" s="1"/>
  <c r="AS46" i="10"/>
  <c r="AV46" i="10" s="1"/>
  <c r="AX46" i="10" s="1"/>
  <c r="AS31" i="10"/>
  <c r="AV31" i="10" s="1"/>
  <c r="AX31" i="10" s="1"/>
  <c r="AS18" i="10"/>
  <c r="AV18" i="10" s="1"/>
  <c r="N18" i="10"/>
  <c r="AS35" i="10"/>
  <c r="AV35" i="10" s="1"/>
  <c r="AX35" i="10" s="1"/>
  <c r="AS16" i="10"/>
  <c r="AV16" i="10" s="1"/>
  <c r="AX16" i="10" s="1"/>
  <c r="J33" i="10"/>
  <c r="AI33" i="10" s="1"/>
  <c r="AS39" i="10"/>
  <c r="AV39" i="10" s="1"/>
  <c r="AX39" i="10" s="1"/>
  <c r="AS22" i="10"/>
  <c r="AV22" i="10" s="1"/>
  <c r="AX22" i="10" s="1"/>
  <c r="AS21" i="10"/>
  <c r="AV21" i="10" s="1"/>
  <c r="AX21" i="10" s="1"/>
  <c r="H12" i="10"/>
  <c r="N36" i="10"/>
  <c r="P36" i="10"/>
  <c r="J41" i="10"/>
  <c r="AI41" i="10" s="1"/>
  <c r="N12" i="10"/>
  <c r="N24" i="10"/>
  <c r="J45" i="10"/>
  <c r="AI45" i="10" s="1"/>
  <c r="N21" i="10"/>
  <c r="N11" i="10"/>
  <c r="N28" i="10"/>
  <c r="J44" i="10"/>
  <c r="AI44" i="10" s="1"/>
  <c r="J36" i="10"/>
  <c r="AI36" i="10" s="1"/>
  <c r="N44" i="10"/>
  <c r="P48" i="10"/>
  <c r="P44" i="10"/>
  <c r="N34" i="10"/>
  <c r="H38" i="10"/>
  <c r="N46" i="10"/>
  <c r="J11" i="10"/>
  <c r="AI11" i="10" s="1"/>
  <c r="J16" i="10"/>
  <c r="AI16" i="10" s="1"/>
  <c r="H30" i="10"/>
  <c r="N38" i="10"/>
  <c r="J25" i="10"/>
  <c r="AI25" i="10" s="1"/>
  <c r="N32" i="10"/>
  <c r="N14" i="10"/>
  <c r="P16" i="10"/>
  <c r="H28" i="10"/>
  <c r="P32" i="10"/>
  <c r="H42" i="10"/>
  <c r="N48" i="10"/>
  <c r="J22" i="10"/>
  <c r="AI22" i="10" s="1"/>
  <c r="P11" i="10"/>
  <c r="N22" i="10"/>
  <c r="N30" i="10"/>
  <c r="N40" i="10"/>
  <c r="H46" i="10"/>
  <c r="J40" i="10"/>
  <c r="AI40" i="10" s="1"/>
  <c r="H21" i="10"/>
  <c r="H24" i="10"/>
  <c r="P22" i="10"/>
  <c r="H34" i="10"/>
  <c r="J37" i="10"/>
  <c r="AI37" i="10" s="1"/>
  <c r="P40" i="10"/>
  <c r="J46" i="10"/>
  <c r="AI46" i="10" s="1"/>
  <c r="H14" i="10"/>
  <c r="N16" i="10"/>
  <c r="H31" i="10"/>
  <c r="P31" i="10"/>
  <c r="N31" i="10"/>
  <c r="H19" i="10"/>
  <c r="P19" i="10"/>
  <c r="N19" i="10"/>
  <c r="H17" i="10"/>
  <c r="P17" i="10"/>
  <c r="N17" i="10"/>
  <c r="P26" i="10"/>
  <c r="P27" i="10" s="1"/>
  <c r="L26" i="10"/>
  <c r="H26" i="10"/>
  <c r="P29" i="10"/>
  <c r="N29" i="10"/>
  <c r="L29" i="10"/>
  <c r="H29" i="10"/>
  <c r="J23" i="10"/>
  <c r="AI23" i="10" s="1"/>
  <c r="J35" i="10"/>
  <c r="AI35" i="10" s="1"/>
  <c r="H35" i="10"/>
  <c r="P35" i="10"/>
  <c r="N35" i="10"/>
  <c r="P13" i="10"/>
  <c r="N13" i="10"/>
  <c r="L13" i="10"/>
  <c r="H13" i="10"/>
  <c r="P15" i="10"/>
  <c r="N15" i="10"/>
  <c r="L15" i="10"/>
  <c r="H15" i="10"/>
  <c r="H25" i="10"/>
  <c r="P25" i="10"/>
  <c r="N25" i="10"/>
  <c r="H23" i="10"/>
  <c r="P23" i="10"/>
  <c r="N23" i="10"/>
  <c r="J47" i="10"/>
  <c r="AI47" i="10" s="1"/>
  <c r="H47" i="10"/>
  <c r="P47" i="10"/>
  <c r="N47" i="10"/>
  <c r="J31" i="10"/>
  <c r="AI31" i="10" s="1"/>
  <c r="J39" i="10"/>
  <c r="AI39" i="10" s="1"/>
  <c r="H39" i="10"/>
  <c r="P39" i="10"/>
  <c r="N39" i="10"/>
  <c r="J43" i="10"/>
  <c r="AI43" i="10" s="1"/>
  <c r="H43" i="10"/>
  <c r="P43" i="10"/>
  <c r="N43" i="10"/>
  <c r="J19" i="10"/>
  <c r="AI19" i="10" s="1"/>
  <c r="P20" i="10"/>
  <c r="N20" i="10"/>
  <c r="L20" i="10"/>
  <c r="H20" i="10"/>
  <c r="L31" i="10"/>
  <c r="J12" i="10"/>
  <c r="AI12" i="10" s="1"/>
  <c r="J14" i="10"/>
  <c r="AI14" i="10" s="1"/>
  <c r="J18" i="10"/>
  <c r="AI18" i="10" s="1"/>
  <c r="J21" i="10"/>
  <c r="AI21" i="10" s="1"/>
  <c r="J24" i="10"/>
  <c r="AI24" i="10" s="1"/>
  <c r="J28" i="10"/>
  <c r="AI28" i="10" s="1"/>
  <c r="J30" i="10"/>
  <c r="AI30" i="10" s="1"/>
  <c r="J34" i="10"/>
  <c r="AI34" i="10" s="1"/>
  <c r="J38" i="10"/>
  <c r="AI38" i="10" s="1"/>
  <c r="J42" i="10"/>
  <c r="AI42" i="10" s="1"/>
  <c r="L12" i="10"/>
  <c r="L14" i="10"/>
  <c r="L18" i="10"/>
  <c r="L21" i="10"/>
  <c r="L24" i="10"/>
  <c r="L28" i="10"/>
  <c r="L30" i="10"/>
  <c r="H33" i="10"/>
  <c r="L34" i="10"/>
  <c r="H37" i="10"/>
  <c r="L38" i="10"/>
  <c r="H41" i="10"/>
  <c r="L42" i="10"/>
  <c r="H45" i="10"/>
  <c r="L46" i="10"/>
  <c r="H11" i="10"/>
  <c r="H16" i="10"/>
  <c r="H22" i="10"/>
  <c r="H32" i="10"/>
  <c r="L33" i="10"/>
  <c r="H36" i="10"/>
  <c r="L37" i="10"/>
  <c r="H40" i="10"/>
  <c r="L41" i="10"/>
  <c r="H44" i="10"/>
  <c r="L45" i="10"/>
  <c r="H48" i="10"/>
  <c r="N33" i="10"/>
  <c r="N37" i="10"/>
  <c r="N41" i="10"/>
  <c r="N45" i="10"/>
  <c r="J48" i="10"/>
  <c r="AI48" i="10" s="1"/>
  <c r="AD27" i="10" l="1"/>
  <c r="AL27" i="10" s="1"/>
  <c r="AC27" i="10"/>
  <c r="AE27" i="10"/>
  <c r="AM27" i="10" s="1"/>
  <c r="AC48" i="10"/>
  <c r="AD48" i="10"/>
  <c r="AL48" i="10" s="1"/>
  <c r="AE48" i="10"/>
  <c r="AM48" i="10" s="1"/>
  <c r="AD39" i="10"/>
  <c r="AL39" i="10" s="1"/>
  <c r="AE39" i="10"/>
  <c r="AM39" i="10" s="1"/>
  <c r="AC39" i="10"/>
  <c r="AE26" i="10"/>
  <c r="AM26" i="10" s="1"/>
  <c r="AC26" i="10"/>
  <c r="AD26" i="10"/>
  <c r="AL26" i="10" s="1"/>
  <c r="AC18" i="10"/>
  <c r="AD18" i="10"/>
  <c r="AL18" i="10" s="1"/>
  <c r="AE18" i="10"/>
  <c r="AM18" i="10" s="1"/>
  <c r="AC22" i="10"/>
  <c r="AD22" i="10"/>
  <c r="AL22" i="10" s="1"/>
  <c r="AE22" i="10"/>
  <c r="AM22" i="10" s="1"/>
  <c r="AC20" i="10"/>
  <c r="AD20" i="10"/>
  <c r="AL20" i="10" s="1"/>
  <c r="AE20" i="10"/>
  <c r="AM20" i="10" s="1"/>
  <c r="AC23" i="10"/>
  <c r="AD23" i="10"/>
  <c r="AL23" i="10" s="1"/>
  <c r="AE23" i="10"/>
  <c r="AM23" i="10" s="1"/>
  <c r="AC13" i="10"/>
  <c r="AD13" i="10"/>
  <c r="AL13" i="10" s="1"/>
  <c r="AE13" i="10"/>
  <c r="AM13" i="10" s="1"/>
  <c r="AE44" i="10"/>
  <c r="AM44" i="10" s="1"/>
  <c r="AD44" i="10"/>
  <c r="AL44" i="10" s="1"/>
  <c r="AC44" i="10"/>
  <c r="AE11" i="10"/>
  <c r="AM11" i="10" s="1"/>
  <c r="AD11" i="10"/>
  <c r="AL11" i="10" s="1"/>
  <c r="AC11" i="10"/>
  <c r="AC42" i="10"/>
  <c r="AD42" i="10"/>
  <c r="AL42" i="10" s="1"/>
  <c r="AE42" i="10"/>
  <c r="AM42" i="10" s="1"/>
  <c r="AC43" i="10"/>
  <c r="AD43" i="10"/>
  <c r="AL43" i="10" s="1"/>
  <c r="AE43" i="10"/>
  <c r="AM43" i="10" s="1"/>
  <c r="AD25" i="10"/>
  <c r="AL25" i="10" s="1"/>
  <c r="AE25" i="10"/>
  <c r="AM25" i="10" s="1"/>
  <c r="AC25" i="10"/>
  <c r="AC29" i="10"/>
  <c r="AD29" i="10"/>
  <c r="AL29" i="10" s="1"/>
  <c r="AE29" i="10"/>
  <c r="AM29" i="10" s="1"/>
  <c r="AE24" i="10"/>
  <c r="AM24" i="10" s="1"/>
  <c r="AD24" i="10"/>
  <c r="AL24" i="10" s="1"/>
  <c r="AC24" i="10"/>
  <c r="AC38" i="10"/>
  <c r="AD38" i="10"/>
  <c r="AL38" i="10" s="1"/>
  <c r="AE38" i="10"/>
  <c r="AM38" i="10" s="1"/>
  <c r="AC32" i="10"/>
  <c r="AD32" i="10"/>
  <c r="AL32" i="10" s="1"/>
  <c r="AE32" i="10"/>
  <c r="AM32" i="10" s="1"/>
  <c r="AD46" i="10"/>
  <c r="AL46" i="10" s="1"/>
  <c r="AC46" i="10"/>
  <c r="AE46" i="10"/>
  <c r="AM46" i="10" s="1"/>
  <c r="AE19" i="10"/>
  <c r="AM19" i="10" s="1"/>
  <c r="AC19" i="10"/>
  <c r="AD19" i="10"/>
  <c r="AL19" i="10" s="1"/>
  <c r="AC34" i="10"/>
  <c r="AD34" i="10"/>
  <c r="AL34" i="10" s="1"/>
  <c r="AE34" i="10"/>
  <c r="AM34" i="10" s="1"/>
  <c r="AD47" i="10"/>
  <c r="AL47" i="10" s="1"/>
  <c r="AE47" i="10"/>
  <c r="AM47" i="10" s="1"/>
  <c r="AC47" i="10"/>
  <c r="AC15" i="10"/>
  <c r="AD15" i="10"/>
  <c r="AL15" i="10" s="1"/>
  <c r="AE15" i="10"/>
  <c r="AM15" i="10" s="1"/>
  <c r="AD31" i="10"/>
  <c r="AL31" i="10" s="1"/>
  <c r="AE31" i="10"/>
  <c r="AM31" i="10" s="1"/>
  <c r="AC31" i="10"/>
  <c r="AE21" i="10"/>
  <c r="AM21" i="10" s="1"/>
  <c r="AD21" i="10"/>
  <c r="AL21" i="10" s="1"/>
  <c r="AC21" i="10"/>
  <c r="AC28" i="10"/>
  <c r="AD28" i="10"/>
  <c r="AL28" i="10" s="1"/>
  <c r="AE28" i="10"/>
  <c r="AM28" i="10" s="1"/>
  <c r="AC16" i="10"/>
  <c r="AD16" i="10"/>
  <c r="AL16" i="10" s="1"/>
  <c r="AE16" i="10"/>
  <c r="AM16" i="10" s="1"/>
  <c r="AC12" i="10"/>
  <c r="AD12" i="10"/>
  <c r="AL12" i="10" s="1"/>
  <c r="AE12" i="10"/>
  <c r="AM12" i="10" s="1"/>
  <c r="AE36" i="10"/>
  <c r="AM36" i="10" s="1"/>
  <c r="AD36" i="10"/>
  <c r="AL36" i="10" s="1"/>
  <c r="AC36" i="10"/>
  <c r="AC35" i="10"/>
  <c r="AD35" i="10"/>
  <c r="AL35" i="10" s="1"/>
  <c r="AE35" i="10"/>
  <c r="AM35" i="10" s="1"/>
  <c r="AD17" i="10"/>
  <c r="AL17" i="10" s="1"/>
  <c r="AE17" i="10"/>
  <c r="AM17" i="10" s="1"/>
  <c r="AC17" i="10"/>
  <c r="AE14" i="10"/>
  <c r="AM14" i="10" s="1"/>
  <c r="AC14" i="10"/>
  <c r="AD14" i="10"/>
  <c r="AL14" i="10" s="1"/>
  <c r="AC30" i="10"/>
  <c r="AD30" i="10"/>
  <c r="AL30" i="10" s="1"/>
  <c r="AE30" i="10"/>
  <c r="AM30" i="10" s="1"/>
  <c r="AE41" i="10"/>
  <c r="AM41" i="10" s="1"/>
  <c r="AD41" i="10"/>
  <c r="AL41" i="10" s="1"/>
  <c r="AC41" i="10"/>
  <c r="AC37" i="10"/>
  <c r="AD37" i="10"/>
  <c r="AL37" i="10" s="1"/>
  <c r="AE37" i="10"/>
  <c r="AM37" i="10" s="1"/>
  <c r="AC40" i="10"/>
  <c r="AD40" i="10"/>
  <c r="AL40" i="10" s="1"/>
  <c r="AE40" i="10"/>
  <c r="AM40" i="10" s="1"/>
  <c r="AE33" i="10"/>
  <c r="AM33" i="10" s="1"/>
  <c r="AD33" i="10"/>
  <c r="AL33" i="10" s="1"/>
  <c r="AC33" i="10"/>
  <c r="AC45" i="10"/>
  <c r="AD45" i="10"/>
  <c r="AL45" i="10" s="1"/>
  <c r="AE45" i="10"/>
  <c r="AM45" i="10" s="1"/>
  <c r="AK27" i="10" l="1"/>
  <c r="AG27" i="10"/>
  <c r="AF27" i="10"/>
  <c r="AG35" i="10"/>
  <c r="AK35" i="10"/>
  <c r="AF35" i="10"/>
  <c r="AK19" i="10"/>
  <c r="AF19" i="10"/>
  <c r="AG19" i="10"/>
  <c r="AF29" i="10"/>
  <c r="AG29" i="10"/>
  <c r="AK29" i="10"/>
  <c r="AF20" i="10"/>
  <c r="AG20" i="10"/>
  <c r="AK20" i="10"/>
  <c r="AF26" i="10"/>
  <c r="AG26" i="10"/>
  <c r="AK26" i="10"/>
  <c r="AF33" i="10"/>
  <c r="AG33" i="10"/>
  <c r="AK33" i="10"/>
  <c r="AF37" i="10"/>
  <c r="AG37" i="10"/>
  <c r="AK37" i="10"/>
  <c r="AG14" i="10"/>
  <c r="AK14" i="10"/>
  <c r="AF14" i="10"/>
  <c r="AK36" i="10"/>
  <c r="AG36" i="10"/>
  <c r="AF36" i="10"/>
  <c r="AK16" i="10"/>
  <c r="AG16" i="10"/>
  <c r="AF16" i="10"/>
  <c r="AK47" i="10"/>
  <c r="AF47" i="10"/>
  <c r="AG47" i="10"/>
  <c r="AF25" i="10"/>
  <c r="AG25" i="10"/>
  <c r="AK25" i="10"/>
  <c r="AK42" i="10"/>
  <c r="AF42" i="10"/>
  <c r="AG42" i="10"/>
  <c r="AK31" i="10"/>
  <c r="AG31" i="10"/>
  <c r="AF31" i="10"/>
  <c r="AF17" i="10"/>
  <c r="AG17" i="10"/>
  <c r="AK17" i="10"/>
  <c r="AF46" i="10"/>
  <c r="AK46" i="10"/>
  <c r="AG46" i="10"/>
  <c r="AG24" i="10"/>
  <c r="AK24" i="10"/>
  <c r="AF24" i="10"/>
  <c r="AK22" i="10"/>
  <c r="AF22" i="10"/>
  <c r="AG22" i="10"/>
  <c r="AF45" i="10"/>
  <c r="AG45" i="10"/>
  <c r="AK45" i="10"/>
  <c r="AK15" i="10"/>
  <c r="AF15" i="10"/>
  <c r="AG15" i="10"/>
  <c r="AK28" i="10"/>
  <c r="AG28" i="10"/>
  <c r="AF28" i="10"/>
  <c r="AF41" i="10"/>
  <c r="AG41" i="10"/>
  <c r="AK41" i="10"/>
  <c r="AF11" i="10"/>
  <c r="AG11" i="10"/>
  <c r="AK11" i="10"/>
  <c r="AF21" i="10"/>
  <c r="AK21" i="10"/>
  <c r="AG21" i="10"/>
  <c r="AK44" i="10"/>
  <c r="AG44" i="10"/>
  <c r="AF44" i="10"/>
  <c r="AK23" i="10"/>
  <c r="AF23" i="10"/>
  <c r="AG23" i="10"/>
  <c r="AF13" i="10"/>
  <c r="AG13" i="10"/>
  <c r="AK13" i="10"/>
  <c r="AG40" i="10"/>
  <c r="AK40" i="10"/>
  <c r="AF40" i="10"/>
  <c r="AK12" i="10"/>
  <c r="AG12" i="10"/>
  <c r="AF12" i="10"/>
  <c r="AK34" i="10"/>
  <c r="AF34" i="10"/>
  <c r="AG34" i="10"/>
  <c r="AF43" i="10"/>
  <c r="AG43" i="10"/>
  <c r="AK43" i="10"/>
  <c r="AK18" i="10"/>
  <c r="AF18" i="10"/>
  <c r="AG18" i="10"/>
  <c r="AF38" i="10"/>
  <c r="AG38" i="10"/>
  <c r="AK38" i="10"/>
  <c r="AK39" i="10"/>
  <c r="AF39" i="10"/>
  <c r="AG39" i="10"/>
  <c r="AF30" i="10"/>
  <c r="AG30" i="10"/>
  <c r="AK30" i="10"/>
  <c r="AG32" i="10"/>
  <c r="AK32" i="10"/>
  <c r="AF32" i="10"/>
  <c r="AG48" i="10"/>
  <c r="AK48" i="10"/>
  <c r="AF48" i="10"/>
  <c r="AN27" i="10" l="1"/>
  <c r="AO27" i="10"/>
  <c r="AN12" i="10"/>
  <c r="AO12" i="10"/>
  <c r="AN31" i="10"/>
  <c r="AO31" i="10"/>
  <c r="AN39" i="10"/>
  <c r="AO39" i="10"/>
  <c r="AN23" i="10"/>
  <c r="AO23" i="10"/>
  <c r="AO46" i="10"/>
  <c r="AN46" i="10"/>
  <c r="AN47" i="10"/>
  <c r="AO47" i="10"/>
  <c r="AN14" i="10"/>
  <c r="AO14" i="10"/>
  <c r="AN26" i="10"/>
  <c r="AO26" i="10"/>
  <c r="AO11" i="10"/>
  <c r="AN11" i="10"/>
  <c r="AN40" i="10"/>
  <c r="AO40" i="10"/>
  <c r="AN41" i="10"/>
  <c r="AO41" i="10"/>
  <c r="AN28" i="10"/>
  <c r="AO28" i="10"/>
  <c r="AN17" i="10"/>
  <c r="AO17" i="10"/>
  <c r="AO42" i="10"/>
  <c r="AN42" i="10"/>
  <c r="AN37" i="10"/>
  <c r="AO37" i="10"/>
  <c r="AN43" i="10"/>
  <c r="AO43" i="10"/>
  <c r="AN32" i="10"/>
  <c r="AO32" i="10"/>
  <c r="AO30" i="10"/>
  <c r="AN30" i="10"/>
  <c r="AN13" i="10"/>
  <c r="AO13" i="10"/>
  <c r="AN44" i="10"/>
  <c r="AO44" i="10"/>
  <c r="AO22" i="10"/>
  <c r="AN22" i="10"/>
  <c r="AN25" i="10"/>
  <c r="AO25" i="10"/>
  <c r="AN16" i="10"/>
  <c r="AO16" i="10"/>
  <c r="AN20" i="10"/>
  <c r="AO20" i="10"/>
  <c r="AN19" i="10"/>
  <c r="AO19" i="10"/>
  <c r="AO34" i="10"/>
  <c r="AN34" i="10"/>
  <c r="AO21" i="10"/>
  <c r="AN21" i="10"/>
  <c r="AN15" i="10"/>
  <c r="AO15" i="10"/>
  <c r="AN24" i="10"/>
  <c r="AO24" i="10"/>
  <c r="AN33" i="10"/>
  <c r="AO33" i="10"/>
  <c r="AN35" i="10"/>
  <c r="AO35" i="10"/>
  <c r="AO38" i="10"/>
  <c r="AN38" i="10"/>
  <c r="AN48" i="10"/>
  <c r="AO48" i="10"/>
  <c r="AO18" i="10"/>
  <c r="AN18" i="10"/>
  <c r="AN45" i="10"/>
  <c r="AO45" i="10"/>
  <c r="AN36" i="10"/>
  <c r="AO36" i="10"/>
  <c r="AN29" i="10"/>
  <c r="AO2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tc={35C5CED7-877A-4C30-9470-1A87811ACF0B}</author>
    <author>tc={DD16336D-2AA1-455C-81D6-F6C9749767CF}</author>
    <author>tc={31C98C06-3275-4FCB-B6FE-6D02FA7BA7AE}</author>
    <author>tc={E7DDF508-7D7D-4BAD-AE86-D4586C567ED4}</author>
    <author>tc={E1314D87-6521-441F-A5F8-413D1375D07B}</author>
    <author>tc={00AE6D01-C550-45A5-9475-CC1B3924DAE6}</author>
    <author>tc={317D7C31-6462-467E-B9CE-EEC0A8062717}</author>
    <author>tc={2D3D0EE2-8FD0-47EF-8B44-89942365E9CE}</author>
    <author>tc={65791BDE-92B5-4C00-9CAD-52B914A95A66}</author>
    <author>tc={0FDDFB0D-CAC5-4975-B1CA-F7AF95F65104}</author>
    <author>tc={50825B63-9A25-443D-8E6B-33505DF26152}</author>
  </authors>
  <commentList>
    <comment ref="AP4" authorId="0" shapeId="0" xr:uid="{35C5CED7-877A-4C30-9470-1A87811ACF0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https://en.wikipedia.org/wiki/Heat_of_combustion</t>
      </text>
    </comment>
    <comment ref="BG4" authorId="1" shapeId="0" xr:uid="{DD16336D-2AA1-455C-81D6-F6C9749767CF}">
      <text>
        <t>[Threaded comment]
Your version of Excel allows you to read this threaded comment; however, any edits to it will get removed if the file is opened in a newer version of Excel. Learn more: https://go.microsoft.com/fwlink/?linkid=870924
Comment:
    Unsure if this is measured or not: https://www.google.com/search?q=Wallner%2C+T.%2C+Ickes%2C+A.%2C+Lawyer%2C+K.+Analytical+assessment+of+alcohol+isomers+for+spark-ignition+engine+applications.+Proceedings+of+the+FISITA+2012+World+Automotive+Congress.+F2012-B01-004.+Beijing%2C+China.+November+27-30%2C+2012&amp;rlz=1C1GCEB_enUS860US860&amp;oq=Wallner%2C+T.%2C+Ickes%2C+A.%2C+Lawyer%2C+K.+Analytical+assessment+of+alcohol+isomers+for+spark-ignition+engine+applications.+Proceedings+of+the+FISITA+2012+World+Automotive+Congress.+F2012-B01-004.+Beijing%2C+China.+November+27-30%2C+2012&amp;aqs=chrome..69i57.207j0j7&amp;sourceid=chrome&amp;ie=UTF-8</t>
      </text>
    </comment>
    <comment ref="BW12" authorId="2" shapeId="0" xr:uid="{31C98C06-3275-4FCB-B6FE-6D02FA7BA7AE}">
      <text>
        <t>[Threaded comment]
Your version of Excel allows you to read this threaded comment; however, any edits to it will get removed if the file is opened in a newer version of Excel. Learn more: https://go.microsoft.com/fwlink/?linkid=870924
Comment:
    2-hexanol number</t>
      </text>
    </comment>
    <comment ref="BV19" authorId="3" shapeId="0" xr:uid="{E7DDF508-7D7D-4BAD-AE86-D4586C567ED4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numbers for 3-heptanol (4-heptanol unavailable)</t>
      </text>
    </comment>
    <comment ref="BW19" authorId="4" shapeId="0" xr:uid="{E1314D87-6521-441F-A5F8-413D1375D07B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numbers for 3-heptanol (4-heptanol unavailable)</t>
      </text>
    </comment>
    <comment ref="BV23" authorId="5" shapeId="0" xr:uid="{00AE6D01-C550-45A5-9475-CC1B3924DAE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Numbers for 3-octanol</t>
      </text>
    </comment>
    <comment ref="BW23" authorId="6" shapeId="0" xr:uid="{317D7C31-6462-467E-B9CE-EEC0A8062717}">
      <text>
        <t>[Threaded comment]
Your version of Excel allows you to read this threaded comment; however, any edits to it will get removed if the file is opened in a newer version of Excel. Learn more: https://go.microsoft.com/fwlink/?linkid=870924
Comment:
    -3 C</t>
      </text>
    </comment>
    <comment ref="BW24" authorId="7" shapeId="0" xr:uid="{2D3D0EE2-8FD0-47EF-8B44-89942365E9CE}">
      <text>
        <t>[Threaded comment]
Your version of Excel allows you to read this threaded comment; however, any edits to it will get removed if the file is opened in a newer version of Excel. Learn more: https://go.microsoft.com/fwlink/?linkid=870924
Comment:
    -3 C</t>
      </text>
    </comment>
    <comment ref="BV40" authorId="8" shapeId="0" xr:uid="{65791BDE-92B5-4C00-9CAD-52B914A95A66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4-undecanol</t>
      </text>
    </comment>
    <comment ref="BV45" authorId="9" shapeId="0" xr:uid="{0FDDFB0D-CAC5-4975-B1CA-F7AF95F65104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7-tridecanol</t>
      </text>
    </comment>
    <comment ref="BV47" authorId="10" shapeId="0" xr:uid="{50825B63-9A25-443D-8E6B-33505DF2615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1-tetradecanol</t>
      </text>
    </comment>
  </commentList>
</comments>
</file>

<file path=xl/sharedStrings.xml><?xml version="1.0" encoding="utf-8"?>
<sst xmlns="http://schemas.openxmlformats.org/spreadsheetml/2006/main" count="603" uniqueCount="250">
  <si>
    <t>Name</t>
  </si>
  <si>
    <t>Structure</t>
  </si>
  <si>
    <t>Formula</t>
  </si>
  <si>
    <t>Molecular Details for Calculations</t>
  </si>
  <si>
    <t>Boiling Point (°C)</t>
  </si>
  <si>
    <t>CN</t>
  </si>
  <si>
    <t>RON</t>
  </si>
  <si>
    <t>MON</t>
  </si>
  <si>
    <t>Octane S</t>
  </si>
  <si>
    <t>Norm Octane S</t>
  </si>
  <si>
    <t>Phi S</t>
  </si>
  <si>
    <t>Norm Phi S</t>
  </si>
  <si>
    <t>YSI</t>
  </si>
  <si>
    <t>HHV (MJ/kg)</t>
  </si>
  <si>
    <t>%H</t>
  </si>
  <si>
    <t>LHV</t>
  </si>
  <si>
    <t>LHV (MJ/kg)</t>
  </si>
  <si>
    <t>Melting Point (°C)</t>
  </si>
  <si>
    <t>For flashpoint calcs</t>
  </si>
  <si>
    <t>Flash Point (°C)</t>
  </si>
  <si>
    <t>Water Solubility (mg/L)</t>
  </si>
  <si>
    <t>Availability</t>
  </si>
  <si>
    <t>Cost</t>
  </si>
  <si>
    <t>Smiles</t>
  </si>
  <si>
    <t>C</t>
  </si>
  <si>
    <t>%</t>
  </si>
  <si>
    <t>H</t>
  </si>
  <si>
    <t>O</t>
  </si>
  <si>
    <t>N</t>
  </si>
  <si>
    <t>S</t>
  </si>
  <si>
    <t>Denominator</t>
  </si>
  <si>
    <t>Predicted</t>
  </si>
  <si>
    <t>Measured</t>
  </si>
  <si>
    <t xml:space="preserve">Predicted </t>
  </si>
  <si>
    <t xml:space="preserve">Measured </t>
  </si>
  <si>
    <t>Normalized by C#</t>
  </si>
  <si>
    <t xml:space="preserve">Pred (LD eq 3) </t>
  </si>
  <si>
    <t>Pred (Dulong eq 1)</t>
  </si>
  <si>
    <t>Pred (Boie eq 4)</t>
  </si>
  <si>
    <t>Err (stdev.s/2)</t>
  </si>
  <si>
    <t>Calculated</t>
  </si>
  <si>
    <t>Calc (LD) using calc %H</t>
  </si>
  <si>
    <t>Calc (Dulong)</t>
  </si>
  <si>
    <t>Calc (Boie)</t>
  </si>
  <si>
    <t>Xst</t>
  </si>
  <si>
    <t>Tb (K)</t>
  </si>
  <si>
    <t>Tflash - Prugh (K)</t>
  </si>
  <si>
    <t>Tb (F)</t>
  </si>
  <si>
    <t>Tflash - Butler (F)</t>
  </si>
  <si>
    <t>Calc (Prugh)</t>
  </si>
  <si>
    <t>Calc (Butler)</t>
  </si>
  <si>
    <t>MW</t>
  </si>
  <si>
    <t>BP</t>
  </si>
  <si>
    <t>http://www.seas.columbia.edu/earth/wtert/sofos/nawtec/1988-National-Waste-Processing-Conference/1988-National-Waste-Processing-Conference-12.pdf</t>
  </si>
  <si>
    <t>.</t>
  </si>
  <si>
    <t>Density (g/mL)</t>
  </si>
  <si>
    <t>Viscosity</t>
  </si>
  <si>
    <t>Vapor P. (mmHg at 25 C)</t>
  </si>
  <si>
    <t>Predicted (Pitz model)</t>
  </si>
  <si>
    <t>C9H20O</t>
  </si>
  <si>
    <t>C8H18O</t>
  </si>
  <si>
    <t>Measured 6/3</t>
  </si>
  <si>
    <t>Calculated 6/3</t>
  </si>
  <si>
    <t>Average</t>
  </si>
  <si>
    <t>&gt;11</t>
  </si>
  <si>
    <t>iso-Propanol (2-propanol)</t>
  </si>
  <si>
    <t>CC(C)O</t>
  </si>
  <si>
    <t>C3H8O </t>
  </si>
  <si>
    <t>&lt; 98.5</t>
  </si>
  <si>
    <t>C4H10O</t>
  </si>
  <si>
    <t>sec-Butanol (2-butanol)</t>
  </si>
  <si>
    <t>CC(O)CC</t>
  </si>
  <si>
    <t>&lt; 96.4</t>
  </si>
  <si>
    <t>C5H12O</t>
  </si>
  <si>
    <t>https://www.sigmaaldrich.com/catalog/substance/2propanol60106763011?lang=en&amp;region=US</t>
  </si>
  <si>
    <t>https://www.sigmaaldrich.com/catalog/substance/2butanol74127892211?lang=en&amp;region=US</t>
  </si>
  <si>
    <t>https://www.sigmaaldrich.com/catalog/substance/3methyl2butanol881559875411?lang=en&amp;region=US</t>
  </si>
  <si>
    <t>https://www.sigmaaldrich.com/catalog/substance/2pentanol8815603229711?lang=en&amp;region=US</t>
  </si>
  <si>
    <t>https://www.sigmaaldrich.com/catalog/substance/4methyl2pentanol1021710811211?lang=en&amp;region=US</t>
  </si>
  <si>
    <t>https://www.sigmaaldrich.com/catalog/substance/2hexanol1021762693711?lang=en&amp;region=US</t>
  </si>
  <si>
    <t>https://www.sigmaaldrich.com/catalog/substance/2heptanol1162054349711?lang=en&amp;region=US</t>
  </si>
  <si>
    <t>https://www.sigmaaldrich.com/catalog/substance/2octanol1302312396611?lang=en&amp;region=US</t>
  </si>
  <si>
    <t>https://www.sigmaaldrich.com/catalog/substance/2nonanol1442562899911?lang=en&amp;region=US</t>
  </si>
  <si>
    <t>3-Methyl-2-butanol</t>
  </si>
  <si>
    <t>2-pentanol</t>
  </si>
  <si>
    <t>4-methyl-2-pentanol</t>
  </si>
  <si>
    <t>2-hexanol</t>
  </si>
  <si>
    <t>2-heptanol</t>
  </si>
  <si>
    <t>2-octanol</t>
  </si>
  <si>
    <t>2-nonanol</t>
  </si>
  <si>
    <t>https://www.sigmaaldrich.com/catalog/substance/3pentanol881558402111?lang=en&amp;region=US</t>
  </si>
  <si>
    <t>https://www.sigmaaldrich.com/catalog/substance/3hexanol1021762337011?lang=en&amp;region=US</t>
  </si>
  <si>
    <t>3-pentanol</t>
  </si>
  <si>
    <t>3-hexanol</t>
  </si>
  <si>
    <t>CC(C)C(C)O</t>
  </si>
  <si>
    <t>CCCC(C)O</t>
  </si>
  <si>
    <t>CCC(CC)O</t>
  </si>
  <si>
    <t>C6H14O</t>
  </si>
  <si>
    <t>CCCC(CC)O</t>
  </si>
  <si>
    <t>CC(C)CC(C)O</t>
  </si>
  <si>
    <t>CCCCC(C)O</t>
  </si>
  <si>
    <t>C7H16O</t>
  </si>
  <si>
    <t>CCCCCC(C)O</t>
  </si>
  <si>
    <t>CCCCCCC(C)O</t>
  </si>
  <si>
    <t>CCCCCCCC(C)O</t>
  </si>
  <si>
    <t>C10H22O</t>
  </si>
  <si>
    <t>-</t>
  </si>
  <si>
    <t>4-methyl-3-pentanol</t>
  </si>
  <si>
    <t>5-methyl-3-hexanol</t>
  </si>
  <si>
    <t>3-octanol</t>
  </si>
  <si>
    <t>3-heptanol</t>
  </si>
  <si>
    <t>3-decanol</t>
  </si>
  <si>
    <t>3-nonanol</t>
  </si>
  <si>
    <t>2,4-dimethyl-3-pentanol</t>
  </si>
  <si>
    <t>2-methyl-3-hexanol</t>
  </si>
  <si>
    <t>2,5-dimethyl-3-hexanol</t>
  </si>
  <si>
    <t>2-methyl-3-heptanol</t>
  </si>
  <si>
    <t>2-methyl-3-octanol</t>
  </si>
  <si>
    <t>2-methyl-3-nonanol</t>
  </si>
  <si>
    <t>2-methyl-3-decanol</t>
  </si>
  <si>
    <t>4-heptanol</t>
  </si>
  <si>
    <t>2-methyl-4-heptanol</t>
  </si>
  <si>
    <t>4-octanol</t>
  </si>
  <si>
    <t>4-decanol</t>
  </si>
  <si>
    <t>4-undecanol</t>
  </si>
  <si>
    <t>4-nonanol</t>
  </si>
  <si>
    <t>2,6-dimethyl-4-heptanol</t>
  </si>
  <si>
    <t>5-nonanol</t>
  </si>
  <si>
    <t>5-decanol</t>
  </si>
  <si>
    <t>5-undecanol</t>
  </si>
  <si>
    <t>5-dodecanol</t>
  </si>
  <si>
    <t>6-undecanol</t>
  </si>
  <si>
    <t>6-dodecanol</t>
  </si>
  <si>
    <t>6-tridecanol</t>
  </si>
  <si>
    <t>7-tridecanol</t>
  </si>
  <si>
    <t>7-tetradecanol</t>
  </si>
  <si>
    <t>8-pentadecanol</t>
  </si>
  <si>
    <t>CCC(O)C(C)C</t>
  </si>
  <si>
    <t>CC(C)C(O)C(C)C</t>
  </si>
  <si>
    <t>CCCC(O)C(C)C</t>
  </si>
  <si>
    <t>CCC(O)CC(C)C</t>
  </si>
  <si>
    <t>CCCCC(O)CC</t>
  </si>
  <si>
    <t>CCCC(O)CCC</t>
  </si>
  <si>
    <t>CC(C)CC(O)C(C)C</t>
  </si>
  <si>
    <t>CCCCC(O)C(C)C</t>
  </si>
  <si>
    <t>CCCC(O)CC(C)C</t>
  </si>
  <si>
    <t>CCCCC(O)CCC</t>
  </si>
  <si>
    <t>CCCCCC(O)CC</t>
  </si>
  <si>
    <t>CC(C)CC(O)CC(C)C</t>
  </si>
  <si>
    <t>2-methyl-4-nonanol</t>
  </si>
  <si>
    <t>2-methyl-4-decanol</t>
  </si>
  <si>
    <t>2-methyl-4-undecanol</t>
  </si>
  <si>
    <t>CCCCCC(O)C(C)C</t>
  </si>
  <si>
    <t>CCCCCCC(O)CC</t>
  </si>
  <si>
    <t>CCCCCC(O)CCC</t>
  </si>
  <si>
    <t>CCCCC(O)CCCC</t>
  </si>
  <si>
    <t>CCCCCCC(O)C(C)C</t>
  </si>
  <si>
    <t>CCCCCC(O)CC(C)C</t>
  </si>
  <si>
    <t>CCCCCCCC(O)CC</t>
  </si>
  <si>
    <t>CCCCCCC(O)CCC</t>
  </si>
  <si>
    <t>CCCCCC(O)CCCC</t>
  </si>
  <si>
    <t>CCCCCCCC(O)C(C)C</t>
  </si>
  <si>
    <t>CCCCCCC(O)CC(C)C</t>
  </si>
  <si>
    <t>CCCCCCCC(O)CCC</t>
  </si>
  <si>
    <t>C11H24O</t>
  </si>
  <si>
    <t>CCCCCCC(O)CCCC</t>
  </si>
  <si>
    <t>CCCCCC(O)CCCCC</t>
  </si>
  <si>
    <t>CCCCCCCC(O)CC(C)C</t>
  </si>
  <si>
    <t>C12H26O</t>
  </si>
  <si>
    <t>CCCCCCCC(O)CCCC</t>
  </si>
  <si>
    <t>CCCCCCC(O)CCCCC</t>
  </si>
  <si>
    <t>CCCCCCCC(O)CCCCC</t>
  </si>
  <si>
    <t>C13H28O</t>
  </si>
  <si>
    <t>CCCCCCC(O)CCCCCC</t>
  </si>
  <si>
    <t>CCCCCCCC(O)CCCCCC</t>
  </si>
  <si>
    <t>C14H30O</t>
  </si>
  <si>
    <t>CCCCCCCC(O)CCCCCCC</t>
  </si>
  <si>
    <t>C15H32O</t>
  </si>
  <si>
    <t>VFA Alcohols</t>
  </si>
  <si>
    <t>58.9 </t>
  </si>
  <si>
    <t>53.2 </t>
  </si>
  <si>
    <t>From predicted</t>
  </si>
  <si>
    <t>Enter for reference</t>
  </si>
  <si>
    <t>EPISuite/YSI tool (SMILES)</t>
  </si>
  <si>
    <t>Published</t>
  </si>
  <si>
    <t xml:space="preserve">Enter for possible calculation </t>
  </si>
  <si>
    <t>&lt;-70</t>
  </si>
  <si>
    <t>Used pred BP</t>
  </si>
  <si>
    <r>
      <t xml:space="preserve">(Prugh - for alcohols). </t>
    </r>
    <r>
      <rPr>
        <i/>
        <sz val="11"/>
        <color theme="4"/>
        <rFont val="Calibri"/>
        <family val="2"/>
        <scheme val="minor"/>
      </rPr>
      <t>Used pred BP</t>
    </r>
  </si>
  <si>
    <t>Manual tool (LANL calc) pr request</t>
  </si>
  <si>
    <t>Trying TEST (EPA tool)</t>
  </si>
  <si>
    <t>#</t>
  </si>
  <si>
    <t>ID</t>
  </si>
  <si>
    <t>N/A</t>
  </si>
  <si>
    <t>Exp_Value:Log10(cP)</t>
  </si>
  <si>
    <t>Pred_Value:Log10(cP)</t>
  </si>
  <si>
    <t>Exp_Value:cP</t>
  </si>
  <si>
    <t>Pred_Value:cP</t>
  </si>
  <si>
    <t>C1_1607018033038</t>
  </si>
  <si>
    <t>C2_1607018033043</t>
  </si>
  <si>
    <t>C3_1607018033045</t>
  </si>
  <si>
    <t>C4_1607018033048</t>
  </si>
  <si>
    <t>C5_1607018033050</t>
  </si>
  <si>
    <t>C6_1607018033052</t>
  </si>
  <si>
    <t>C7_1607018033055</t>
  </si>
  <si>
    <t>C8_1607018033057</t>
  </si>
  <si>
    <t>C9_1607018033059</t>
  </si>
  <si>
    <t>C10_1607018033061</t>
  </si>
  <si>
    <t>C11_1607018033063</t>
  </si>
  <si>
    <t>C12_1607018033065</t>
  </si>
  <si>
    <t>C13_1607018033067</t>
  </si>
  <si>
    <t>C14_1607018033069</t>
  </si>
  <si>
    <t>C15_1607018033072</t>
  </si>
  <si>
    <t>C16_1607018033074</t>
  </si>
  <si>
    <t>C17_1607018033076</t>
  </si>
  <si>
    <t>C18_1607018033078</t>
  </si>
  <si>
    <t>C19_1607018033080</t>
  </si>
  <si>
    <t>C20_1607018033082</t>
  </si>
  <si>
    <t>C21_1607018033084</t>
  </si>
  <si>
    <t>C22_1607018033086</t>
  </si>
  <si>
    <t>C23_1607018033090</t>
  </si>
  <si>
    <t>C24_1607018033092</t>
  </si>
  <si>
    <t>C25_1607018033095</t>
  </si>
  <si>
    <t>C26_1607018033097</t>
  </si>
  <si>
    <t>C27_1607018033099</t>
  </si>
  <si>
    <t>C28_1607018033101</t>
  </si>
  <si>
    <t>C29_1607018033103</t>
  </si>
  <si>
    <t>C30_1607018033106</t>
  </si>
  <si>
    <t>C31_1607018033107</t>
  </si>
  <si>
    <t>C32_1607018033109</t>
  </si>
  <si>
    <t>C33_1607018033111</t>
  </si>
  <si>
    <t>C34_1607018033113</t>
  </si>
  <si>
    <t>C35_1607018033116</t>
  </si>
  <si>
    <t>C36_1607018033118</t>
  </si>
  <si>
    <t>C37_1607018033120</t>
  </si>
  <si>
    <t>C38_1607018033122</t>
  </si>
  <si>
    <t>C39_1607018033124</t>
  </si>
  <si>
    <t>C40_1607018033126</t>
  </si>
  <si>
    <t>C41_1607018033128</t>
  </si>
  <si>
    <t>C42_1607018033129</t>
  </si>
  <si>
    <t>C43_1607018033131</t>
  </si>
  <si>
    <t>C44_1607018033133</t>
  </si>
  <si>
    <t>Predicted (Travis @UMassL +/-9.7)</t>
  </si>
  <si>
    <t>Predicted (Travis @UMassL +/-12.1)</t>
  </si>
  <si>
    <t>AKI</t>
  </si>
  <si>
    <t>2-methyl-4-octanol</t>
  </si>
  <si>
    <t>Torabian and Sobati Blending Index</t>
  </si>
  <si>
    <t>Viscosity, 40C (NIST/TRC web thermo tables)</t>
  </si>
  <si>
    <t>Viscosity, -40C (NIST/TRC web thermo tables)</t>
  </si>
  <si>
    <t>Note: Viscosity predictions sometimes don't go down to 233 K (-40 C), so taking as low as I can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</si>
</sst>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CCCCFF"/>
      <name val="Calibri"/>
      <family val="2"/>
      <scheme val="minor"/>
    </font>
    <font>
      <i/>
      <sz val="11"/>
      <color theme="8"/>
      <name val="Calibri"/>
      <family val="2"/>
      <scheme val="minor"/>
    </font>
    <font>
      <i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97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1" fontId="0" fillId="5" borderId="1" xfId="0" applyNumberFormat="1" applyFont="1" applyFill="1" applyBorder="1" applyAlignment="1">
      <alignment horizontal="center" vertical="center"/>
    </xf>
    <xf numFmtId="11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ont="1" applyFill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2" fontId="0" fillId="5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11" fontId="0" fillId="5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7" fillId="0" borderId="0" xfId="2" applyBorder="1"/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q, Nabila" id="{63A8FD9F-EAD2-4DD7-B02F-E29CFE3DBF8C}" userId="S::nhuq@nrel.gov::00aef4d4-9279-4e7e-a7ea-bc6e684a24f6" providerId="AD"/>
  <person displayName="Miller, Jacob" id="{6EAE0E19-0327-469D-B39B-C3BAA1CC9D48}" userId="S::jmiller3@nrel.gov::dc001535-f123-4a8b-834d-c0ecccf454b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P4" dT="2020-11-11T19:48:09.06" personId="{63A8FD9F-EAD2-4DD7-B02F-E29CFE3DBF8C}" id="{35C5CED7-877A-4C30-9470-1A87811ACF0B}">
    <text>https://en.wikipedia.org/wiki/Heat_of_combustion</text>
  </threadedComment>
  <threadedComment ref="BG4" dT="2020-03-13T21:17:03.32" personId="{63A8FD9F-EAD2-4DD7-B02F-E29CFE3DBF8C}" id="{DD16336D-2AA1-455C-81D6-F6C9749767CF}">
    <text>Unsure if this is measured or not: https://www.google.com/search?q=Wallner%2C+T.%2C+Ickes%2C+A.%2C+Lawyer%2C+K.+Analytical+assessment+of+alcohol+isomers+for+spark-ignition+engine+applications.+Proceedings+of+the+FISITA+2012+World+Automotive+Congress.+F2012-B01-004.+Beijing%2C+China.+November+27-30%2C+2012&amp;rlz=1C1GCEB_enUS860US860&amp;oq=Wallner%2C+T.%2C+Ickes%2C+A.%2C+Lawyer%2C+K.+Analytical+assessment+of+alcohol+isomers+for+spark-ignition+engine+applications.+Proceedings+of+the+FISITA+2012+World+Automotive+Congress.+F2012-B01-004.+Beijing%2C+China.+November+27-30%2C+2012&amp;aqs=chrome..69i57.207j0j7&amp;sourceid=chrome&amp;ie=UTF-8</text>
  </threadedComment>
  <threadedComment ref="BW12" dT="2021-08-19T14:59:40.93" personId="{6EAE0E19-0327-469D-B39B-C3BAA1CC9D48}" id="{31C98C06-3275-4FCB-B6FE-6D02FA7BA7AE}">
    <text>2-hexanol number</text>
  </threadedComment>
  <threadedComment ref="BV19" dT="2021-08-19T15:02:52.34" personId="{6EAE0E19-0327-469D-B39B-C3BAA1CC9D48}" id="{E7DDF508-7D7D-4BAD-AE86-D4586C567ED4}">
    <text>numbers for 3-heptanol (4-heptanol unavailable)</text>
  </threadedComment>
  <threadedComment ref="BW19" dT="2021-08-19T15:03:04.88" personId="{6EAE0E19-0327-469D-B39B-C3BAA1CC9D48}" id="{E1314D87-6521-441F-A5F8-413D1375D07B}">
    <text>numbers for 3-heptanol (4-heptanol unavailable)</text>
  </threadedComment>
  <threadedComment ref="BV23" dT="2021-08-19T15:04:57.08" personId="{6EAE0E19-0327-469D-B39B-C3BAA1CC9D48}" id="{00AE6D01-C550-45A5-9475-CC1B3924DAE6}">
    <text>Numbers for 3-octanol</text>
  </threadedComment>
  <threadedComment ref="BW23" dT="2021-08-19T15:04:04.30" personId="{6EAE0E19-0327-469D-B39B-C3BAA1CC9D48}" id="{317D7C31-6462-467E-B9CE-EEC0A8062717}">
    <text>-3 C</text>
  </threadedComment>
  <threadedComment ref="BW24" dT="2021-08-19T15:04:04.30" personId="{6EAE0E19-0327-469D-B39B-C3BAA1CC9D48}" id="{2D3D0EE2-8FD0-47EF-8B44-89942365E9CE}">
    <text>-3 C</text>
  </threadedComment>
  <threadedComment ref="BV40" dT="2021-08-19T15:28:55.03" personId="{6EAE0E19-0327-469D-B39B-C3BAA1CC9D48}" id="{65791BDE-92B5-4C00-9CAD-52B914A95A66}">
    <text>from 4-undecanol</text>
  </threadedComment>
  <threadedComment ref="BV45" dT="2021-08-19T15:31:28.05" personId="{6EAE0E19-0327-469D-B39B-C3BAA1CC9D48}" id="{0FDDFB0D-CAC5-4975-B1CA-F7AF95F65104}">
    <text>from 7-tridecanol</text>
  </threadedComment>
  <threadedComment ref="BV47" dT="2021-08-19T15:32:53.79" personId="{6EAE0E19-0327-469D-B39B-C3BAA1CC9D48}" id="{50825B63-9A25-443D-8E6B-33505DF26152}">
    <text>for 1-tetradecanol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as.columbia.edu/earth/wtert/sofos/nawtec/1988-National-Waste-Processing-Conference/1988-National-Waste-Processing-Conference-12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C8D3-79E3-4A62-8CEC-B3DE90DE188C}">
  <dimension ref="A1:BX101"/>
  <sheetViews>
    <sheetView tabSelected="1" zoomScale="70" zoomScaleNormal="70" workbookViewId="0">
      <pane xSplit="3" ySplit="3" topLeftCell="AB4" activePane="bottomRight" state="frozen"/>
      <selection pane="topRight" activeCell="D1" sqref="D1"/>
      <selection pane="bottomLeft" activeCell="A4" sqref="A4"/>
      <selection pane="bottomRight" activeCell="AK6" sqref="AK6"/>
    </sheetView>
  </sheetViews>
  <sheetFormatPr defaultColWidth="8.77734375" defaultRowHeight="14.4" x14ac:dyDescent="0.3"/>
  <cols>
    <col min="1" max="1" width="33.109375" style="15" customWidth="1"/>
    <col min="2" max="2" width="15.5546875" style="15" customWidth="1"/>
    <col min="3" max="3" width="10.21875" style="15" customWidth="1"/>
    <col min="4" max="5" width="19.5546875" style="15" customWidth="1"/>
    <col min="6" max="6" width="12.44140625" style="15" customWidth="1"/>
    <col min="7" max="7" width="5.77734375" style="15" customWidth="1"/>
    <col min="8" max="8" width="7.5546875" style="15" customWidth="1"/>
    <col min="9" max="16" width="5.77734375" style="15" customWidth="1"/>
    <col min="17" max="17" width="16.44140625" style="15" customWidth="1"/>
    <col min="18" max="18" width="12.44140625" style="15" customWidth="1"/>
    <col min="19" max="19" width="12.21875" style="15" customWidth="1"/>
    <col min="20" max="20" width="10.77734375" style="15" customWidth="1"/>
    <col min="21" max="21" width="12.44140625" style="15" customWidth="1"/>
    <col min="22" max="22" width="11.44140625" style="15" customWidth="1"/>
    <col min="23" max="23" width="19.5546875" style="15" customWidth="1"/>
    <col min="24" max="24" width="14.21875" style="15" customWidth="1"/>
    <col min="25" max="25" width="10" style="15" customWidth="1"/>
    <col min="26" max="26" width="11.77734375" style="15" customWidth="1"/>
    <col min="27" max="27" width="18.44140625" style="15" customWidth="1"/>
    <col min="28" max="28" width="16.21875" style="22" customWidth="1"/>
    <col min="29" max="29" width="9.21875" style="15" customWidth="1"/>
    <col min="30" max="30" width="10" style="15" customWidth="1"/>
    <col min="31" max="31" width="10.77734375" style="15" customWidth="1"/>
    <col min="32" max="32" width="10.77734375" style="20" customWidth="1"/>
    <col min="33" max="33" width="10.77734375" style="15" customWidth="1"/>
    <col min="34" max="34" width="10.5546875" style="15" customWidth="1"/>
    <col min="35" max="35" width="10" style="15" customWidth="1"/>
    <col min="36" max="36" width="8.5546875" style="15" customWidth="1"/>
    <col min="37" max="37" width="14.5546875" style="15" customWidth="1"/>
    <col min="38" max="38" width="12.21875" style="15" customWidth="1"/>
    <col min="39" max="39" width="10.21875" style="15" customWidth="1"/>
    <col min="40" max="40" width="10.21875" style="20" customWidth="1"/>
    <col min="41" max="42" width="9.21875" style="15" customWidth="1"/>
    <col min="43" max="43" width="8.21875" style="15" customWidth="1"/>
    <col min="44" max="44" width="10.5546875" style="15" customWidth="1"/>
    <col min="45" max="45" width="19.21875" style="15" customWidth="1"/>
    <col min="46" max="46" width="8.21875" style="15" customWidth="1"/>
    <col min="47" max="47" width="17.21875" style="15" customWidth="1"/>
    <col min="48" max="48" width="13.21875" style="15" customWidth="1"/>
    <col min="49" max="49" width="15" style="15" customWidth="1"/>
    <col min="50" max="51" width="12.21875" style="15" customWidth="1"/>
    <col min="52" max="52" width="12.77734375" style="15" customWidth="1"/>
    <col min="53" max="53" width="13.77734375" style="15" customWidth="1"/>
    <col min="54" max="54" width="18.21875" style="15" customWidth="1"/>
    <col min="55" max="55" width="14.5546875" style="15" customWidth="1"/>
    <col min="56" max="56" width="11.77734375" style="15" customWidth="1"/>
    <col min="57" max="57" width="12.77734375" style="15" customWidth="1"/>
    <col min="58" max="58" width="15.77734375" style="15" customWidth="1"/>
    <col min="59" max="60" width="14.21875" style="15" customWidth="1"/>
    <col min="61" max="61" width="14.44140625" style="15" customWidth="1"/>
    <col min="62" max="63" width="10.77734375" style="15" customWidth="1"/>
    <col min="64" max="69" width="14.21875" style="15" customWidth="1"/>
    <col min="70" max="70" width="15.5546875" style="15" customWidth="1"/>
    <col min="71" max="72" width="14.21875" style="15" customWidth="1"/>
    <col min="73" max="73" width="15.21875" style="93" customWidth="1"/>
    <col min="74" max="74" width="51.109375" style="15" bestFit="1" customWidth="1"/>
    <col min="75" max="75" width="51.88671875" style="15" bestFit="1" customWidth="1"/>
    <col min="76" max="16384" width="8.77734375" style="15"/>
  </cols>
  <sheetData>
    <row r="1" spans="1:76" s="24" customFormat="1" ht="18" x14ac:dyDescent="0.3">
      <c r="A1" s="74" t="s">
        <v>0</v>
      </c>
      <c r="B1" s="72" t="s">
        <v>1</v>
      </c>
      <c r="C1" s="73"/>
      <c r="D1" s="74"/>
      <c r="E1" s="73"/>
      <c r="F1" s="72" t="s">
        <v>2</v>
      </c>
      <c r="G1" s="74" t="s">
        <v>3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2" t="s">
        <v>4</v>
      </c>
      <c r="S1" s="75"/>
      <c r="T1" s="76" t="s">
        <v>17</v>
      </c>
      <c r="U1" s="77"/>
      <c r="V1" s="76" t="s">
        <v>57</v>
      </c>
      <c r="W1" s="77"/>
      <c r="X1" s="76" t="s">
        <v>20</v>
      </c>
      <c r="Y1" s="77"/>
      <c r="Z1" s="76" t="s">
        <v>12</v>
      </c>
      <c r="AA1" s="81"/>
      <c r="AB1" s="77"/>
      <c r="AC1" s="76" t="s">
        <v>13</v>
      </c>
      <c r="AD1" s="81"/>
      <c r="AE1" s="77"/>
      <c r="AF1" s="76" t="s">
        <v>13</v>
      </c>
      <c r="AG1" s="81"/>
      <c r="AH1" s="77"/>
      <c r="AI1" s="76" t="s">
        <v>14</v>
      </c>
      <c r="AJ1" s="77"/>
      <c r="AK1" s="76" t="s">
        <v>15</v>
      </c>
      <c r="AL1" s="81"/>
      <c r="AM1" s="77"/>
      <c r="AN1" s="76" t="s">
        <v>16</v>
      </c>
      <c r="AO1" s="81"/>
      <c r="AP1" s="81"/>
      <c r="AQ1" s="76" t="s">
        <v>18</v>
      </c>
      <c r="AR1" s="81"/>
      <c r="AS1" s="81"/>
      <c r="AT1" s="81"/>
      <c r="AU1" s="77"/>
      <c r="AV1" s="76" t="s">
        <v>19</v>
      </c>
      <c r="AW1" s="77"/>
      <c r="AX1" s="72" t="s">
        <v>19</v>
      </c>
      <c r="AY1" s="75"/>
      <c r="AZ1" s="72" t="s">
        <v>55</v>
      </c>
      <c r="BA1" s="74"/>
      <c r="BB1" s="72" t="s">
        <v>56</v>
      </c>
      <c r="BC1" s="75"/>
      <c r="BD1" s="76" t="s">
        <v>5</v>
      </c>
      <c r="BE1" s="77"/>
      <c r="BF1" s="72" t="s">
        <v>6</v>
      </c>
      <c r="BG1" s="75"/>
      <c r="BH1" s="74"/>
      <c r="BI1" s="72" t="s">
        <v>7</v>
      </c>
      <c r="BJ1" s="75"/>
      <c r="BK1" s="74"/>
      <c r="BL1" s="72" t="s">
        <v>8</v>
      </c>
      <c r="BM1" s="73"/>
      <c r="BN1" s="73"/>
      <c r="BO1" s="74" t="s">
        <v>244</v>
      </c>
      <c r="BP1" s="74"/>
      <c r="BQ1" s="74" t="s">
        <v>9</v>
      </c>
      <c r="BR1" s="72" t="s">
        <v>10</v>
      </c>
      <c r="BS1" s="74"/>
      <c r="BT1" s="75" t="s">
        <v>11</v>
      </c>
      <c r="BU1" s="75" t="s">
        <v>246</v>
      </c>
      <c r="BV1" s="74" t="s">
        <v>247</v>
      </c>
      <c r="BW1" s="74" t="s">
        <v>248</v>
      </c>
    </row>
    <row r="2" spans="1:76" s="19" customFormat="1" ht="57.6" x14ac:dyDescent="0.3">
      <c r="A2" s="5" t="s">
        <v>178</v>
      </c>
      <c r="B2" s="78" t="s">
        <v>23</v>
      </c>
      <c r="C2" s="79" t="s">
        <v>1</v>
      </c>
      <c r="D2" s="5" t="s">
        <v>21</v>
      </c>
      <c r="E2" s="79" t="s">
        <v>22</v>
      </c>
      <c r="F2" s="78"/>
      <c r="G2" s="5" t="s">
        <v>24</v>
      </c>
      <c r="H2" s="5" t="s">
        <v>25</v>
      </c>
      <c r="I2" s="5" t="s">
        <v>26</v>
      </c>
      <c r="J2" s="5" t="s">
        <v>25</v>
      </c>
      <c r="K2" s="5" t="s">
        <v>27</v>
      </c>
      <c r="L2" s="5" t="s">
        <v>25</v>
      </c>
      <c r="M2" s="5" t="s">
        <v>28</v>
      </c>
      <c r="N2" s="5" t="s">
        <v>25</v>
      </c>
      <c r="O2" s="5" t="s">
        <v>29</v>
      </c>
      <c r="P2" s="5" t="s">
        <v>25</v>
      </c>
      <c r="Q2" s="17" t="s">
        <v>51</v>
      </c>
      <c r="R2" s="16" t="s">
        <v>31</v>
      </c>
      <c r="S2" s="17" t="s">
        <v>32</v>
      </c>
      <c r="T2" s="16" t="s">
        <v>31</v>
      </c>
      <c r="U2" s="17" t="s">
        <v>32</v>
      </c>
      <c r="V2" s="78" t="s">
        <v>33</v>
      </c>
      <c r="W2" s="5" t="s">
        <v>34</v>
      </c>
      <c r="X2" s="78" t="s">
        <v>33</v>
      </c>
      <c r="Y2" s="5" t="s">
        <v>34</v>
      </c>
      <c r="Z2" s="78" t="s">
        <v>33</v>
      </c>
      <c r="AA2" s="5" t="s">
        <v>34</v>
      </c>
      <c r="AB2" s="85" t="s">
        <v>35</v>
      </c>
      <c r="AC2" s="78" t="s">
        <v>36</v>
      </c>
      <c r="AD2" s="5" t="s">
        <v>37</v>
      </c>
      <c r="AE2" s="5" t="s">
        <v>38</v>
      </c>
      <c r="AF2" s="16" t="s">
        <v>63</v>
      </c>
      <c r="AG2" s="5" t="s">
        <v>39</v>
      </c>
      <c r="AH2" s="17" t="s">
        <v>34</v>
      </c>
      <c r="AI2" s="16" t="s">
        <v>40</v>
      </c>
      <c r="AJ2" s="17" t="s">
        <v>32</v>
      </c>
      <c r="AK2" s="78" t="s">
        <v>40</v>
      </c>
      <c r="AL2" s="79"/>
      <c r="AM2" s="80"/>
      <c r="AN2" s="16" t="s">
        <v>63</v>
      </c>
      <c r="AO2" s="5" t="s">
        <v>39</v>
      </c>
      <c r="AP2" s="17" t="s">
        <v>32</v>
      </c>
      <c r="AQ2" s="78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78" t="s">
        <v>49</v>
      </c>
      <c r="AW2" s="5" t="s">
        <v>50</v>
      </c>
      <c r="AX2" s="25" t="s">
        <v>33</v>
      </c>
      <c r="AY2" s="17" t="s">
        <v>34</v>
      </c>
      <c r="AZ2" s="16" t="s">
        <v>31</v>
      </c>
      <c r="BA2" s="17" t="s">
        <v>32</v>
      </c>
      <c r="BB2" s="16" t="s">
        <v>31</v>
      </c>
      <c r="BC2" s="18" t="s">
        <v>32</v>
      </c>
      <c r="BD2" s="16" t="s">
        <v>31</v>
      </c>
      <c r="BE2" s="17" t="s">
        <v>32</v>
      </c>
      <c r="BF2" s="23" t="s">
        <v>242</v>
      </c>
      <c r="BG2" s="17" t="s">
        <v>32</v>
      </c>
      <c r="BH2" s="17" t="s">
        <v>61</v>
      </c>
      <c r="BI2" s="23" t="s">
        <v>243</v>
      </c>
      <c r="BJ2" s="17" t="s">
        <v>32</v>
      </c>
      <c r="BK2" s="17" t="s">
        <v>62</v>
      </c>
      <c r="BL2" s="16" t="s">
        <v>31</v>
      </c>
      <c r="BM2" s="17" t="s">
        <v>32</v>
      </c>
      <c r="BN2" s="17" t="s">
        <v>61</v>
      </c>
      <c r="BO2" s="17" t="s">
        <v>31</v>
      </c>
      <c r="BP2" s="17" t="s">
        <v>32</v>
      </c>
      <c r="BQ2" s="5"/>
      <c r="BR2" s="23" t="s">
        <v>58</v>
      </c>
      <c r="BS2" s="17" t="s">
        <v>32</v>
      </c>
      <c r="BT2" s="80"/>
      <c r="BU2" s="90"/>
      <c r="BW2" s="96" t="s">
        <v>249</v>
      </c>
    </row>
    <row r="3" spans="1:76" s="1" customFormat="1" ht="15" thickBot="1" x14ac:dyDescent="0.35">
      <c r="A3" s="27"/>
      <c r="B3" s="28"/>
      <c r="C3" s="26"/>
      <c r="D3" s="27"/>
      <c r="E3" s="27"/>
      <c r="F3" s="28"/>
      <c r="G3" s="26">
        <v>12</v>
      </c>
      <c r="H3" s="26"/>
      <c r="I3" s="26">
        <v>1</v>
      </c>
      <c r="J3" s="26"/>
      <c r="K3" s="26">
        <v>16</v>
      </c>
      <c r="L3" s="26"/>
      <c r="M3" s="26">
        <v>14</v>
      </c>
      <c r="N3" s="26"/>
      <c r="O3" s="26">
        <v>32</v>
      </c>
      <c r="P3" s="26"/>
      <c r="Q3" s="26" t="s">
        <v>30</v>
      </c>
      <c r="R3" s="28"/>
      <c r="S3" s="29" t="s">
        <v>52</v>
      </c>
      <c r="T3" s="28"/>
      <c r="U3" s="26"/>
      <c r="V3" s="30"/>
      <c r="W3" s="27"/>
      <c r="X3" s="28"/>
      <c r="Y3" s="26"/>
      <c r="Z3" s="30"/>
      <c r="AA3" s="31"/>
      <c r="AB3" s="41" t="s">
        <v>181</v>
      </c>
      <c r="AC3" s="89" t="s">
        <v>53</v>
      </c>
      <c r="AD3" s="26" t="s">
        <v>54</v>
      </c>
      <c r="AE3" s="26"/>
      <c r="AF3" s="30"/>
      <c r="AG3" s="26"/>
      <c r="AH3" s="27"/>
      <c r="AI3" s="30"/>
      <c r="AJ3" s="27"/>
      <c r="AK3" s="28" t="s">
        <v>41</v>
      </c>
      <c r="AL3" s="26" t="s">
        <v>42</v>
      </c>
      <c r="AM3" s="26" t="s">
        <v>43</v>
      </c>
      <c r="AN3" s="30"/>
      <c r="AO3" s="26"/>
      <c r="AP3" s="62" t="s">
        <v>184</v>
      </c>
      <c r="AQ3" s="28"/>
      <c r="AR3" s="32" t="s">
        <v>187</v>
      </c>
      <c r="AS3" s="33"/>
      <c r="AT3" s="32"/>
      <c r="AU3" s="26"/>
      <c r="AV3" s="28"/>
      <c r="AW3" s="26"/>
      <c r="AX3" s="38" t="s">
        <v>188</v>
      </c>
      <c r="AY3" s="27"/>
      <c r="AZ3" s="70" t="s">
        <v>190</v>
      </c>
      <c r="BA3" s="26"/>
      <c r="BB3" s="70" t="s">
        <v>190</v>
      </c>
      <c r="BC3" s="29"/>
      <c r="BD3" s="26"/>
      <c r="BE3" s="26"/>
      <c r="BF3" s="28"/>
      <c r="BG3" s="26"/>
      <c r="BH3" s="26"/>
      <c r="BI3" s="28"/>
      <c r="BJ3" s="26"/>
      <c r="BK3" s="26"/>
      <c r="BL3" s="28"/>
      <c r="BM3" s="26"/>
      <c r="BN3" s="26"/>
      <c r="BO3" s="26"/>
      <c r="BP3" s="26"/>
      <c r="BQ3" s="26"/>
      <c r="BR3" s="28"/>
      <c r="BS3" s="26"/>
      <c r="BT3" s="29"/>
      <c r="BU3" s="91"/>
    </row>
    <row r="4" spans="1:76" s="2" customFormat="1" ht="40.049999999999997" customHeight="1" thickTop="1" x14ac:dyDescent="0.3">
      <c r="A4" s="34" t="s">
        <v>65</v>
      </c>
      <c r="B4" s="47" t="s">
        <v>66</v>
      </c>
      <c r="C4" s="49"/>
      <c r="D4" s="50" t="s">
        <v>74</v>
      </c>
      <c r="E4" s="51"/>
      <c r="F4" s="47" t="s">
        <v>67</v>
      </c>
      <c r="G4" s="44">
        <v>3</v>
      </c>
      <c r="H4" s="35">
        <f t="shared" ref="H4:H48" si="0">G4*$G$3/Q4</f>
        <v>0.6</v>
      </c>
      <c r="I4" s="44">
        <v>8</v>
      </c>
      <c r="J4" s="35">
        <f t="shared" ref="J4:J48" si="1">I4*$I$3/Q4</f>
        <v>0.13333333333333333</v>
      </c>
      <c r="K4" s="44">
        <v>1</v>
      </c>
      <c r="L4" s="35">
        <f t="shared" ref="L4:L48" si="2">K4*$K$3/Q4</f>
        <v>0.26666666666666666</v>
      </c>
      <c r="M4" s="44"/>
      <c r="N4" s="35">
        <f t="shared" ref="N4:N48" si="3">M4*$M$3/Q4</f>
        <v>0</v>
      </c>
      <c r="O4" s="44"/>
      <c r="P4" s="35">
        <f t="shared" ref="P4:P48" si="4">O4*$O$3/Q4</f>
        <v>0</v>
      </c>
      <c r="Q4" s="7">
        <f t="shared" ref="Q4:Q48" si="5">G4*$G$3+I4*$I$3+K4*$K$3+M4*$M$3+O4*$O$3</f>
        <v>60</v>
      </c>
      <c r="R4" s="54">
        <v>66.97</v>
      </c>
      <c r="S4" s="55">
        <v>82.3</v>
      </c>
      <c r="T4" s="54">
        <v>-89.16</v>
      </c>
      <c r="U4" s="59">
        <v>-89.5</v>
      </c>
      <c r="V4" s="54">
        <v>6610</v>
      </c>
      <c r="W4" s="59">
        <v>45.4</v>
      </c>
      <c r="X4" s="57">
        <v>402400</v>
      </c>
      <c r="Y4" s="84">
        <v>1000000</v>
      </c>
      <c r="Z4" s="71">
        <v>8.9</v>
      </c>
      <c r="AA4" s="56">
        <v>19.2</v>
      </c>
      <c r="AB4" s="36">
        <f t="shared" ref="AB4:AB9" si="6">AA4/G4</f>
        <v>6.3999999999999995</v>
      </c>
      <c r="AC4" s="8">
        <f t="shared" ref="AC4:AC48" si="7">0.3578*100*H4+1.1357*100*J4+0.059*100*N4+0.1119*100*P4-0.0845*100*L4</f>
        <v>34.357333333333337</v>
      </c>
      <c r="AD4" s="7">
        <f t="shared" ref="AD4:AD48" si="8">0.336*100*H4+1.418*100*J4+0.094*100*P4-0.145*100*L4</f>
        <v>35.199999999999996</v>
      </c>
      <c r="AE4" s="11">
        <f t="shared" ref="AE4:AE48" si="9">0.3515*100*H4+1.1617*100*J4+0.06276*100*N4+0.1046*100*P4-0.1109*100*L4</f>
        <v>33.622</v>
      </c>
      <c r="AF4" s="3">
        <f t="shared" ref="AF4:AF48" si="10">AVERAGE(AC4:AE4)</f>
        <v>34.393111111111111</v>
      </c>
      <c r="AG4" s="7">
        <f t="shared" ref="AG4:AG48" si="11">_xlfn.STDEV.S(AC4:AE4)/2</f>
        <v>0.39480407705501014</v>
      </c>
      <c r="AH4" s="45"/>
      <c r="AI4" s="12">
        <f t="shared" ref="AI4:AI48" si="12">J4</f>
        <v>0.13333333333333333</v>
      </c>
      <c r="AJ4" s="45"/>
      <c r="AK4" s="8">
        <f>AC4-(0.2122*100*AI4)</f>
        <v>31.528000000000002</v>
      </c>
      <c r="AL4" s="7">
        <f t="shared" ref="AL4:AL48" si="13">AD4-(0.2122*100*AI4)</f>
        <v>32.370666666666665</v>
      </c>
      <c r="AM4" s="11">
        <f>AE4-(0.2122*100*AI4)</f>
        <v>30.792666666666666</v>
      </c>
      <c r="AN4" s="3">
        <f t="shared" ref="AN4:AN48" si="14">AVERAGE(AK4:AM4)</f>
        <v>31.563777777777776</v>
      </c>
      <c r="AO4" s="7">
        <f t="shared" ref="AO4:AO48" si="15">_xlfn.STDEV.S(AK4:AM4)/2</f>
        <v>0.39480407705501108</v>
      </c>
      <c r="AP4" s="63">
        <v>30.446999999999999</v>
      </c>
      <c r="AQ4" s="8">
        <f t="shared" ref="AQ4:AQ48" si="16">83.8/(4*G4+4*O4+I4-0-2*K4+0.84)</f>
        <v>4.4479830148619959</v>
      </c>
      <c r="AR4" s="14">
        <f t="shared" ref="AR4:AR13" si="17">S4+273.15</f>
        <v>355.45</v>
      </c>
      <c r="AS4" s="14">
        <f t="shared" ref="AS4:AS48" si="18">AR4/(1.3611-0.0697*LN(AQ4))</f>
        <v>282.75931455457084</v>
      </c>
      <c r="AT4" s="14">
        <f t="shared" ref="AT4:AT13" si="19">(S4*9/5)+32</f>
        <v>180.14</v>
      </c>
      <c r="AU4" s="11">
        <f t="shared" ref="AU4:AU48" si="20">0.683*AT4-119</f>
        <v>4.0356199999999944</v>
      </c>
      <c r="AV4" s="8">
        <f t="shared" ref="AV4:AV48" si="21">AS4-273.15</f>
        <v>9.609314554570858</v>
      </c>
      <c r="AW4" s="11">
        <f t="shared" ref="AW4:AW48" si="22">(AU4-32)*5/9</f>
        <v>-15.535766666666669</v>
      </c>
      <c r="AX4" s="37">
        <f t="shared" ref="AX4:AX17" si="23">AV4</f>
        <v>9.609314554570858</v>
      </c>
      <c r="AY4" s="43">
        <v>11.67</v>
      </c>
      <c r="AZ4" s="21">
        <v>0.83</v>
      </c>
      <c r="BA4" s="42">
        <v>0.79</v>
      </c>
      <c r="BB4" s="8">
        <v>1.99</v>
      </c>
      <c r="BC4" s="65">
        <v>2.04</v>
      </c>
      <c r="BD4" s="82">
        <v>7.18</v>
      </c>
      <c r="BE4" s="43"/>
      <c r="BF4" s="67">
        <v>101.53162</v>
      </c>
      <c r="BG4" s="88">
        <v>112.5</v>
      </c>
      <c r="BH4" s="14">
        <v>109.5</v>
      </c>
      <c r="BI4" s="67">
        <v>108.14552</v>
      </c>
      <c r="BJ4" s="88">
        <v>96.7</v>
      </c>
      <c r="BK4" s="7" t="s">
        <v>68</v>
      </c>
      <c r="BL4" s="9">
        <v>13.5</v>
      </c>
      <c r="BM4" s="13">
        <f>BG4-BJ4</f>
        <v>15.799999999999997</v>
      </c>
      <c r="BN4" s="13" t="s">
        <v>64</v>
      </c>
      <c r="BO4" s="11">
        <f>AVERAGE(BF4,BI4)</f>
        <v>104.83857</v>
      </c>
      <c r="BP4" s="11">
        <f>AVERAGE(BG4,BJ4)</f>
        <v>104.6</v>
      </c>
      <c r="BQ4" s="10"/>
      <c r="BR4" s="9">
        <v>6.0000000000000001E-3</v>
      </c>
      <c r="BS4" s="13"/>
      <c r="BT4" s="13">
        <f>BR4/0.4</f>
        <v>1.4999999999999999E-2</v>
      </c>
      <c r="BU4" s="92">
        <f>(AX4+273)^(-1/0.0246)</f>
        <v>2.2817786257015263E-100</v>
      </c>
      <c r="BV4" s="2">
        <v>1.34</v>
      </c>
      <c r="BW4" s="48">
        <v>4.7699999999999996</v>
      </c>
    </row>
    <row r="5" spans="1:76" s="2" customFormat="1" ht="40.049999999999997" customHeight="1" x14ac:dyDescent="0.3">
      <c r="A5" s="34" t="s">
        <v>70</v>
      </c>
      <c r="B5" s="47" t="s">
        <v>71</v>
      </c>
      <c r="C5" s="49"/>
      <c r="D5" s="50" t="s">
        <v>75</v>
      </c>
      <c r="E5" s="51"/>
      <c r="F5" s="47" t="s">
        <v>69</v>
      </c>
      <c r="G5" s="44">
        <v>4</v>
      </c>
      <c r="H5" s="35">
        <f t="shared" si="0"/>
        <v>0.64864864864864868</v>
      </c>
      <c r="I5" s="44">
        <v>10</v>
      </c>
      <c r="J5" s="35">
        <f t="shared" si="1"/>
        <v>0.13513513513513514</v>
      </c>
      <c r="K5" s="44">
        <v>1</v>
      </c>
      <c r="L5" s="35">
        <f t="shared" si="2"/>
        <v>0.21621621621621623</v>
      </c>
      <c r="M5" s="44"/>
      <c r="N5" s="35">
        <f t="shared" si="3"/>
        <v>0</v>
      </c>
      <c r="O5" s="44"/>
      <c r="P5" s="35">
        <f t="shared" si="4"/>
        <v>0</v>
      </c>
      <c r="Q5" s="7">
        <f t="shared" si="5"/>
        <v>74</v>
      </c>
      <c r="R5" s="54">
        <v>91.76</v>
      </c>
      <c r="S5" s="55">
        <v>99.5</v>
      </c>
      <c r="T5" s="54">
        <v>-76.290000000000006</v>
      </c>
      <c r="U5" s="56">
        <v>-114.7</v>
      </c>
      <c r="V5" s="54">
        <v>2740</v>
      </c>
      <c r="W5" s="56">
        <v>6.7</v>
      </c>
      <c r="X5" s="57">
        <v>130400</v>
      </c>
      <c r="Y5" s="58">
        <v>181000</v>
      </c>
      <c r="Z5" s="71">
        <v>17.8</v>
      </c>
      <c r="AA5" s="56">
        <v>24.8</v>
      </c>
      <c r="AB5" s="36">
        <f t="shared" si="6"/>
        <v>6.2</v>
      </c>
      <c r="AC5" s="8">
        <f t="shared" si="7"/>
        <v>36.728918918918922</v>
      </c>
      <c r="AD5" s="7">
        <f t="shared" si="8"/>
        <v>37.821621621621624</v>
      </c>
      <c r="AE5" s="7">
        <f t="shared" si="9"/>
        <v>36.100810810810813</v>
      </c>
      <c r="AF5" s="3">
        <f t="shared" si="10"/>
        <v>36.883783783783784</v>
      </c>
      <c r="AG5" s="7">
        <f t="shared" si="11"/>
        <v>0.43539775103577694</v>
      </c>
      <c r="AH5" s="44"/>
      <c r="AI5" s="12">
        <f t="shared" si="12"/>
        <v>0.13513513513513514</v>
      </c>
      <c r="AJ5" s="44"/>
      <c r="AK5" s="8">
        <f>AC5-(0.2122*100*AI5)</f>
        <v>33.861351351351352</v>
      </c>
      <c r="AL5" s="7">
        <f t="shared" si="13"/>
        <v>34.954054054054055</v>
      </c>
      <c r="AM5" s="11">
        <f t="shared" ref="AM5:AM48" si="24">AE5-(0.2122*100*AI5)</f>
        <v>33.233243243243244</v>
      </c>
      <c r="AN5" s="3">
        <f t="shared" si="14"/>
        <v>34.016216216216215</v>
      </c>
      <c r="AO5" s="7">
        <f t="shared" si="15"/>
        <v>0.43539775103577694</v>
      </c>
      <c r="AP5" s="64">
        <f t="shared" ref="AP5:AP48" si="25">AH5-(0.2122*100*AJ5)</f>
        <v>0</v>
      </c>
      <c r="AQ5" s="8">
        <f t="shared" si="16"/>
        <v>3.3735909822866343</v>
      </c>
      <c r="AR5" s="14">
        <f t="shared" si="17"/>
        <v>372.65</v>
      </c>
      <c r="AS5" s="14">
        <f t="shared" si="18"/>
        <v>291.96620475917922</v>
      </c>
      <c r="AT5" s="14">
        <f t="shared" si="19"/>
        <v>211.1</v>
      </c>
      <c r="AU5" s="7">
        <f t="shared" si="20"/>
        <v>25.181299999999993</v>
      </c>
      <c r="AV5" s="8">
        <f t="shared" si="21"/>
        <v>18.816204759179243</v>
      </c>
      <c r="AW5" s="7">
        <f t="shared" si="22"/>
        <v>-3.7881666666666707</v>
      </c>
      <c r="AX5" s="37">
        <f t="shared" si="23"/>
        <v>18.816204759179243</v>
      </c>
      <c r="AY5" s="42">
        <v>26</v>
      </c>
      <c r="AZ5" s="21">
        <v>0.85</v>
      </c>
      <c r="BA5" s="42">
        <v>0.8</v>
      </c>
      <c r="BB5" s="8">
        <v>2.54</v>
      </c>
      <c r="BC5" s="65">
        <v>3.65</v>
      </c>
      <c r="BD5" s="82">
        <v>8.69</v>
      </c>
      <c r="BE5" s="42">
        <v>8.5</v>
      </c>
      <c r="BF5" s="67">
        <v>106.14079</v>
      </c>
      <c r="BG5" s="7">
        <v>107</v>
      </c>
      <c r="BH5" s="7">
        <v>107.4</v>
      </c>
      <c r="BI5" s="67">
        <v>105.88352</v>
      </c>
      <c r="BJ5" s="7">
        <v>93</v>
      </c>
      <c r="BK5" s="7" t="s">
        <v>72</v>
      </c>
      <c r="BL5" s="8">
        <v>15.1</v>
      </c>
      <c r="BM5" s="11">
        <f>BG5-BJ5</f>
        <v>14</v>
      </c>
      <c r="BN5" s="11" t="s">
        <v>64</v>
      </c>
      <c r="BO5" s="11">
        <f>AVERAGE(BF5,BI5)</f>
        <v>106.01215500000001</v>
      </c>
      <c r="BP5" s="11">
        <f>AVERAGE(BG5,BJ5)</f>
        <v>100</v>
      </c>
      <c r="BQ5" s="6"/>
      <c r="BR5" s="8">
        <v>4.2999999999999997E-2</v>
      </c>
      <c r="BS5" s="11"/>
      <c r="BT5" s="11">
        <f>BR5/0.4</f>
        <v>0.10749999999999998</v>
      </c>
      <c r="BU5" s="92">
        <f t="shared" ref="BU5:BU47" si="26">(AX5+273)^(-1/0.0246)</f>
        <v>6.1986999344124194E-101</v>
      </c>
      <c r="BV5" s="2">
        <v>1.8</v>
      </c>
      <c r="BW5" s="2">
        <v>77</v>
      </c>
    </row>
    <row r="6" spans="1:76" s="2" customFormat="1" ht="15.6" x14ac:dyDescent="0.3">
      <c r="A6" s="39" t="s">
        <v>83</v>
      </c>
      <c r="B6" s="47" t="s">
        <v>94</v>
      </c>
      <c r="C6" s="43"/>
      <c r="D6" s="52" t="s">
        <v>76</v>
      </c>
      <c r="E6" s="52"/>
      <c r="F6" s="47" t="s">
        <v>73</v>
      </c>
      <c r="G6" s="45">
        <v>5</v>
      </c>
      <c r="H6" s="83">
        <f t="shared" si="0"/>
        <v>0.68181818181818177</v>
      </c>
      <c r="I6" s="45">
        <v>12</v>
      </c>
      <c r="J6" s="83">
        <f t="shared" si="1"/>
        <v>0.13636363636363635</v>
      </c>
      <c r="K6" s="45">
        <v>1</v>
      </c>
      <c r="L6" s="83">
        <f t="shared" si="2"/>
        <v>0.18181818181818182</v>
      </c>
      <c r="M6" s="45"/>
      <c r="N6" s="83">
        <f t="shared" si="3"/>
        <v>0</v>
      </c>
      <c r="O6" s="45"/>
      <c r="P6" s="83">
        <f t="shared" si="4"/>
        <v>0</v>
      </c>
      <c r="Q6" s="11">
        <f t="shared" si="5"/>
        <v>88</v>
      </c>
      <c r="R6" s="54">
        <v>101.35</v>
      </c>
      <c r="S6" s="59">
        <v>112</v>
      </c>
      <c r="T6" s="54">
        <v>-75.36</v>
      </c>
      <c r="U6" s="59" t="s">
        <v>106</v>
      </c>
      <c r="V6" s="54">
        <v>1430</v>
      </c>
      <c r="W6" s="59">
        <v>9.15</v>
      </c>
      <c r="X6" s="54">
        <v>32840</v>
      </c>
      <c r="Y6" s="59">
        <v>56000</v>
      </c>
      <c r="Z6" s="71">
        <v>27.4</v>
      </c>
      <c r="AA6" s="59">
        <v>33.299999999999997</v>
      </c>
      <c r="AB6" s="36">
        <f t="shared" si="6"/>
        <v>6.6599999999999993</v>
      </c>
      <c r="AC6" s="8">
        <f t="shared" si="7"/>
        <v>38.345909090909082</v>
      </c>
      <c r="AD6" s="11">
        <f t="shared" si="8"/>
        <v>39.609090909090909</v>
      </c>
      <c r="AE6" s="11">
        <f t="shared" si="9"/>
        <v>37.790909090909089</v>
      </c>
      <c r="AF6" s="3">
        <f t="shared" si="10"/>
        <v>38.581969696969686</v>
      </c>
      <c r="AG6" s="11">
        <f t="shared" si="11"/>
        <v>0.46589691410547429</v>
      </c>
      <c r="AH6" s="45"/>
      <c r="AI6" s="12">
        <f t="shared" si="12"/>
        <v>0.13636363636363635</v>
      </c>
      <c r="AJ6" s="45"/>
      <c r="AK6" s="8">
        <f>AC6-(0.2122*100*AI6)</f>
        <v>35.452272727272721</v>
      </c>
      <c r="AL6" s="11">
        <f t="shared" si="13"/>
        <v>36.715454545454548</v>
      </c>
      <c r="AM6" s="11">
        <f t="shared" si="24"/>
        <v>34.897272727272728</v>
      </c>
      <c r="AN6" s="3">
        <f t="shared" si="14"/>
        <v>35.688333333333333</v>
      </c>
      <c r="AO6" s="11">
        <f t="shared" si="15"/>
        <v>0.46589691410547424</v>
      </c>
      <c r="AP6" s="86">
        <f t="shared" si="25"/>
        <v>0</v>
      </c>
      <c r="AQ6" s="8">
        <f t="shared" si="16"/>
        <v>2.7172503242542154</v>
      </c>
      <c r="AR6" s="87">
        <f t="shared" si="17"/>
        <v>385.15</v>
      </c>
      <c r="AS6" s="87">
        <f t="shared" si="18"/>
        <v>298.23610845236624</v>
      </c>
      <c r="AT6" s="87">
        <f t="shared" si="19"/>
        <v>233.6</v>
      </c>
      <c r="AU6" s="11">
        <f t="shared" si="20"/>
        <v>40.5488</v>
      </c>
      <c r="AV6" s="8">
        <f t="shared" si="21"/>
        <v>25.086108452366261</v>
      </c>
      <c r="AW6" s="11">
        <f t="shared" si="22"/>
        <v>4.7493333333333334</v>
      </c>
      <c r="AX6" s="37">
        <f t="shared" si="23"/>
        <v>25.086108452366261</v>
      </c>
      <c r="AY6" s="43">
        <v>26.7</v>
      </c>
      <c r="AZ6" s="21">
        <v>0.83</v>
      </c>
      <c r="BA6" s="43">
        <v>0.81</v>
      </c>
      <c r="BB6" s="8">
        <v>3.23</v>
      </c>
      <c r="BC6" s="43">
        <v>3.78</v>
      </c>
      <c r="BD6" s="67">
        <v>8.7799999999999994</v>
      </c>
      <c r="BE6" s="43"/>
      <c r="BF6" s="67">
        <v>95.900210000000001</v>
      </c>
      <c r="BG6" s="43"/>
      <c r="BH6" s="11"/>
      <c r="BI6" s="67">
        <v>88.817340000000002</v>
      </c>
      <c r="BJ6" s="43"/>
      <c r="BK6" s="11"/>
      <c r="BL6" s="67">
        <f t="shared" ref="BL6:BL48" si="27">BF6-BI6</f>
        <v>7.0828699999999998</v>
      </c>
      <c r="BM6" s="43"/>
      <c r="BN6" s="11"/>
      <c r="BO6" s="11">
        <f t="shared" ref="BO6:BO48" si="28">AVERAGE(BF6,BI6)</f>
        <v>92.358775000000009</v>
      </c>
      <c r="BP6" s="11"/>
      <c r="BQ6" s="11"/>
      <c r="BR6" s="47"/>
      <c r="BS6" s="11"/>
      <c r="BT6" s="11"/>
      <c r="BU6" s="92">
        <f t="shared" si="26"/>
        <v>2.6121766820793419E-101</v>
      </c>
      <c r="BV6" s="2">
        <v>2.2000000000000002</v>
      </c>
      <c r="BW6" s="48">
        <v>5.4</v>
      </c>
    </row>
    <row r="7" spans="1:76" s="2" customFormat="1" ht="15.6" x14ac:dyDescent="0.3">
      <c r="A7" s="34" t="s">
        <v>84</v>
      </c>
      <c r="B7" s="47" t="s">
        <v>95</v>
      </c>
      <c r="C7" s="43"/>
      <c r="D7" s="50" t="s">
        <v>77</v>
      </c>
      <c r="E7" s="50"/>
      <c r="F7" s="47" t="s">
        <v>73</v>
      </c>
      <c r="G7" s="44">
        <v>5</v>
      </c>
      <c r="H7" s="35">
        <f t="shared" si="0"/>
        <v>0.68181818181818177</v>
      </c>
      <c r="I7" s="44">
        <v>12</v>
      </c>
      <c r="J7" s="35">
        <f t="shared" si="1"/>
        <v>0.13636363636363635</v>
      </c>
      <c r="K7" s="44">
        <v>1</v>
      </c>
      <c r="L7" s="35">
        <f t="shared" si="2"/>
        <v>0.18181818181818182</v>
      </c>
      <c r="M7" s="44"/>
      <c r="N7" s="35">
        <f t="shared" si="3"/>
        <v>0</v>
      </c>
      <c r="O7" s="44"/>
      <c r="P7" s="35">
        <f t="shared" si="4"/>
        <v>0</v>
      </c>
      <c r="Q7" s="7">
        <f t="shared" si="5"/>
        <v>88</v>
      </c>
      <c r="R7" s="54">
        <v>115.64</v>
      </c>
      <c r="S7" s="59">
        <v>119.3</v>
      </c>
      <c r="T7" s="54">
        <v>-63.68</v>
      </c>
      <c r="U7" s="56">
        <v>-73</v>
      </c>
      <c r="V7" s="54">
        <v>968</v>
      </c>
      <c r="W7" s="56">
        <v>6.11</v>
      </c>
      <c r="X7" s="54">
        <v>39190</v>
      </c>
      <c r="Y7" s="56">
        <v>44600</v>
      </c>
      <c r="Z7" s="71">
        <v>21.7</v>
      </c>
      <c r="AA7" s="61">
        <v>30.2</v>
      </c>
      <c r="AB7" s="36">
        <f t="shared" si="6"/>
        <v>6.04</v>
      </c>
      <c r="AC7" s="8">
        <f t="shared" si="7"/>
        <v>38.345909090909082</v>
      </c>
      <c r="AD7" s="7">
        <f t="shared" si="8"/>
        <v>39.609090909090909</v>
      </c>
      <c r="AE7" s="7">
        <f t="shared" si="9"/>
        <v>37.790909090909089</v>
      </c>
      <c r="AF7" s="3">
        <f t="shared" si="10"/>
        <v>38.581969696969686</v>
      </c>
      <c r="AG7" s="7">
        <f t="shared" si="11"/>
        <v>0.46589691410547429</v>
      </c>
      <c r="AH7" s="44"/>
      <c r="AI7" s="12">
        <f t="shared" si="12"/>
        <v>0.13636363636363635</v>
      </c>
      <c r="AJ7" s="44"/>
      <c r="AK7" s="8">
        <f t="shared" ref="AK6:AK48" si="29">AC7-(0.2122*100*AI7)</f>
        <v>35.452272727272721</v>
      </c>
      <c r="AL7" s="7">
        <f t="shared" si="13"/>
        <v>36.715454545454548</v>
      </c>
      <c r="AM7" s="7">
        <f t="shared" si="24"/>
        <v>34.897272727272728</v>
      </c>
      <c r="AN7" s="3">
        <f t="shared" si="14"/>
        <v>35.688333333333333</v>
      </c>
      <c r="AO7" s="7">
        <f t="shared" si="15"/>
        <v>0.46589691410547424</v>
      </c>
      <c r="AP7" s="64">
        <f t="shared" si="25"/>
        <v>0</v>
      </c>
      <c r="AQ7" s="8">
        <f t="shared" si="16"/>
        <v>2.7172503242542154</v>
      </c>
      <c r="AR7" s="14">
        <f t="shared" si="17"/>
        <v>392.45</v>
      </c>
      <c r="AS7" s="14">
        <f t="shared" si="18"/>
        <v>303.8887725876441</v>
      </c>
      <c r="AT7" s="14">
        <f t="shared" si="19"/>
        <v>246.74</v>
      </c>
      <c r="AU7" s="7">
        <f t="shared" si="20"/>
        <v>49.523420000000016</v>
      </c>
      <c r="AV7" s="8">
        <f t="shared" si="21"/>
        <v>30.738772587644121</v>
      </c>
      <c r="AW7" s="7">
        <f t="shared" si="22"/>
        <v>9.7352333333333423</v>
      </c>
      <c r="AX7" s="37">
        <f t="shared" si="23"/>
        <v>30.738772587644121</v>
      </c>
      <c r="AY7" s="42">
        <v>34</v>
      </c>
      <c r="AZ7" s="15">
        <v>0.84</v>
      </c>
      <c r="BA7" s="42">
        <v>0.81</v>
      </c>
      <c r="BB7" s="8">
        <v>3.17</v>
      </c>
      <c r="BC7" s="43">
        <v>3.22</v>
      </c>
      <c r="BD7" s="67">
        <v>12.14</v>
      </c>
      <c r="BE7" s="42"/>
      <c r="BF7" s="67">
        <v>90.058269999999993</v>
      </c>
      <c r="BG7" s="42">
        <v>99.4</v>
      </c>
      <c r="BH7" s="7"/>
      <c r="BI7" s="67">
        <v>88.907936000000007</v>
      </c>
      <c r="BJ7" s="42">
        <v>90.8</v>
      </c>
      <c r="BK7" s="7"/>
      <c r="BL7" s="67">
        <f t="shared" si="27"/>
        <v>1.1503339999999866</v>
      </c>
      <c r="BM7" s="43">
        <f>BG7-BJ7</f>
        <v>8.6000000000000085</v>
      </c>
      <c r="BN7" s="11"/>
      <c r="BO7" s="11">
        <f t="shared" si="28"/>
        <v>89.483103</v>
      </c>
      <c r="BP7" s="11">
        <f>AVERAGE(BG7,BJ7)</f>
        <v>95.1</v>
      </c>
      <c r="BQ7" s="11"/>
      <c r="BR7" s="47"/>
      <c r="BS7" s="11"/>
      <c r="BT7" s="11"/>
      <c r="BU7" s="92">
        <f t="shared" si="26"/>
        <v>1.2171843415355359E-101</v>
      </c>
      <c r="BV7" s="2">
        <v>2</v>
      </c>
      <c r="BW7" s="2">
        <v>113.7</v>
      </c>
    </row>
    <row r="8" spans="1:76" s="2" customFormat="1" ht="15.6" x14ac:dyDescent="0.3">
      <c r="A8" s="34" t="s">
        <v>92</v>
      </c>
      <c r="B8" s="47" t="s">
        <v>96</v>
      </c>
      <c r="C8" s="43"/>
      <c r="D8" s="50" t="s">
        <v>90</v>
      </c>
      <c r="E8" s="50"/>
      <c r="F8" s="47" t="s">
        <v>73</v>
      </c>
      <c r="G8" s="44">
        <v>5</v>
      </c>
      <c r="H8" s="35">
        <f t="shared" si="0"/>
        <v>0.68181818181818177</v>
      </c>
      <c r="I8" s="44">
        <v>12</v>
      </c>
      <c r="J8" s="35">
        <f t="shared" si="1"/>
        <v>0.13636363636363635</v>
      </c>
      <c r="K8" s="44">
        <v>1</v>
      </c>
      <c r="L8" s="35">
        <f t="shared" si="2"/>
        <v>0.18181818181818182</v>
      </c>
      <c r="M8" s="44"/>
      <c r="N8" s="35">
        <f t="shared" si="3"/>
        <v>0</v>
      </c>
      <c r="O8" s="44"/>
      <c r="P8" s="35">
        <f t="shared" si="4"/>
        <v>0</v>
      </c>
      <c r="Q8" s="7">
        <f t="shared" si="5"/>
        <v>88</v>
      </c>
      <c r="R8" s="54">
        <v>115.64</v>
      </c>
      <c r="S8" s="59">
        <v>116.2</v>
      </c>
      <c r="T8" s="54">
        <v>-63.68</v>
      </c>
      <c r="U8" s="56">
        <v>-69</v>
      </c>
      <c r="V8" s="54">
        <v>1140</v>
      </c>
      <c r="W8" s="56">
        <v>8.77</v>
      </c>
      <c r="X8" s="54">
        <v>37680</v>
      </c>
      <c r="Y8" s="56">
        <v>51500</v>
      </c>
      <c r="Z8" s="71">
        <v>21.7</v>
      </c>
      <c r="AA8" s="61">
        <v>29.1</v>
      </c>
      <c r="AB8" s="36">
        <f t="shared" si="6"/>
        <v>5.82</v>
      </c>
      <c r="AC8" s="8">
        <f t="shared" si="7"/>
        <v>38.345909090909082</v>
      </c>
      <c r="AD8" s="7">
        <f t="shared" si="8"/>
        <v>39.609090909090909</v>
      </c>
      <c r="AE8" s="7">
        <f t="shared" si="9"/>
        <v>37.790909090909089</v>
      </c>
      <c r="AF8" s="3">
        <f t="shared" si="10"/>
        <v>38.581969696969686</v>
      </c>
      <c r="AG8" s="7">
        <f t="shared" si="11"/>
        <v>0.46589691410547429</v>
      </c>
      <c r="AH8" s="44"/>
      <c r="AI8" s="12">
        <f t="shared" si="12"/>
        <v>0.13636363636363635</v>
      </c>
      <c r="AJ8" s="44"/>
      <c r="AK8" s="8">
        <f t="shared" si="29"/>
        <v>35.452272727272721</v>
      </c>
      <c r="AL8" s="7">
        <f t="shared" si="13"/>
        <v>36.715454545454548</v>
      </c>
      <c r="AM8" s="7">
        <f t="shared" si="24"/>
        <v>34.897272727272728</v>
      </c>
      <c r="AN8" s="3">
        <f t="shared" si="14"/>
        <v>35.688333333333333</v>
      </c>
      <c r="AO8" s="7">
        <f t="shared" si="15"/>
        <v>0.46589691410547424</v>
      </c>
      <c r="AP8" s="64">
        <f t="shared" si="25"/>
        <v>0</v>
      </c>
      <c r="AQ8" s="8">
        <f t="shared" si="16"/>
        <v>2.7172503242542154</v>
      </c>
      <c r="AR8" s="14">
        <f t="shared" si="17"/>
        <v>389.34999999999997</v>
      </c>
      <c r="AS8" s="14">
        <f t="shared" si="18"/>
        <v>301.48832617403292</v>
      </c>
      <c r="AT8" s="14">
        <f t="shared" si="19"/>
        <v>241.16</v>
      </c>
      <c r="AU8" s="7">
        <f t="shared" si="20"/>
        <v>45.712280000000021</v>
      </c>
      <c r="AV8" s="8">
        <f t="shared" si="21"/>
        <v>28.338326174032943</v>
      </c>
      <c r="AW8" s="7">
        <f t="shared" si="22"/>
        <v>7.6179333333333448</v>
      </c>
      <c r="AX8" s="37">
        <f t="shared" si="23"/>
        <v>28.338326174032943</v>
      </c>
      <c r="AY8" s="42">
        <v>40</v>
      </c>
      <c r="AZ8" s="15">
        <v>0.84</v>
      </c>
      <c r="BA8" s="42">
        <v>0.81</v>
      </c>
      <c r="BB8" s="8">
        <v>3.22</v>
      </c>
      <c r="BC8" s="43">
        <v>3.85</v>
      </c>
      <c r="BD8" s="67">
        <v>11.83</v>
      </c>
      <c r="BE8" s="42"/>
      <c r="BF8" s="67">
        <v>92.861620000000002</v>
      </c>
      <c r="BG8" s="42">
        <v>103</v>
      </c>
      <c r="BH8" s="7"/>
      <c r="BI8" s="67">
        <v>87.296710000000004</v>
      </c>
      <c r="BJ8" s="42">
        <v>90.8</v>
      </c>
      <c r="BK8" s="7"/>
      <c r="BL8" s="67">
        <f t="shared" si="27"/>
        <v>5.5649099999999976</v>
      </c>
      <c r="BM8" s="43">
        <f>BG8-BJ8</f>
        <v>12.200000000000003</v>
      </c>
      <c r="BN8" s="11"/>
      <c r="BO8" s="11">
        <f t="shared" si="28"/>
        <v>90.079165000000003</v>
      </c>
      <c r="BP8" s="11">
        <f>AVERAGE(BG8,BJ8)</f>
        <v>96.9</v>
      </c>
      <c r="BQ8" s="11"/>
      <c r="BR8" s="47"/>
      <c r="BS8" s="11"/>
      <c r="BT8" s="11"/>
      <c r="BU8" s="92">
        <f t="shared" si="26"/>
        <v>1.6804749735307183E-101</v>
      </c>
      <c r="BV8" s="2">
        <v>2.2599999999999998</v>
      </c>
      <c r="BW8" s="2">
        <v>765</v>
      </c>
    </row>
    <row r="9" spans="1:76" s="2" customFormat="1" ht="15.6" x14ac:dyDescent="0.3">
      <c r="A9" s="34" t="s">
        <v>85</v>
      </c>
      <c r="B9" s="47" t="s">
        <v>99</v>
      </c>
      <c r="C9" s="43"/>
      <c r="D9" s="50" t="s">
        <v>78</v>
      </c>
      <c r="E9" s="50"/>
      <c r="F9" s="47" t="s">
        <v>97</v>
      </c>
      <c r="G9" s="44">
        <v>6</v>
      </c>
      <c r="H9" s="35">
        <f t="shared" si="0"/>
        <v>0.70588235294117652</v>
      </c>
      <c r="I9" s="44">
        <v>14</v>
      </c>
      <c r="J9" s="35">
        <f t="shared" si="1"/>
        <v>0.13725490196078433</v>
      </c>
      <c r="K9" s="44">
        <v>1</v>
      </c>
      <c r="L9" s="35">
        <f t="shared" si="2"/>
        <v>0.15686274509803921</v>
      </c>
      <c r="M9" s="44"/>
      <c r="N9" s="35">
        <f t="shared" si="3"/>
        <v>0</v>
      </c>
      <c r="O9" s="44"/>
      <c r="P9" s="35">
        <f t="shared" si="4"/>
        <v>0</v>
      </c>
      <c r="Q9" s="7">
        <f t="shared" si="5"/>
        <v>102</v>
      </c>
      <c r="R9" s="54">
        <v>124.88</v>
      </c>
      <c r="S9" s="56">
        <v>131.6</v>
      </c>
      <c r="T9" s="54">
        <v>-62.85</v>
      </c>
      <c r="U9" s="56">
        <v>-90</v>
      </c>
      <c r="V9" s="54">
        <v>498</v>
      </c>
      <c r="W9" s="56">
        <v>5.3</v>
      </c>
      <c r="X9" s="54">
        <v>13800</v>
      </c>
      <c r="Y9" s="56">
        <v>16400</v>
      </c>
      <c r="Z9" s="71">
        <v>33.799999999999997</v>
      </c>
      <c r="AA9" s="61">
        <v>42</v>
      </c>
      <c r="AB9" s="36">
        <f t="shared" si="6"/>
        <v>7</v>
      </c>
      <c r="AC9" s="8">
        <f t="shared" si="7"/>
        <v>39.519019607843134</v>
      </c>
      <c r="AD9" s="7">
        <f t="shared" si="8"/>
        <v>40.905882352941177</v>
      </c>
      <c r="AE9" s="7">
        <f t="shared" si="9"/>
        <v>39.01705882352941</v>
      </c>
      <c r="AF9" s="3">
        <f t="shared" si="10"/>
        <v>39.813986928104576</v>
      </c>
      <c r="AG9" s="7">
        <f t="shared" si="11"/>
        <v>0.48917478249894009</v>
      </c>
      <c r="AH9" s="44"/>
      <c r="AI9" s="12">
        <f t="shared" si="12"/>
        <v>0.13725490196078433</v>
      </c>
      <c r="AJ9" s="44"/>
      <c r="AK9" s="8">
        <f t="shared" si="29"/>
        <v>36.60647058823529</v>
      </c>
      <c r="AL9" s="7">
        <f t="shared" si="13"/>
        <v>37.993333333333332</v>
      </c>
      <c r="AM9" s="7">
        <f t="shared" si="24"/>
        <v>36.104509803921566</v>
      </c>
      <c r="AN9" s="3">
        <f t="shared" si="14"/>
        <v>36.901437908496725</v>
      </c>
      <c r="AO9" s="7">
        <f t="shared" si="15"/>
        <v>0.48917478249894009</v>
      </c>
      <c r="AP9" s="64">
        <f t="shared" si="25"/>
        <v>0</v>
      </c>
      <c r="AQ9" s="8">
        <f t="shared" si="16"/>
        <v>2.2747014115092288</v>
      </c>
      <c r="AR9" s="14">
        <f t="shared" si="17"/>
        <v>404.75</v>
      </c>
      <c r="AS9" s="14">
        <f t="shared" si="18"/>
        <v>310.43463682171398</v>
      </c>
      <c r="AT9" s="14">
        <f t="shared" si="19"/>
        <v>268.88</v>
      </c>
      <c r="AU9" s="7">
        <f t="shared" si="20"/>
        <v>64.645040000000023</v>
      </c>
      <c r="AV9" s="8">
        <f t="shared" si="21"/>
        <v>37.284636821714003</v>
      </c>
      <c r="AW9" s="7">
        <f t="shared" si="22"/>
        <v>18.136133333333348</v>
      </c>
      <c r="AX9" s="37">
        <f t="shared" si="23"/>
        <v>37.284636821714003</v>
      </c>
      <c r="AY9" s="42">
        <v>41.1</v>
      </c>
      <c r="AZ9" s="15">
        <v>0.83</v>
      </c>
      <c r="BA9" s="42">
        <v>0.81</v>
      </c>
      <c r="BB9" s="8">
        <v>3.47</v>
      </c>
      <c r="BC9" s="42">
        <v>4.07</v>
      </c>
      <c r="BD9" s="67">
        <v>11.07</v>
      </c>
      <c r="BE9" s="42"/>
      <c r="BF9" s="67">
        <v>74.535324000000003</v>
      </c>
      <c r="BG9" s="42"/>
      <c r="BH9" s="7"/>
      <c r="BI9" s="67">
        <v>77.236819999999994</v>
      </c>
      <c r="BJ9" s="42"/>
      <c r="BK9" s="7"/>
      <c r="BL9" s="67">
        <f t="shared" si="27"/>
        <v>-2.7014959999999917</v>
      </c>
      <c r="BM9" s="43"/>
      <c r="BN9" s="11"/>
      <c r="BO9" s="11">
        <f t="shared" si="28"/>
        <v>75.886071999999999</v>
      </c>
      <c r="BP9" s="11"/>
      <c r="BQ9" s="11"/>
      <c r="BR9" s="47"/>
      <c r="BS9" s="11"/>
      <c r="BT9" s="11"/>
      <c r="BU9" s="92">
        <f t="shared" si="26"/>
        <v>5.1160172402460032E-102</v>
      </c>
      <c r="BV9" s="2">
        <v>0</v>
      </c>
      <c r="BW9" s="2">
        <v>0</v>
      </c>
    </row>
    <row r="10" spans="1:76" s="2" customFormat="1" ht="15.6" x14ac:dyDescent="0.3">
      <c r="A10" s="34" t="s">
        <v>107</v>
      </c>
      <c r="B10" s="47" t="s">
        <v>137</v>
      </c>
      <c r="C10" s="43"/>
      <c r="D10" s="50"/>
      <c r="E10" s="50"/>
      <c r="F10" s="47" t="s">
        <v>97</v>
      </c>
      <c r="G10" s="44">
        <v>6</v>
      </c>
      <c r="H10" s="35">
        <f t="shared" si="0"/>
        <v>0.70588235294117652</v>
      </c>
      <c r="I10" s="44">
        <v>14</v>
      </c>
      <c r="J10" s="35">
        <f t="shared" si="1"/>
        <v>0.13725490196078433</v>
      </c>
      <c r="K10" s="44">
        <v>1</v>
      </c>
      <c r="L10" s="35">
        <f t="shared" si="2"/>
        <v>0.15686274509803921</v>
      </c>
      <c r="M10" s="44"/>
      <c r="N10" s="35">
        <f t="shared" si="3"/>
        <v>0</v>
      </c>
      <c r="O10" s="44"/>
      <c r="P10" s="35">
        <f t="shared" si="4"/>
        <v>0</v>
      </c>
      <c r="Q10" s="7">
        <f t="shared" si="5"/>
        <v>102</v>
      </c>
      <c r="R10" s="54">
        <v>124.88</v>
      </c>
      <c r="S10" s="56">
        <v>126.5</v>
      </c>
      <c r="T10" s="54">
        <v>-62.85</v>
      </c>
      <c r="U10" s="59" t="s">
        <v>106</v>
      </c>
      <c r="V10" s="54">
        <v>657</v>
      </c>
      <c r="W10" s="59" t="s">
        <v>106</v>
      </c>
      <c r="X10" s="54">
        <v>13800</v>
      </c>
      <c r="Y10" s="56">
        <v>20100</v>
      </c>
      <c r="Z10" s="71">
        <v>33.799999999999997</v>
      </c>
      <c r="AA10" s="61" t="s">
        <v>106</v>
      </c>
      <c r="AB10" s="40">
        <f>Z10/G10</f>
        <v>5.6333333333333329</v>
      </c>
      <c r="AC10" s="8">
        <f t="shared" si="7"/>
        <v>39.519019607843134</v>
      </c>
      <c r="AD10" s="7">
        <f t="shared" si="8"/>
        <v>40.905882352941177</v>
      </c>
      <c r="AE10" s="7">
        <f t="shared" si="9"/>
        <v>39.01705882352941</v>
      </c>
      <c r="AF10" s="3">
        <f t="shared" si="10"/>
        <v>39.813986928104576</v>
      </c>
      <c r="AG10" s="7">
        <f t="shared" si="11"/>
        <v>0.48917478249894009</v>
      </c>
      <c r="AH10" s="44"/>
      <c r="AI10" s="12">
        <f t="shared" si="12"/>
        <v>0.13725490196078433</v>
      </c>
      <c r="AJ10" s="44"/>
      <c r="AK10" s="8">
        <f t="shared" si="29"/>
        <v>36.60647058823529</v>
      </c>
      <c r="AL10" s="7">
        <f t="shared" si="13"/>
        <v>37.993333333333332</v>
      </c>
      <c r="AM10" s="7">
        <f t="shared" si="24"/>
        <v>36.104509803921566</v>
      </c>
      <c r="AN10" s="3">
        <f t="shared" si="14"/>
        <v>36.901437908496725</v>
      </c>
      <c r="AO10" s="7">
        <f t="shared" si="15"/>
        <v>0.48917478249894009</v>
      </c>
      <c r="AP10" s="64">
        <f t="shared" si="25"/>
        <v>0</v>
      </c>
      <c r="AQ10" s="8">
        <f t="shared" si="16"/>
        <v>2.2747014115092288</v>
      </c>
      <c r="AR10" s="14">
        <f t="shared" si="17"/>
        <v>399.65</v>
      </c>
      <c r="AS10" s="14">
        <f t="shared" si="18"/>
        <v>306.52304535095243</v>
      </c>
      <c r="AT10" s="14">
        <f t="shared" si="19"/>
        <v>259.7</v>
      </c>
      <c r="AU10" s="7">
        <f t="shared" si="20"/>
        <v>58.375100000000003</v>
      </c>
      <c r="AV10" s="8">
        <f t="shared" si="21"/>
        <v>33.373045350952452</v>
      </c>
      <c r="AW10" s="7">
        <f t="shared" si="22"/>
        <v>14.652833333333335</v>
      </c>
      <c r="AX10" s="37">
        <f t="shared" si="23"/>
        <v>33.373045350952452</v>
      </c>
      <c r="AY10" s="42">
        <v>46.1</v>
      </c>
      <c r="AZ10" s="15">
        <v>0.83</v>
      </c>
      <c r="BA10" s="42">
        <v>0.81</v>
      </c>
      <c r="BB10" s="8">
        <v>3.93</v>
      </c>
      <c r="BC10" s="42" t="s">
        <v>193</v>
      </c>
      <c r="BD10" s="67">
        <v>11.05</v>
      </c>
      <c r="BE10" s="42"/>
      <c r="BF10" s="67">
        <v>92.672960000000003</v>
      </c>
      <c r="BG10" s="42"/>
      <c r="BH10" s="7"/>
      <c r="BI10" s="67">
        <v>81.693430000000006</v>
      </c>
      <c r="BJ10" s="42"/>
      <c r="BK10" s="7"/>
      <c r="BL10" s="67">
        <f t="shared" si="27"/>
        <v>10.979529999999997</v>
      </c>
      <c r="BM10" s="43"/>
      <c r="BN10" s="11"/>
      <c r="BO10" s="11">
        <f t="shared" si="28"/>
        <v>87.183195000000012</v>
      </c>
      <c r="BP10" s="11"/>
      <c r="BQ10" s="11"/>
      <c r="BR10" s="47"/>
      <c r="BS10" s="11"/>
      <c r="BT10" s="11"/>
      <c r="BU10" s="92">
        <f t="shared" si="26"/>
        <v>8.5684907029959888E-102</v>
      </c>
      <c r="BV10" s="2">
        <v>0</v>
      </c>
      <c r="BW10" s="2">
        <v>0</v>
      </c>
    </row>
    <row r="11" spans="1:76" s="2" customFormat="1" ht="15.6" x14ac:dyDescent="0.3">
      <c r="A11" s="34" t="s">
        <v>113</v>
      </c>
      <c r="B11" s="47" t="s">
        <v>138</v>
      </c>
      <c r="C11" s="43"/>
      <c r="D11" s="50"/>
      <c r="E11" s="50"/>
      <c r="F11" s="47" t="s">
        <v>101</v>
      </c>
      <c r="G11" s="44">
        <v>7</v>
      </c>
      <c r="H11" s="35">
        <f t="shared" si="0"/>
        <v>0.72413793103448276</v>
      </c>
      <c r="I11" s="44">
        <v>16</v>
      </c>
      <c r="J11" s="35">
        <f t="shared" si="1"/>
        <v>0.13793103448275862</v>
      </c>
      <c r="K11" s="44">
        <v>1</v>
      </c>
      <c r="L11" s="35">
        <f t="shared" si="2"/>
        <v>0.13793103448275862</v>
      </c>
      <c r="M11" s="44"/>
      <c r="N11" s="35">
        <f t="shared" si="3"/>
        <v>0</v>
      </c>
      <c r="O11" s="44"/>
      <c r="P11" s="35">
        <f t="shared" si="4"/>
        <v>0</v>
      </c>
      <c r="Q11" s="7">
        <f t="shared" si="5"/>
        <v>116</v>
      </c>
      <c r="R11" s="54">
        <v>133.97</v>
      </c>
      <c r="S11" s="56">
        <v>138.69999999999999</v>
      </c>
      <c r="T11" s="54">
        <v>-62.06</v>
      </c>
      <c r="U11" s="56" t="s">
        <v>186</v>
      </c>
      <c r="V11" s="54">
        <v>338</v>
      </c>
      <c r="W11" s="56">
        <v>3</v>
      </c>
      <c r="X11" s="54">
        <v>5459</v>
      </c>
      <c r="Y11" s="56">
        <v>7000</v>
      </c>
      <c r="Z11" s="71">
        <v>46</v>
      </c>
      <c r="AA11" s="61">
        <v>41.9</v>
      </c>
      <c r="AB11" s="36">
        <f>AA11/G11</f>
        <v>5.9857142857142858</v>
      </c>
      <c r="AC11" s="8">
        <f t="shared" si="7"/>
        <v>40.408965517241377</v>
      </c>
      <c r="AD11" s="7">
        <f t="shared" si="8"/>
        <v>41.889655172413796</v>
      </c>
      <c r="AE11" s="7">
        <f t="shared" si="9"/>
        <v>39.947241379310348</v>
      </c>
      <c r="AF11" s="3">
        <f t="shared" si="10"/>
        <v>40.748620689655176</v>
      </c>
      <c r="AG11" s="7">
        <f t="shared" si="11"/>
        <v>0.5073871951035559</v>
      </c>
      <c r="AH11" s="44"/>
      <c r="AI11" s="12">
        <f t="shared" si="12"/>
        <v>0.13793103448275862</v>
      </c>
      <c r="AJ11" s="44"/>
      <c r="AK11" s="8">
        <f t="shared" si="29"/>
        <v>37.482068965517243</v>
      </c>
      <c r="AL11" s="7">
        <f t="shared" si="13"/>
        <v>38.962758620689655</v>
      </c>
      <c r="AM11" s="7">
        <f t="shared" si="24"/>
        <v>37.020344827586214</v>
      </c>
      <c r="AN11" s="3">
        <f t="shared" si="14"/>
        <v>37.821724137931035</v>
      </c>
      <c r="AO11" s="7">
        <f t="shared" si="15"/>
        <v>0.5073871951035539</v>
      </c>
      <c r="AP11" s="64">
        <f t="shared" si="25"/>
        <v>0</v>
      </c>
      <c r="AQ11" s="8">
        <f t="shared" si="16"/>
        <v>1.9561157796451911</v>
      </c>
      <c r="AR11" s="14">
        <f t="shared" si="17"/>
        <v>411.84999999999997</v>
      </c>
      <c r="AS11" s="14">
        <f t="shared" si="18"/>
        <v>313.35260981270164</v>
      </c>
      <c r="AT11" s="14">
        <f t="shared" si="19"/>
        <v>281.65999999999997</v>
      </c>
      <c r="AU11" s="7">
        <f t="shared" si="20"/>
        <v>73.373779999999982</v>
      </c>
      <c r="AV11" s="8">
        <f t="shared" si="21"/>
        <v>40.202609812701667</v>
      </c>
      <c r="AW11" s="7">
        <f t="shared" si="22"/>
        <v>22.985433333333322</v>
      </c>
      <c r="AX11" s="37">
        <f t="shared" si="23"/>
        <v>40.202609812701667</v>
      </c>
      <c r="AY11" s="42">
        <v>37</v>
      </c>
      <c r="AZ11" s="15">
        <v>0.82</v>
      </c>
      <c r="BA11" s="42">
        <v>0.81</v>
      </c>
      <c r="BB11" s="8">
        <v>2.63</v>
      </c>
      <c r="BC11" s="42" t="s">
        <v>193</v>
      </c>
      <c r="BD11" s="67">
        <v>9.11</v>
      </c>
      <c r="BE11" s="42"/>
      <c r="BF11" s="67">
        <v>75.158103999999994</v>
      </c>
      <c r="BG11" s="42"/>
      <c r="BH11" s="7"/>
      <c r="BI11" s="67">
        <v>83.287030000000001</v>
      </c>
      <c r="BJ11" s="42"/>
      <c r="BK11" s="7"/>
      <c r="BL11" s="67">
        <f t="shared" si="27"/>
        <v>-8.128926000000007</v>
      </c>
      <c r="BM11" s="43"/>
      <c r="BN11" s="11"/>
      <c r="BO11" s="11">
        <f t="shared" si="28"/>
        <v>79.222566999999998</v>
      </c>
      <c r="BP11" s="11"/>
      <c r="BQ11" s="11"/>
      <c r="BR11" s="47"/>
      <c r="BS11" s="11"/>
      <c r="BT11" s="11"/>
      <c r="BU11" s="92">
        <f t="shared" si="26"/>
        <v>3.4969067841032597E-102</v>
      </c>
      <c r="BV11" s="2">
        <v>0</v>
      </c>
      <c r="BW11" s="2">
        <v>0</v>
      </c>
    </row>
    <row r="12" spans="1:76" s="2" customFormat="1" ht="15.6" x14ac:dyDescent="0.3">
      <c r="A12" s="34" t="s">
        <v>86</v>
      </c>
      <c r="B12" s="47" t="s">
        <v>100</v>
      </c>
      <c r="C12" s="43"/>
      <c r="D12" s="50" t="s">
        <v>79</v>
      </c>
      <c r="E12" s="50"/>
      <c r="F12" s="47" t="s">
        <v>97</v>
      </c>
      <c r="G12" s="44">
        <v>6</v>
      </c>
      <c r="H12" s="35">
        <f t="shared" si="0"/>
        <v>0.70588235294117652</v>
      </c>
      <c r="I12" s="44">
        <v>14</v>
      </c>
      <c r="J12" s="35">
        <f t="shared" si="1"/>
        <v>0.13725490196078433</v>
      </c>
      <c r="K12" s="44">
        <v>1</v>
      </c>
      <c r="L12" s="35">
        <f t="shared" si="2"/>
        <v>0.15686274509803921</v>
      </c>
      <c r="M12" s="44"/>
      <c r="N12" s="35">
        <f t="shared" si="3"/>
        <v>0</v>
      </c>
      <c r="O12" s="44"/>
      <c r="P12" s="35">
        <f t="shared" si="4"/>
        <v>0</v>
      </c>
      <c r="Q12" s="7">
        <f t="shared" si="5"/>
        <v>102</v>
      </c>
      <c r="R12" s="54">
        <v>138.62</v>
      </c>
      <c r="S12" s="56">
        <v>136</v>
      </c>
      <c r="T12" s="54">
        <v>-51.34</v>
      </c>
      <c r="U12" s="59" t="s">
        <v>106</v>
      </c>
      <c r="V12" s="54">
        <v>392</v>
      </c>
      <c r="W12" s="59" t="s">
        <v>106</v>
      </c>
      <c r="X12" s="54">
        <v>11710</v>
      </c>
      <c r="Y12" s="56">
        <v>13700</v>
      </c>
      <c r="Z12" s="71">
        <v>28.1</v>
      </c>
      <c r="AA12" s="61">
        <v>34.1</v>
      </c>
      <c r="AB12" s="36">
        <f>AA12/G12</f>
        <v>5.6833333333333336</v>
      </c>
      <c r="AC12" s="8">
        <f t="shared" si="7"/>
        <v>39.519019607843134</v>
      </c>
      <c r="AD12" s="7">
        <f t="shared" si="8"/>
        <v>40.905882352941177</v>
      </c>
      <c r="AE12" s="7">
        <f t="shared" si="9"/>
        <v>39.01705882352941</v>
      </c>
      <c r="AF12" s="3">
        <f t="shared" si="10"/>
        <v>39.813986928104576</v>
      </c>
      <c r="AG12" s="7">
        <f t="shared" si="11"/>
        <v>0.48917478249894009</v>
      </c>
      <c r="AH12" s="44"/>
      <c r="AI12" s="12">
        <f t="shared" si="12"/>
        <v>0.13725490196078433</v>
      </c>
      <c r="AJ12" s="44"/>
      <c r="AK12" s="8">
        <f t="shared" si="29"/>
        <v>36.60647058823529</v>
      </c>
      <c r="AL12" s="7">
        <f t="shared" si="13"/>
        <v>37.993333333333332</v>
      </c>
      <c r="AM12" s="7">
        <f t="shared" si="24"/>
        <v>36.104509803921566</v>
      </c>
      <c r="AN12" s="3">
        <f t="shared" si="14"/>
        <v>36.901437908496725</v>
      </c>
      <c r="AO12" s="7">
        <f t="shared" si="15"/>
        <v>0.48917478249894009</v>
      </c>
      <c r="AP12" s="64">
        <f t="shared" si="25"/>
        <v>0</v>
      </c>
      <c r="AQ12" s="8">
        <f t="shared" si="16"/>
        <v>2.2747014115092288</v>
      </c>
      <c r="AR12" s="14">
        <f t="shared" si="17"/>
        <v>409.15</v>
      </c>
      <c r="AS12" s="14">
        <f t="shared" si="18"/>
        <v>313.80934318864553</v>
      </c>
      <c r="AT12" s="14">
        <f t="shared" si="19"/>
        <v>276.8</v>
      </c>
      <c r="AU12" s="7">
        <f t="shared" si="20"/>
        <v>70.054400000000015</v>
      </c>
      <c r="AV12" s="8">
        <f t="shared" si="21"/>
        <v>40.659343188645551</v>
      </c>
      <c r="AW12" s="7">
        <f t="shared" si="22"/>
        <v>21.141333333333343</v>
      </c>
      <c r="AX12" s="37">
        <f t="shared" si="23"/>
        <v>40.659343188645551</v>
      </c>
      <c r="AY12" s="42">
        <v>41</v>
      </c>
      <c r="AZ12" s="15">
        <v>0.84</v>
      </c>
      <c r="BA12" s="42" t="s">
        <v>193</v>
      </c>
      <c r="BB12" s="8">
        <v>3.53</v>
      </c>
      <c r="BC12" s="42" t="s">
        <v>193</v>
      </c>
      <c r="BD12" s="67">
        <v>17.96</v>
      </c>
      <c r="BE12" s="42"/>
      <c r="BF12" s="67">
        <v>70.56926</v>
      </c>
      <c r="BG12" s="42"/>
      <c r="BH12" s="7"/>
      <c r="BI12" s="67">
        <v>76.69059</v>
      </c>
      <c r="BJ12" s="42"/>
      <c r="BK12" s="7"/>
      <c r="BL12" s="67">
        <f t="shared" si="27"/>
        <v>-6.1213300000000004</v>
      </c>
      <c r="BM12" s="43"/>
      <c r="BN12" s="11"/>
      <c r="BO12" s="11">
        <f t="shared" si="28"/>
        <v>73.629925</v>
      </c>
      <c r="BP12" s="11"/>
      <c r="BQ12" s="11"/>
      <c r="BR12" s="47"/>
      <c r="BS12" s="11"/>
      <c r="BT12" s="11"/>
      <c r="BU12" s="92">
        <f t="shared" si="26"/>
        <v>3.2957797653598046E-102</v>
      </c>
      <c r="BV12" s="2">
        <v>2.4</v>
      </c>
      <c r="BW12" s="2">
        <v>163</v>
      </c>
      <c r="BX12" s="94"/>
    </row>
    <row r="13" spans="1:76" s="2" customFormat="1" ht="15.6" x14ac:dyDescent="0.3">
      <c r="A13" s="34" t="s">
        <v>93</v>
      </c>
      <c r="B13" s="47" t="s">
        <v>98</v>
      </c>
      <c r="C13" s="43"/>
      <c r="D13" s="50" t="s">
        <v>91</v>
      </c>
      <c r="E13" s="50"/>
      <c r="F13" s="47" t="s">
        <v>97</v>
      </c>
      <c r="G13" s="44">
        <v>6</v>
      </c>
      <c r="H13" s="35">
        <f t="shared" si="0"/>
        <v>0.70588235294117652</v>
      </c>
      <c r="I13" s="44">
        <v>14</v>
      </c>
      <c r="J13" s="35">
        <f t="shared" si="1"/>
        <v>0.13725490196078433</v>
      </c>
      <c r="K13" s="44">
        <v>1</v>
      </c>
      <c r="L13" s="35">
        <f t="shared" si="2"/>
        <v>0.15686274509803921</v>
      </c>
      <c r="M13" s="44"/>
      <c r="N13" s="35">
        <f t="shared" si="3"/>
        <v>0</v>
      </c>
      <c r="O13" s="44"/>
      <c r="P13" s="35">
        <f t="shared" si="4"/>
        <v>0</v>
      </c>
      <c r="Q13" s="7">
        <f t="shared" si="5"/>
        <v>102</v>
      </c>
      <c r="R13" s="54">
        <v>138.62</v>
      </c>
      <c r="S13" s="56">
        <v>134.75</v>
      </c>
      <c r="T13" s="54">
        <v>-51.34</v>
      </c>
      <c r="U13" s="59" t="s">
        <v>106</v>
      </c>
      <c r="V13" s="54">
        <v>419</v>
      </c>
      <c r="W13" s="59" t="s">
        <v>106</v>
      </c>
      <c r="X13" s="54">
        <v>14530</v>
      </c>
      <c r="Y13" s="59" t="s">
        <v>106</v>
      </c>
      <c r="Z13" s="71">
        <v>28.1</v>
      </c>
      <c r="AA13" s="61">
        <v>33.9</v>
      </c>
      <c r="AB13" s="36">
        <f>AA13/G13</f>
        <v>5.6499999999999995</v>
      </c>
      <c r="AC13" s="8">
        <f t="shared" si="7"/>
        <v>39.519019607843134</v>
      </c>
      <c r="AD13" s="7">
        <f t="shared" si="8"/>
        <v>40.905882352941177</v>
      </c>
      <c r="AE13" s="7">
        <f t="shared" si="9"/>
        <v>39.01705882352941</v>
      </c>
      <c r="AF13" s="3">
        <f t="shared" si="10"/>
        <v>39.813986928104576</v>
      </c>
      <c r="AG13" s="7">
        <f t="shared" si="11"/>
        <v>0.48917478249894009</v>
      </c>
      <c r="AH13" s="44"/>
      <c r="AI13" s="12">
        <f t="shared" si="12"/>
        <v>0.13725490196078433</v>
      </c>
      <c r="AJ13" s="44"/>
      <c r="AK13" s="8">
        <f t="shared" si="29"/>
        <v>36.60647058823529</v>
      </c>
      <c r="AL13" s="7">
        <f t="shared" si="13"/>
        <v>37.993333333333332</v>
      </c>
      <c r="AM13" s="7">
        <f t="shared" si="24"/>
        <v>36.104509803921566</v>
      </c>
      <c r="AN13" s="3">
        <f t="shared" si="14"/>
        <v>36.901437908496725</v>
      </c>
      <c r="AO13" s="7">
        <f t="shared" si="15"/>
        <v>0.48917478249894009</v>
      </c>
      <c r="AP13" s="64">
        <f t="shared" si="25"/>
        <v>0</v>
      </c>
      <c r="AQ13" s="8">
        <f t="shared" si="16"/>
        <v>2.2747014115092288</v>
      </c>
      <c r="AR13" s="14">
        <f t="shared" si="17"/>
        <v>407.9</v>
      </c>
      <c r="AS13" s="14">
        <f t="shared" si="18"/>
        <v>312.85061978894907</v>
      </c>
      <c r="AT13" s="14">
        <f t="shared" si="19"/>
        <v>274.55</v>
      </c>
      <c r="AU13" s="7">
        <f t="shared" si="20"/>
        <v>68.517650000000032</v>
      </c>
      <c r="AV13" s="8">
        <f t="shared" si="21"/>
        <v>39.700619788949098</v>
      </c>
      <c r="AW13" s="7">
        <f t="shared" si="22"/>
        <v>20.287583333333352</v>
      </c>
      <c r="AX13" s="37">
        <f t="shared" si="23"/>
        <v>39.700619788949098</v>
      </c>
      <c r="AY13" s="42">
        <v>41.67</v>
      </c>
      <c r="AZ13" s="15">
        <v>0.84</v>
      </c>
      <c r="BA13" s="42">
        <v>0.81</v>
      </c>
      <c r="BB13" s="8">
        <v>3.97</v>
      </c>
      <c r="BC13" s="42" t="s">
        <v>193</v>
      </c>
      <c r="BD13" s="67">
        <v>15.34</v>
      </c>
      <c r="BE13" s="42"/>
      <c r="BF13" s="67">
        <v>70.916830000000004</v>
      </c>
      <c r="BG13" s="42"/>
      <c r="BH13" s="7"/>
      <c r="BI13" s="67">
        <v>86.462299999999999</v>
      </c>
      <c r="BJ13" s="42"/>
      <c r="BK13" s="7"/>
      <c r="BL13" s="67">
        <f t="shared" si="27"/>
        <v>-15.545469999999995</v>
      </c>
      <c r="BM13" s="43"/>
      <c r="BN13" s="11"/>
      <c r="BO13" s="11">
        <f t="shared" si="28"/>
        <v>78.689565000000002</v>
      </c>
      <c r="BP13" s="11"/>
      <c r="BQ13" s="11"/>
      <c r="BR13" s="47"/>
      <c r="BS13" s="11"/>
      <c r="BT13" s="11"/>
      <c r="BU13" s="92">
        <f t="shared" si="26"/>
        <v>3.7325218279210163E-102</v>
      </c>
      <c r="BV13" s="2">
        <v>2.95</v>
      </c>
      <c r="BW13" s="2">
        <v>163</v>
      </c>
    </row>
    <row r="14" spans="1:76" s="2" customFormat="1" ht="15.6" x14ac:dyDescent="0.3">
      <c r="A14" s="34" t="s">
        <v>108</v>
      </c>
      <c r="B14" s="47" t="s">
        <v>140</v>
      </c>
      <c r="C14" s="43"/>
      <c r="D14" s="50"/>
      <c r="E14" s="50"/>
      <c r="F14" s="47" t="s">
        <v>101</v>
      </c>
      <c r="G14" s="44">
        <v>7</v>
      </c>
      <c r="H14" s="35">
        <f t="shared" si="0"/>
        <v>0.72413793103448276</v>
      </c>
      <c r="I14" s="44">
        <v>16</v>
      </c>
      <c r="J14" s="35">
        <f t="shared" si="1"/>
        <v>0.13793103448275862</v>
      </c>
      <c r="K14" s="44">
        <v>1</v>
      </c>
      <c r="L14" s="35">
        <f t="shared" si="2"/>
        <v>0.13793103448275862</v>
      </c>
      <c r="M14" s="44"/>
      <c r="N14" s="35">
        <f t="shared" si="3"/>
        <v>0</v>
      </c>
      <c r="O14" s="44"/>
      <c r="P14" s="35">
        <f t="shared" si="4"/>
        <v>0</v>
      </c>
      <c r="Q14" s="7">
        <f t="shared" si="5"/>
        <v>116</v>
      </c>
      <c r="R14" s="54">
        <v>147.5</v>
      </c>
      <c r="S14" s="56" t="s">
        <v>106</v>
      </c>
      <c r="T14" s="54">
        <v>-50.61</v>
      </c>
      <c r="U14" s="59" t="s">
        <v>106</v>
      </c>
      <c r="V14" s="54">
        <v>207</v>
      </c>
      <c r="W14" s="59" t="s">
        <v>106</v>
      </c>
      <c r="X14" s="54">
        <v>4725</v>
      </c>
      <c r="Y14" s="59" t="s">
        <v>106</v>
      </c>
      <c r="Z14" s="71">
        <v>40.299999999999997</v>
      </c>
      <c r="AA14" s="61" t="s">
        <v>106</v>
      </c>
      <c r="AB14" s="40">
        <f>Z14/G14</f>
        <v>5.7571428571428571</v>
      </c>
      <c r="AC14" s="8">
        <f t="shared" si="7"/>
        <v>40.408965517241377</v>
      </c>
      <c r="AD14" s="7">
        <f t="shared" si="8"/>
        <v>41.889655172413796</v>
      </c>
      <c r="AE14" s="7">
        <f t="shared" si="9"/>
        <v>39.947241379310348</v>
      </c>
      <c r="AF14" s="3">
        <f t="shared" si="10"/>
        <v>40.748620689655176</v>
      </c>
      <c r="AG14" s="7">
        <f t="shared" si="11"/>
        <v>0.5073871951035559</v>
      </c>
      <c r="AH14" s="44"/>
      <c r="AI14" s="12">
        <f t="shared" si="12"/>
        <v>0.13793103448275862</v>
      </c>
      <c r="AJ14" s="44"/>
      <c r="AK14" s="8">
        <f t="shared" si="29"/>
        <v>37.482068965517243</v>
      </c>
      <c r="AL14" s="7">
        <f t="shared" si="13"/>
        <v>38.962758620689655</v>
      </c>
      <c r="AM14" s="7">
        <f t="shared" si="24"/>
        <v>37.020344827586214</v>
      </c>
      <c r="AN14" s="3">
        <f t="shared" si="14"/>
        <v>37.821724137931035</v>
      </c>
      <c r="AO14" s="7">
        <f t="shared" si="15"/>
        <v>0.5073871951035539</v>
      </c>
      <c r="AP14" s="64">
        <f t="shared" si="25"/>
        <v>0</v>
      </c>
      <c r="AQ14" s="8">
        <f t="shared" si="16"/>
        <v>1.9561157796451911</v>
      </c>
      <c r="AR14" s="68">
        <f>R14+273.15</f>
        <v>420.65</v>
      </c>
      <c r="AS14" s="14">
        <f t="shared" si="18"/>
        <v>320.04801582545332</v>
      </c>
      <c r="AT14" s="68">
        <f>(R14*9/5)+32</f>
        <v>297.5</v>
      </c>
      <c r="AU14" s="7">
        <f t="shared" si="20"/>
        <v>84.192500000000024</v>
      </c>
      <c r="AV14" s="8">
        <f t="shared" si="21"/>
        <v>46.898015825453342</v>
      </c>
      <c r="AW14" s="7">
        <f t="shared" si="22"/>
        <v>28.995833333333344</v>
      </c>
      <c r="AX14" s="69">
        <f t="shared" si="23"/>
        <v>46.898015825453342</v>
      </c>
      <c r="AY14" s="42" t="s">
        <v>193</v>
      </c>
      <c r="AZ14" s="15">
        <v>0.83</v>
      </c>
      <c r="BA14" s="42" t="s">
        <v>193</v>
      </c>
      <c r="BB14" s="8">
        <v>3.26</v>
      </c>
      <c r="BC14" s="42" t="s">
        <v>193</v>
      </c>
      <c r="BD14" s="67">
        <v>13.45</v>
      </c>
      <c r="BE14" s="42"/>
      <c r="BF14" s="67">
        <v>89.524124</v>
      </c>
      <c r="BG14" s="42"/>
      <c r="BH14" s="7"/>
      <c r="BI14" s="67">
        <v>79.65652</v>
      </c>
      <c r="BJ14" s="42"/>
      <c r="BK14" s="7"/>
      <c r="BL14" s="67">
        <f t="shared" si="27"/>
        <v>9.867604</v>
      </c>
      <c r="BM14" s="43"/>
      <c r="BN14" s="11"/>
      <c r="BO14" s="11">
        <f t="shared" si="28"/>
        <v>84.590322</v>
      </c>
      <c r="BP14" s="11"/>
      <c r="BQ14" s="11"/>
      <c r="BR14" s="47"/>
      <c r="BS14" s="11"/>
      <c r="BT14" s="11"/>
      <c r="BU14" s="92">
        <f t="shared" si="26"/>
        <v>1.4800021375105879E-102</v>
      </c>
      <c r="BV14" s="2">
        <v>0</v>
      </c>
      <c r="BW14" s="2">
        <v>0</v>
      </c>
    </row>
    <row r="15" spans="1:76" s="2" customFormat="1" ht="15.6" x14ac:dyDescent="0.3">
      <c r="A15" s="34" t="s">
        <v>114</v>
      </c>
      <c r="B15" s="47" t="s">
        <v>139</v>
      </c>
      <c r="C15" s="43"/>
      <c r="D15" s="50"/>
      <c r="E15" s="50"/>
      <c r="F15" s="47" t="s">
        <v>101</v>
      </c>
      <c r="G15" s="44">
        <v>7</v>
      </c>
      <c r="H15" s="35">
        <f t="shared" si="0"/>
        <v>0.72413793103448276</v>
      </c>
      <c r="I15" s="44">
        <v>16</v>
      </c>
      <c r="J15" s="35">
        <f t="shared" si="1"/>
        <v>0.13793103448275862</v>
      </c>
      <c r="K15" s="44">
        <v>1</v>
      </c>
      <c r="L15" s="35">
        <f t="shared" si="2"/>
        <v>0.13793103448275862</v>
      </c>
      <c r="M15" s="44"/>
      <c r="N15" s="35">
        <f t="shared" si="3"/>
        <v>0</v>
      </c>
      <c r="O15" s="44"/>
      <c r="P15" s="35">
        <f t="shared" si="4"/>
        <v>0</v>
      </c>
      <c r="Q15" s="7">
        <f t="shared" si="5"/>
        <v>116</v>
      </c>
      <c r="R15" s="54">
        <v>147.5</v>
      </c>
      <c r="S15" s="56">
        <v>141</v>
      </c>
      <c r="T15" s="54">
        <v>-50.61</v>
      </c>
      <c r="U15" s="59" t="s">
        <v>106</v>
      </c>
      <c r="V15" s="54">
        <v>297</v>
      </c>
      <c r="W15" s="56">
        <v>1.35</v>
      </c>
      <c r="X15" s="54">
        <v>4725</v>
      </c>
      <c r="Y15" s="56">
        <v>5700</v>
      </c>
      <c r="Z15" s="71">
        <v>40.299999999999997</v>
      </c>
      <c r="AA15" s="61" t="s">
        <v>106</v>
      </c>
      <c r="AB15" s="40">
        <f>Z15/G15</f>
        <v>5.7571428571428571</v>
      </c>
      <c r="AC15" s="8">
        <f t="shared" si="7"/>
        <v>40.408965517241377</v>
      </c>
      <c r="AD15" s="7">
        <f t="shared" si="8"/>
        <v>41.889655172413796</v>
      </c>
      <c r="AE15" s="7">
        <f t="shared" si="9"/>
        <v>39.947241379310348</v>
      </c>
      <c r="AF15" s="3">
        <f t="shared" si="10"/>
        <v>40.748620689655176</v>
      </c>
      <c r="AG15" s="7">
        <f t="shared" si="11"/>
        <v>0.5073871951035559</v>
      </c>
      <c r="AH15" s="44"/>
      <c r="AI15" s="12">
        <f t="shared" si="12"/>
        <v>0.13793103448275862</v>
      </c>
      <c r="AJ15" s="44"/>
      <c r="AK15" s="8">
        <f t="shared" si="29"/>
        <v>37.482068965517243</v>
      </c>
      <c r="AL15" s="7">
        <f t="shared" si="13"/>
        <v>38.962758620689655</v>
      </c>
      <c r="AM15" s="7">
        <f t="shared" si="24"/>
        <v>37.020344827586214</v>
      </c>
      <c r="AN15" s="3">
        <f t="shared" si="14"/>
        <v>37.821724137931035</v>
      </c>
      <c r="AO15" s="7">
        <f t="shared" si="15"/>
        <v>0.5073871951035539</v>
      </c>
      <c r="AP15" s="64">
        <f t="shared" si="25"/>
        <v>0</v>
      </c>
      <c r="AQ15" s="8">
        <f t="shared" si="16"/>
        <v>1.9561157796451911</v>
      </c>
      <c r="AR15" s="14">
        <f>S15+273.15</f>
        <v>414.15</v>
      </c>
      <c r="AS15" s="14">
        <f t="shared" si="18"/>
        <v>315.1025454751254</v>
      </c>
      <c r="AT15" s="14">
        <f>(S15*9/5)+32</f>
        <v>285.8</v>
      </c>
      <c r="AU15" s="7">
        <f t="shared" si="20"/>
        <v>76.201400000000035</v>
      </c>
      <c r="AV15" s="8">
        <f t="shared" si="21"/>
        <v>41.952545475125419</v>
      </c>
      <c r="AW15" s="7">
        <f t="shared" si="22"/>
        <v>24.556333333333352</v>
      </c>
      <c r="AX15" s="37">
        <f t="shared" si="23"/>
        <v>41.952545475125419</v>
      </c>
      <c r="AY15" s="42">
        <v>40.56</v>
      </c>
      <c r="AZ15" s="15">
        <v>0.83</v>
      </c>
      <c r="BA15" s="42">
        <v>0.82</v>
      </c>
      <c r="BB15" s="8">
        <v>3.14</v>
      </c>
      <c r="BC15" s="42" t="s">
        <v>193</v>
      </c>
      <c r="BD15" s="67">
        <v>14.24</v>
      </c>
      <c r="BE15" s="42"/>
      <c r="BF15" s="67">
        <v>92.424120000000002</v>
      </c>
      <c r="BG15" s="42"/>
      <c r="BH15" s="7"/>
      <c r="BI15" s="67">
        <v>86.334014999999994</v>
      </c>
      <c r="BJ15" s="42"/>
      <c r="BK15" s="7"/>
      <c r="BL15" s="67">
        <f t="shared" si="27"/>
        <v>6.0901050000000083</v>
      </c>
      <c r="BM15" s="43"/>
      <c r="BN15" s="11"/>
      <c r="BO15" s="11">
        <f t="shared" si="28"/>
        <v>89.379067499999991</v>
      </c>
      <c r="BP15" s="11"/>
      <c r="BQ15" s="11"/>
      <c r="BR15" s="47"/>
      <c r="BS15" s="11"/>
      <c r="BT15" s="11"/>
      <c r="BU15" s="92">
        <f t="shared" si="26"/>
        <v>2.7881761962634016E-102</v>
      </c>
      <c r="BV15" s="2">
        <v>0</v>
      </c>
      <c r="BW15" s="2">
        <v>0</v>
      </c>
    </row>
    <row r="16" spans="1:76" s="2" customFormat="1" ht="15.6" x14ac:dyDescent="0.3">
      <c r="A16" s="34" t="s">
        <v>115</v>
      </c>
      <c r="B16" s="47" t="s">
        <v>143</v>
      </c>
      <c r="C16" s="43"/>
      <c r="D16" s="50"/>
      <c r="E16" s="50"/>
      <c r="F16" s="47" t="s">
        <v>60</v>
      </c>
      <c r="G16" s="44">
        <v>8</v>
      </c>
      <c r="H16" s="35">
        <f t="shared" si="0"/>
        <v>0.7384615384615385</v>
      </c>
      <c r="I16" s="44">
        <v>18</v>
      </c>
      <c r="J16" s="35">
        <f t="shared" si="1"/>
        <v>0.13846153846153847</v>
      </c>
      <c r="K16" s="44">
        <v>1</v>
      </c>
      <c r="L16" s="35">
        <f t="shared" si="2"/>
        <v>0.12307692307692308</v>
      </c>
      <c r="M16" s="44"/>
      <c r="N16" s="35">
        <f t="shared" si="3"/>
        <v>0</v>
      </c>
      <c r="O16" s="44"/>
      <c r="P16" s="35">
        <f t="shared" si="4"/>
        <v>0</v>
      </c>
      <c r="Q16" s="7">
        <f t="shared" si="5"/>
        <v>130</v>
      </c>
      <c r="R16" s="54">
        <v>156.22999999999999</v>
      </c>
      <c r="S16" s="56">
        <v>157.5</v>
      </c>
      <c r="T16" s="54">
        <v>-49.93</v>
      </c>
      <c r="U16" s="59" t="s">
        <v>106</v>
      </c>
      <c r="V16" s="54">
        <v>118</v>
      </c>
      <c r="W16" s="59" t="s">
        <v>106</v>
      </c>
      <c r="X16" s="54">
        <v>1841</v>
      </c>
      <c r="Y16" s="59" t="s">
        <v>106</v>
      </c>
      <c r="Z16" s="71">
        <v>52.4</v>
      </c>
      <c r="AA16" s="61" t="s">
        <v>106</v>
      </c>
      <c r="AB16" s="40">
        <f>Z16/G16</f>
        <v>6.55</v>
      </c>
      <c r="AC16" s="8">
        <f t="shared" si="7"/>
        <v>41.107230769230775</v>
      </c>
      <c r="AD16" s="7">
        <f t="shared" si="8"/>
        <v>42.661538461538463</v>
      </c>
      <c r="AE16" s="7">
        <f t="shared" si="9"/>
        <v>40.677076923076925</v>
      </c>
      <c r="AF16" s="3">
        <f t="shared" si="10"/>
        <v>41.481948717948718</v>
      </c>
      <c r="AG16" s="7">
        <f t="shared" si="11"/>
        <v>0.52197510841677652</v>
      </c>
      <c r="AH16" s="44"/>
      <c r="AI16" s="12">
        <f t="shared" si="12"/>
        <v>0.13846153846153847</v>
      </c>
      <c r="AJ16" s="44"/>
      <c r="AK16" s="8">
        <f t="shared" si="29"/>
        <v>38.169076923076929</v>
      </c>
      <c r="AL16" s="7">
        <f t="shared" si="13"/>
        <v>39.723384615384617</v>
      </c>
      <c r="AM16" s="7">
        <f t="shared" si="24"/>
        <v>37.738923076923079</v>
      </c>
      <c r="AN16" s="3">
        <f t="shared" si="14"/>
        <v>38.54379487179488</v>
      </c>
      <c r="AO16" s="7">
        <f t="shared" si="15"/>
        <v>0.52197510841677652</v>
      </c>
      <c r="AP16" s="64">
        <f t="shared" si="25"/>
        <v>0</v>
      </c>
      <c r="AQ16" s="8">
        <f t="shared" si="16"/>
        <v>1.7158067158067156</v>
      </c>
      <c r="AR16" s="14">
        <f>S16+273.15</f>
        <v>430.65</v>
      </c>
      <c r="AS16" s="14">
        <f t="shared" si="18"/>
        <v>325.39457465706795</v>
      </c>
      <c r="AT16" s="14">
        <f>(S16*9/5)+32</f>
        <v>315.5</v>
      </c>
      <c r="AU16" s="7">
        <f t="shared" si="20"/>
        <v>96.486500000000007</v>
      </c>
      <c r="AV16" s="8">
        <f t="shared" si="21"/>
        <v>52.244574657067972</v>
      </c>
      <c r="AW16" s="7">
        <f t="shared" si="22"/>
        <v>35.825833333333335</v>
      </c>
      <c r="AX16" s="37">
        <f t="shared" si="23"/>
        <v>52.244574657067972</v>
      </c>
      <c r="AY16" s="42" t="s">
        <v>193</v>
      </c>
      <c r="AZ16" s="15">
        <v>0.82</v>
      </c>
      <c r="BA16" s="42" t="s">
        <v>193</v>
      </c>
      <c r="BB16" s="8">
        <v>3.19</v>
      </c>
      <c r="BC16" s="42" t="s">
        <v>193</v>
      </c>
      <c r="BD16" s="67">
        <v>12.64</v>
      </c>
      <c r="BE16" s="42"/>
      <c r="BF16" s="67">
        <v>91.501570000000001</v>
      </c>
      <c r="BG16" s="42"/>
      <c r="BH16" s="7"/>
      <c r="BI16" s="67">
        <v>86.021100000000004</v>
      </c>
      <c r="BJ16" s="42"/>
      <c r="BK16" s="7"/>
      <c r="BL16" s="67">
        <f t="shared" si="27"/>
        <v>5.4804699999999968</v>
      </c>
      <c r="BM16" s="43"/>
      <c r="BN16" s="11"/>
      <c r="BO16" s="11">
        <f t="shared" si="28"/>
        <v>88.761335000000003</v>
      </c>
      <c r="BP16" s="11"/>
      <c r="BQ16" s="11"/>
      <c r="BR16" s="47"/>
      <c r="BS16" s="11"/>
      <c r="BT16" s="11"/>
      <c r="BU16" s="92">
        <f t="shared" si="26"/>
        <v>7.5446622117475825E-103</v>
      </c>
      <c r="BV16" s="2">
        <v>0</v>
      </c>
      <c r="BW16" s="2">
        <v>0</v>
      </c>
    </row>
    <row r="17" spans="1:75" s="2" customFormat="1" ht="15.6" x14ac:dyDescent="0.3">
      <c r="A17" s="34" t="s">
        <v>87</v>
      </c>
      <c r="B17" s="47" t="s">
        <v>102</v>
      </c>
      <c r="C17" s="43"/>
      <c r="D17" s="50" t="s">
        <v>80</v>
      </c>
      <c r="E17" s="50"/>
      <c r="F17" s="47" t="s">
        <v>101</v>
      </c>
      <c r="G17" s="44">
        <v>7</v>
      </c>
      <c r="H17" s="35">
        <f t="shared" si="0"/>
        <v>0.72413793103448276</v>
      </c>
      <c r="I17" s="44">
        <v>16</v>
      </c>
      <c r="J17" s="35">
        <f t="shared" si="1"/>
        <v>0.13793103448275862</v>
      </c>
      <c r="K17" s="44">
        <v>1</v>
      </c>
      <c r="L17" s="35">
        <f t="shared" si="2"/>
        <v>0.13793103448275862</v>
      </c>
      <c r="M17" s="44"/>
      <c r="N17" s="35">
        <f t="shared" si="3"/>
        <v>0</v>
      </c>
      <c r="O17" s="44"/>
      <c r="P17" s="35">
        <f t="shared" si="4"/>
        <v>0</v>
      </c>
      <c r="Q17" s="7">
        <f t="shared" si="5"/>
        <v>116</v>
      </c>
      <c r="R17" s="54">
        <v>160.69999999999999</v>
      </c>
      <c r="S17" s="56">
        <v>159</v>
      </c>
      <c r="T17" s="54">
        <v>-39.26</v>
      </c>
      <c r="U17" s="59" t="s">
        <v>106</v>
      </c>
      <c r="V17" s="54">
        <v>115</v>
      </c>
      <c r="W17" s="56">
        <v>1.23</v>
      </c>
      <c r="X17" s="54">
        <v>3569</v>
      </c>
      <c r="Y17" s="56">
        <v>3270</v>
      </c>
      <c r="Z17" s="71">
        <v>34.6</v>
      </c>
      <c r="AA17" s="61">
        <v>39.4</v>
      </c>
      <c r="AB17" s="36">
        <f>AA17/G17</f>
        <v>5.6285714285714281</v>
      </c>
      <c r="AC17" s="8">
        <f t="shared" si="7"/>
        <v>40.408965517241377</v>
      </c>
      <c r="AD17" s="7">
        <f t="shared" si="8"/>
        <v>41.889655172413796</v>
      </c>
      <c r="AE17" s="7">
        <f t="shared" si="9"/>
        <v>39.947241379310348</v>
      </c>
      <c r="AF17" s="3">
        <f t="shared" si="10"/>
        <v>40.748620689655176</v>
      </c>
      <c r="AG17" s="7">
        <f t="shared" si="11"/>
        <v>0.5073871951035559</v>
      </c>
      <c r="AH17" s="44"/>
      <c r="AI17" s="12">
        <f t="shared" si="12"/>
        <v>0.13793103448275862</v>
      </c>
      <c r="AJ17" s="44"/>
      <c r="AK17" s="8">
        <f t="shared" si="29"/>
        <v>37.482068965517243</v>
      </c>
      <c r="AL17" s="7">
        <f t="shared" si="13"/>
        <v>38.962758620689655</v>
      </c>
      <c r="AM17" s="7">
        <f t="shared" si="24"/>
        <v>37.020344827586214</v>
      </c>
      <c r="AN17" s="3">
        <f t="shared" si="14"/>
        <v>37.821724137931035</v>
      </c>
      <c r="AO17" s="7">
        <f t="shared" si="15"/>
        <v>0.5073871951035539</v>
      </c>
      <c r="AP17" s="64">
        <f t="shared" si="25"/>
        <v>0</v>
      </c>
      <c r="AQ17" s="8">
        <f t="shared" si="16"/>
        <v>1.9561157796451911</v>
      </c>
      <c r="AR17" s="14">
        <f>S17+273.15</f>
        <v>432.15</v>
      </c>
      <c r="AS17" s="14">
        <f t="shared" si="18"/>
        <v>328.79769413757202</v>
      </c>
      <c r="AT17" s="14">
        <f>(S17*9/5)+32</f>
        <v>318.2</v>
      </c>
      <c r="AU17" s="7">
        <f t="shared" si="20"/>
        <v>98.330600000000004</v>
      </c>
      <c r="AV17" s="8">
        <f t="shared" si="21"/>
        <v>55.647694137572046</v>
      </c>
      <c r="AW17" s="7">
        <f t="shared" si="22"/>
        <v>36.850333333333339</v>
      </c>
      <c r="AX17" s="37">
        <f t="shared" si="23"/>
        <v>55.647694137572046</v>
      </c>
      <c r="AY17" s="42">
        <v>64.400000000000006</v>
      </c>
      <c r="AZ17" s="15">
        <v>0.84</v>
      </c>
      <c r="BA17" s="42">
        <v>0.82</v>
      </c>
      <c r="BB17" s="8">
        <v>3.62</v>
      </c>
      <c r="BC17" s="42">
        <v>3.52</v>
      </c>
      <c r="BD17" s="67">
        <v>24.66</v>
      </c>
      <c r="BE17" s="42">
        <v>25</v>
      </c>
      <c r="BF17" s="67">
        <v>70.756270000000001</v>
      </c>
      <c r="BG17" s="42"/>
      <c r="BH17" s="7"/>
      <c r="BI17" s="67">
        <v>84.343500000000006</v>
      </c>
      <c r="BJ17" s="42"/>
      <c r="BK17" s="7"/>
      <c r="BL17" s="67">
        <f t="shared" si="27"/>
        <v>-13.587230000000005</v>
      </c>
      <c r="BM17" s="43"/>
      <c r="BN17" s="11"/>
      <c r="BO17" s="11">
        <f t="shared" si="28"/>
        <v>77.549885000000003</v>
      </c>
      <c r="BP17" s="11"/>
      <c r="BQ17" s="11"/>
      <c r="BR17" s="47"/>
      <c r="BS17" s="11"/>
      <c r="BT17" s="11"/>
      <c r="BU17" s="92">
        <f t="shared" si="26"/>
        <v>4.9417238707727429E-103</v>
      </c>
      <c r="BV17" s="2">
        <v>2.87</v>
      </c>
      <c r="BW17" s="48">
        <v>65</v>
      </c>
    </row>
    <row r="18" spans="1:75" s="2" customFormat="1" ht="15.6" x14ac:dyDescent="0.3">
      <c r="A18" s="34" t="s">
        <v>110</v>
      </c>
      <c r="B18" s="47" t="s">
        <v>141</v>
      </c>
      <c r="C18" s="43"/>
      <c r="D18" s="50"/>
      <c r="E18" s="50"/>
      <c r="F18" s="47" t="s">
        <v>101</v>
      </c>
      <c r="G18" s="44">
        <v>7</v>
      </c>
      <c r="H18" s="35">
        <f t="shared" si="0"/>
        <v>0.72413793103448276</v>
      </c>
      <c r="I18" s="44">
        <v>16</v>
      </c>
      <c r="J18" s="35">
        <f t="shared" si="1"/>
        <v>0.13793103448275862</v>
      </c>
      <c r="K18" s="44">
        <v>1</v>
      </c>
      <c r="L18" s="35">
        <f t="shared" si="2"/>
        <v>0.13793103448275862</v>
      </c>
      <c r="M18" s="44"/>
      <c r="N18" s="35">
        <f t="shared" si="3"/>
        <v>0</v>
      </c>
      <c r="O18" s="44"/>
      <c r="P18" s="35">
        <f t="shared" si="4"/>
        <v>0</v>
      </c>
      <c r="Q18" s="7">
        <f t="shared" si="5"/>
        <v>116</v>
      </c>
      <c r="R18" s="54">
        <v>160.69999999999999</v>
      </c>
      <c r="S18" s="56">
        <v>66</v>
      </c>
      <c r="T18" s="54">
        <v>-39.26</v>
      </c>
      <c r="U18" s="59" t="s">
        <v>106</v>
      </c>
      <c r="V18" s="54">
        <v>98.5</v>
      </c>
      <c r="W18" s="56">
        <v>0.74</v>
      </c>
      <c r="X18" s="54">
        <v>4095</v>
      </c>
      <c r="Y18" s="56">
        <v>4000</v>
      </c>
      <c r="Z18" s="71">
        <v>34.6</v>
      </c>
      <c r="AA18" s="61">
        <v>38.5</v>
      </c>
      <c r="AB18" s="36">
        <f>AA18/G18</f>
        <v>5.5</v>
      </c>
      <c r="AC18" s="8">
        <f t="shared" si="7"/>
        <v>40.408965517241377</v>
      </c>
      <c r="AD18" s="7">
        <f t="shared" si="8"/>
        <v>41.889655172413796</v>
      </c>
      <c r="AE18" s="7">
        <f t="shared" si="9"/>
        <v>39.947241379310348</v>
      </c>
      <c r="AF18" s="3">
        <f t="shared" si="10"/>
        <v>40.748620689655176</v>
      </c>
      <c r="AG18" s="7">
        <f t="shared" si="11"/>
        <v>0.5073871951035559</v>
      </c>
      <c r="AH18" s="44"/>
      <c r="AI18" s="12">
        <f t="shared" si="12"/>
        <v>0.13793103448275862</v>
      </c>
      <c r="AJ18" s="44"/>
      <c r="AK18" s="8">
        <f t="shared" si="29"/>
        <v>37.482068965517243</v>
      </c>
      <c r="AL18" s="7">
        <f t="shared" si="13"/>
        <v>38.962758620689655</v>
      </c>
      <c r="AM18" s="7">
        <f t="shared" si="24"/>
        <v>37.020344827586214</v>
      </c>
      <c r="AN18" s="3">
        <f t="shared" si="14"/>
        <v>37.821724137931035</v>
      </c>
      <c r="AO18" s="7">
        <f t="shared" si="15"/>
        <v>0.5073871951035539</v>
      </c>
      <c r="AP18" s="64">
        <f t="shared" si="25"/>
        <v>0</v>
      </c>
      <c r="AQ18" s="8">
        <f t="shared" si="16"/>
        <v>1.9561157796451911</v>
      </c>
      <c r="AR18" s="14">
        <f>S18+273.15</f>
        <v>339.15</v>
      </c>
      <c r="AS18" s="14">
        <f t="shared" si="18"/>
        <v>258.0394260482646</v>
      </c>
      <c r="AT18" s="14">
        <f>(S18*9/5)+32</f>
        <v>150.80000000000001</v>
      </c>
      <c r="AU18" s="7">
        <f t="shared" si="20"/>
        <v>-16.003599999999977</v>
      </c>
      <c r="AV18" s="8">
        <f t="shared" si="21"/>
        <v>-15.110573951735375</v>
      </c>
      <c r="AW18" s="7">
        <f t="shared" si="22"/>
        <v>-26.668666666666653</v>
      </c>
      <c r="AX18" s="37">
        <v>55</v>
      </c>
      <c r="AY18" s="42">
        <v>54.4</v>
      </c>
      <c r="AZ18" s="15">
        <v>0.84</v>
      </c>
      <c r="BA18" s="42">
        <v>0.82</v>
      </c>
      <c r="BB18" s="8">
        <v>3.06</v>
      </c>
      <c r="BC18" s="42" t="s">
        <v>193</v>
      </c>
      <c r="BD18" s="67">
        <v>21.07</v>
      </c>
      <c r="BE18" s="42"/>
      <c r="BF18" s="67">
        <v>72.169300000000007</v>
      </c>
      <c r="BG18" s="42"/>
      <c r="BH18" s="7"/>
      <c r="BI18" s="67">
        <v>75.763465999999994</v>
      </c>
      <c r="BJ18" s="42"/>
      <c r="BK18" s="7"/>
      <c r="BL18" s="67">
        <f t="shared" si="27"/>
        <v>-3.5941659999999871</v>
      </c>
      <c r="BM18" s="43"/>
      <c r="BN18" s="11"/>
      <c r="BO18" s="11">
        <f t="shared" si="28"/>
        <v>73.966383000000008</v>
      </c>
      <c r="BP18" s="11"/>
      <c r="BQ18" s="11"/>
      <c r="BR18" s="47"/>
      <c r="BS18" s="11"/>
      <c r="BT18" s="11"/>
      <c r="BU18" s="92">
        <f t="shared" si="26"/>
        <v>5.3543350043304892E-103</v>
      </c>
      <c r="BV18" s="2">
        <v>2.8</v>
      </c>
      <c r="BW18" s="2">
        <v>1060</v>
      </c>
    </row>
    <row r="19" spans="1:75" s="2" customFormat="1" ht="15.6" x14ac:dyDescent="0.3">
      <c r="A19" s="34" t="s">
        <v>120</v>
      </c>
      <c r="B19" s="47" t="s">
        <v>142</v>
      </c>
      <c r="C19" s="43"/>
      <c r="D19" s="50"/>
      <c r="E19" s="50"/>
      <c r="F19" s="47" t="s">
        <v>101</v>
      </c>
      <c r="G19" s="44">
        <v>7</v>
      </c>
      <c r="H19" s="35">
        <f t="shared" si="0"/>
        <v>0.72413793103448276</v>
      </c>
      <c r="I19" s="44">
        <v>16</v>
      </c>
      <c r="J19" s="35">
        <f t="shared" si="1"/>
        <v>0.13793103448275862</v>
      </c>
      <c r="K19" s="44">
        <v>1</v>
      </c>
      <c r="L19" s="35">
        <f t="shared" si="2"/>
        <v>0.13793103448275862</v>
      </c>
      <c r="M19" s="44"/>
      <c r="N19" s="35">
        <f t="shared" si="3"/>
        <v>0</v>
      </c>
      <c r="O19" s="44"/>
      <c r="P19" s="35">
        <f t="shared" si="4"/>
        <v>0</v>
      </c>
      <c r="Q19" s="7">
        <f t="shared" si="5"/>
        <v>116</v>
      </c>
      <c r="R19" s="54">
        <v>160.69999999999999</v>
      </c>
      <c r="S19" s="56">
        <v>156</v>
      </c>
      <c r="T19" s="54">
        <v>-39.26</v>
      </c>
      <c r="U19" s="56">
        <v>-41.2</v>
      </c>
      <c r="V19" s="54">
        <v>129</v>
      </c>
      <c r="W19" s="56">
        <v>0.98899999999999999</v>
      </c>
      <c r="X19" s="54">
        <v>4260</v>
      </c>
      <c r="Y19" s="56">
        <v>4700</v>
      </c>
      <c r="Z19" s="71">
        <v>34.6</v>
      </c>
      <c r="AA19" s="61">
        <v>38.5</v>
      </c>
      <c r="AB19" s="36">
        <f>AA19/G19</f>
        <v>5.5</v>
      </c>
      <c r="AC19" s="8">
        <f t="shared" si="7"/>
        <v>40.408965517241377</v>
      </c>
      <c r="AD19" s="7">
        <f t="shared" si="8"/>
        <v>41.889655172413796</v>
      </c>
      <c r="AE19" s="7">
        <f t="shared" si="9"/>
        <v>39.947241379310348</v>
      </c>
      <c r="AF19" s="3">
        <f t="shared" si="10"/>
        <v>40.748620689655176</v>
      </c>
      <c r="AG19" s="7">
        <f t="shared" si="11"/>
        <v>0.5073871951035559</v>
      </c>
      <c r="AH19" s="44"/>
      <c r="AI19" s="12">
        <f t="shared" si="12"/>
        <v>0.13793103448275862</v>
      </c>
      <c r="AJ19" s="44"/>
      <c r="AK19" s="8">
        <f t="shared" si="29"/>
        <v>37.482068965517243</v>
      </c>
      <c r="AL19" s="7">
        <f t="shared" si="13"/>
        <v>38.962758620689655</v>
      </c>
      <c r="AM19" s="7">
        <f t="shared" si="24"/>
        <v>37.020344827586214</v>
      </c>
      <c r="AN19" s="3">
        <f t="shared" si="14"/>
        <v>37.821724137931035</v>
      </c>
      <c r="AO19" s="7">
        <f t="shared" si="15"/>
        <v>0.5073871951035539</v>
      </c>
      <c r="AP19" s="64">
        <f t="shared" si="25"/>
        <v>0</v>
      </c>
      <c r="AQ19" s="8">
        <f t="shared" si="16"/>
        <v>1.9561157796451911</v>
      </c>
      <c r="AR19" s="14">
        <f>S19+273.15</f>
        <v>429.15</v>
      </c>
      <c r="AS19" s="14">
        <f t="shared" si="18"/>
        <v>326.51516936049757</v>
      </c>
      <c r="AT19" s="14">
        <f>(S19*9/5)+32</f>
        <v>312.8</v>
      </c>
      <c r="AU19" s="7">
        <f t="shared" si="20"/>
        <v>94.642400000000038</v>
      </c>
      <c r="AV19" s="8">
        <f t="shared" si="21"/>
        <v>53.365169360497589</v>
      </c>
      <c r="AW19" s="7">
        <f t="shared" si="22"/>
        <v>34.801333333333361</v>
      </c>
      <c r="AX19" s="37">
        <f t="shared" ref="AX19:AX48" si="30">AV19</f>
        <v>53.365169360497589</v>
      </c>
      <c r="AY19" s="42">
        <v>61.8</v>
      </c>
      <c r="AZ19" s="15">
        <v>0.84</v>
      </c>
      <c r="BA19" s="42">
        <v>0.82</v>
      </c>
      <c r="BB19" s="8">
        <v>3.31</v>
      </c>
      <c r="BC19" s="42">
        <v>3.81</v>
      </c>
      <c r="BD19" s="67">
        <v>18.53</v>
      </c>
      <c r="BE19" s="42"/>
      <c r="BF19" s="67">
        <v>79.810485999999997</v>
      </c>
      <c r="BG19" s="42"/>
      <c r="BH19" s="7"/>
      <c r="BI19" s="67">
        <v>87.149810000000002</v>
      </c>
      <c r="BJ19" s="42"/>
      <c r="BK19" s="7"/>
      <c r="BL19" s="67">
        <f t="shared" si="27"/>
        <v>-7.3393240000000048</v>
      </c>
      <c r="BM19" s="43"/>
      <c r="BN19" s="11"/>
      <c r="BO19" s="11">
        <f t="shared" si="28"/>
        <v>83.480148</v>
      </c>
      <c r="BP19" s="11"/>
      <c r="BQ19" s="11"/>
      <c r="BR19" s="47"/>
      <c r="BS19" s="11"/>
      <c r="BT19" s="11"/>
      <c r="BU19" s="92">
        <f t="shared" si="26"/>
        <v>6.5602223818509816E-103</v>
      </c>
      <c r="BV19" s="2">
        <v>2.8</v>
      </c>
      <c r="BW19" s="2">
        <v>1060</v>
      </c>
    </row>
    <row r="20" spans="1:75" s="4" customFormat="1" ht="15.6" x14ac:dyDescent="0.3">
      <c r="A20" s="34" t="s">
        <v>116</v>
      </c>
      <c r="B20" s="47" t="s">
        <v>144</v>
      </c>
      <c r="C20" s="43"/>
      <c r="D20" s="50"/>
      <c r="E20" s="53"/>
      <c r="F20" s="43" t="s">
        <v>60</v>
      </c>
      <c r="G20" s="44">
        <v>8</v>
      </c>
      <c r="H20" s="35">
        <f t="shared" si="0"/>
        <v>0.7384615384615385</v>
      </c>
      <c r="I20" s="44">
        <v>18</v>
      </c>
      <c r="J20" s="35">
        <f t="shared" si="1"/>
        <v>0.13846153846153847</v>
      </c>
      <c r="K20" s="44">
        <v>1</v>
      </c>
      <c r="L20" s="35">
        <f t="shared" si="2"/>
        <v>0.12307692307692308</v>
      </c>
      <c r="M20" s="44"/>
      <c r="N20" s="35">
        <f t="shared" si="3"/>
        <v>0</v>
      </c>
      <c r="O20" s="44"/>
      <c r="P20" s="35">
        <f t="shared" si="4"/>
        <v>0</v>
      </c>
      <c r="Q20" s="7">
        <f t="shared" si="5"/>
        <v>130</v>
      </c>
      <c r="R20" s="54">
        <v>169.21</v>
      </c>
      <c r="S20" s="56" t="s">
        <v>106</v>
      </c>
      <c r="T20" s="54">
        <v>-38.64</v>
      </c>
      <c r="U20" s="59" t="s">
        <v>106</v>
      </c>
      <c r="V20" s="54">
        <v>60.4</v>
      </c>
      <c r="W20" s="59" t="s">
        <v>106</v>
      </c>
      <c r="X20" s="54">
        <v>1594</v>
      </c>
      <c r="Y20" s="56">
        <v>2010</v>
      </c>
      <c r="Z20" s="71">
        <v>46.7</v>
      </c>
      <c r="AA20" s="61" t="s">
        <v>106</v>
      </c>
      <c r="AB20" s="40">
        <f>Z20/G20</f>
        <v>5.8375000000000004</v>
      </c>
      <c r="AC20" s="8">
        <f t="shared" si="7"/>
        <v>41.107230769230775</v>
      </c>
      <c r="AD20" s="7">
        <f t="shared" si="8"/>
        <v>42.661538461538463</v>
      </c>
      <c r="AE20" s="7">
        <f t="shared" si="9"/>
        <v>40.677076923076925</v>
      </c>
      <c r="AF20" s="3">
        <f t="shared" si="10"/>
        <v>41.481948717948718</v>
      </c>
      <c r="AG20" s="7">
        <f t="shared" si="11"/>
        <v>0.52197510841677652</v>
      </c>
      <c r="AH20" s="44"/>
      <c r="AI20" s="12">
        <f t="shared" si="12"/>
        <v>0.13846153846153847</v>
      </c>
      <c r="AJ20" s="44"/>
      <c r="AK20" s="8">
        <f t="shared" si="29"/>
        <v>38.169076923076929</v>
      </c>
      <c r="AL20" s="7">
        <f t="shared" si="13"/>
        <v>39.723384615384617</v>
      </c>
      <c r="AM20" s="7">
        <f t="shared" si="24"/>
        <v>37.738923076923079</v>
      </c>
      <c r="AN20" s="3">
        <f t="shared" si="14"/>
        <v>38.54379487179488</v>
      </c>
      <c r="AO20" s="7">
        <f t="shared" si="15"/>
        <v>0.52197510841677652</v>
      </c>
      <c r="AP20" s="64">
        <f t="shared" si="25"/>
        <v>0</v>
      </c>
      <c r="AQ20" s="8">
        <f t="shared" si="16"/>
        <v>1.7158067158067156</v>
      </c>
      <c r="AR20" s="68">
        <f>R20+273.15</f>
        <v>442.36</v>
      </c>
      <c r="AS20" s="14">
        <f t="shared" si="18"/>
        <v>334.24252651875213</v>
      </c>
      <c r="AT20" s="68">
        <f>(R20*9/5)+32</f>
        <v>336.57800000000003</v>
      </c>
      <c r="AU20" s="7">
        <f t="shared" si="20"/>
        <v>110.88277400000004</v>
      </c>
      <c r="AV20" s="8">
        <f t="shared" si="21"/>
        <v>61.092526518752152</v>
      </c>
      <c r="AW20" s="7">
        <f t="shared" si="22"/>
        <v>43.823763333333353</v>
      </c>
      <c r="AX20" s="69">
        <f t="shared" si="30"/>
        <v>61.092526518752152</v>
      </c>
      <c r="AY20" s="42" t="s">
        <v>193</v>
      </c>
      <c r="AZ20" s="15">
        <v>0.83</v>
      </c>
      <c r="BA20" s="42" t="s">
        <v>193</v>
      </c>
      <c r="BB20" s="8">
        <v>2.76</v>
      </c>
      <c r="BC20" s="42">
        <v>7.69</v>
      </c>
      <c r="BD20" s="67">
        <v>19.440000000000001</v>
      </c>
      <c r="BE20" s="42"/>
      <c r="BF20" s="67">
        <v>85.664444000000003</v>
      </c>
      <c r="BG20" s="42"/>
      <c r="BH20" s="7"/>
      <c r="BI20" s="67">
        <v>79.112870000000001</v>
      </c>
      <c r="BJ20" s="42"/>
      <c r="BK20" s="7"/>
      <c r="BL20" s="67">
        <f t="shared" si="27"/>
        <v>6.5515740000000022</v>
      </c>
      <c r="BM20" s="43"/>
      <c r="BN20" s="11"/>
      <c r="BO20" s="11">
        <f t="shared" si="28"/>
        <v>82.388656999999995</v>
      </c>
      <c r="BP20" s="11"/>
      <c r="BQ20" s="11"/>
      <c r="BR20" s="47"/>
      <c r="BS20" s="11"/>
      <c r="BT20" s="11"/>
      <c r="BU20" s="92">
        <f t="shared" si="26"/>
        <v>2.5339043171561971E-103</v>
      </c>
      <c r="BV20" s="2">
        <v>0</v>
      </c>
      <c r="BW20" s="4">
        <v>0</v>
      </c>
    </row>
    <row r="21" spans="1:75" s="2" customFormat="1" ht="15.6" x14ac:dyDescent="0.3">
      <c r="A21" s="34" t="s">
        <v>121</v>
      </c>
      <c r="B21" s="47" t="s">
        <v>145</v>
      </c>
      <c r="C21" s="43"/>
      <c r="D21" s="50"/>
      <c r="E21" s="50"/>
      <c r="F21" s="47" t="s">
        <v>60</v>
      </c>
      <c r="G21" s="44">
        <v>8</v>
      </c>
      <c r="H21" s="35">
        <f t="shared" si="0"/>
        <v>0.7384615384615385</v>
      </c>
      <c r="I21" s="44">
        <v>18</v>
      </c>
      <c r="J21" s="35">
        <f t="shared" si="1"/>
        <v>0.13846153846153847</v>
      </c>
      <c r="K21" s="44">
        <v>1</v>
      </c>
      <c r="L21" s="35">
        <f t="shared" si="2"/>
        <v>0.12307692307692308</v>
      </c>
      <c r="M21" s="44"/>
      <c r="N21" s="35">
        <f t="shared" si="3"/>
        <v>0</v>
      </c>
      <c r="O21" s="44"/>
      <c r="P21" s="35">
        <f t="shared" si="4"/>
        <v>0</v>
      </c>
      <c r="Q21" s="7">
        <f t="shared" si="5"/>
        <v>130</v>
      </c>
      <c r="R21" s="54">
        <v>169.21</v>
      </c>
      <c r="S21" s="56">
        <v>164</v>
      </c>
      <c r="T21" s="54">
        <v>-38.64</v>
      </c>
      <c r="U21" s="56">
        <v>-81</v>
      </c>
      <c r="V21" s="54">
        <v>81.5</v>
      </c>
      <c r="W21" s="59" t="s">
        <v>106</v>
      </c>
      <c r="X21" s="54">
        <v>1594</v>
      </c>
      <c r="Y21" s="56">
        <v>1610</v>
      </c>
      <c r="Z21" s="71">
        <v>46.7</v>
      </c>
      <c r="AA21" s="61" t="s">
        <v>106</v>
      </c>
      <c r="AB21" s="40">
        <f>Z21/G21</f>
        <v>5.8375000000000004</v>
      </c>
      <c r="AC21" s="8">
        <f t="shared" si="7"/>
        <v>41.107230769230775</v>
      </c>
      <c r="AD21" s="7">
        <f t="shared" si="8"/>
        <v>42.661538461538463</v>
      </c>
      <c r="AE21" s="7">
        <f t="shared" si="9"/>
        <v>40.677076923076925</v>
      </c>
      <c r="AF21" s="3">
        <f t="shared" si="10"/>
        <v>41.481948717948718</v>
      </c>
      <c r="AG21" s="7">
        <f t="shared" si="11"/>
        <v>0.52197510841677652</v>
      </c>
      <c r="AH21" s="44"/>
      <c r="AI21" s="12">
        <f t="shared" si="12"/>
        <v>0.13846153846153847</v>
      </c>
      <c r="AJ21" s="44"/>
      <c r="AK21" s="8">
        <f t="shared" si="29"/>
        <v>38.169076923076929</v>
      </c>
      <c r="AL21" s="7">
        <f t="shared" si="13"/>
        <v>39.723384615384617</v>
      </c>
      <c r="AM21" s="7">
        <f t="shared" si="24"/>
        <v>37.738923076923079</v>
      </c>
      <c r="AN21" s="3">
        <f t="shared" si="14"/>
        <v>38.54379487179488</v>
      </c>
      <c r="AO21" s="7">
        <f t="shared" si="15"/>
        <v>0.52197510841677652</v>
      </c>
      <c r="AP21" s="64">
        <f t="shared" si="25"/>
        <v>0</v>
      </c>
      <c r="AQ21" s="8">
        <f t="shared" si="16"/>
        <v>1.7158067158067156</v>
      </c>
      <c r="AR21" s="14">
        <f>S21+273.15</f>
        <v>437.15</v>
      </c>
      <c r="AS21" s="14">
        <f t="shared" si="18"/>
        <v>330.30590575023166</v>
      </c>
      <c r="AT21" s="14">
        <f>(S21*9/5)+32</f>
        <v>327.2</v>
      </c>
      <c r="AU21" s="7">
        <f t="shared" si="20"/>
        <v>104.4776</v>
      </c>
      <c r="AV21" s="8">
        <f t="shared" si="21"/>
        <v>57.155905750231682</v>
      </c>
      <c r="AW21" s="7">
        <f t="shared" si="22"/>
        <v>40.265333333333331</v>
      </c>
      <c r="AX21" s="37">
        <f t="shared" si="30"/>
        <v>57.155905750231682</v>
      </c>
      <c r="AY21" s="42">
        <v>64.2</v>
      </c>
      <c r="AZ21" s="15">
        <v>0.83</v>
      </c>
      <c r="BA21" s="42">
        <v>0.82</v>
      </c>
      <c r="BB21" s="8">
        <v>3.48</v>
      </c>
      <c r="BC21" s="42">
        <v>7.73</v>
      </c>
      <c r="BD21" s="67">
        <v>16.25</v>
      </c>
      <c r="BE21" s="42"/>
      <c r="BF21" s="67">
        <v>89.67201</v>
      </c>
      <c r="BG21" s="42"/>
      <c r="BH21" s="7"/>
      <c r="BI21" s="67">
        <v>87.16507</v>
      </c>
      <c r="BJ21" s="42"/>
      <c r="BK21" s="7"/>
      <c r="BL21" s="67">
        <f t="shared" si="27"/>
        <v>2.5069400000000002</v>
      </c>
      <c r="BM21" s="43"/>
      <c r="BN21" s="11"/>
      <c r="BO21" s="11">
        <f t="shared" si="28"/>
        <v>88.418540000000007</v>
      </c>
      <c r="BP21" s="11"/>
      <c r="BQ21" s="11"/>
      <c r="BR21" s="47"/>
      <c r="BS21" s="11"/>
      <c r="BT21" s="11"/>
      <c r="BU21" s="92">
        <f t="shared" si="26"/>
        <v>4.1024748320545669E-103</v>
      </c>
      <c r="BV21" s="2">
        <v>0</v>
      </c>
      <c r="BW21" s="4">
        <v>0</v>
      </c>
    </row>
    <row r="22" spans="1:75" s="4" customFormat="1" ht="15.6" x14ac:dyDescent="0.3">
      <c r="A22" s="34" t="s">
        <v>126</v>
      </c>
      <c r="B22" s="47" t="s">
        <v>148</v>
      </c>
      <c r="C22" s="43"/>
      <c r="D22" s="52"/>
      <c r="E22" s="53"/>
      <c r="F22" s="43" t="s">
        <v>59</v>
      </c>
      <c r="G22" s="44">
        <v>9</v>
      </c>
      <c r="H22" s="35">
        <f t="shared" si="0"/>
        <v>0.75</v>
      </c>
      <c r="I22" s="44">
        <v>20</v>
      </c>
      <c r="J22" s="35">
        <f t="shared" si="1"/>
        <v>0.1388888888888889</v>
      </c>
      <c r="K22" s="44">
        <v>1</v>
      </c>
      <c r="L22" s="35">
        <f t="shared" si="2"/>
        <v>0.1111111111111111</v>
      </c>
      <c r="M22" s="44"/>
      <c r="N22" s="35">
        <f t="shared" si="3"/>
        <v>0</v>
      </c>
      <c r="O22" s="44"/>
      <c r="P22" s="35">
        <f t="shared" si="4"/>
        <v>0</v>
      </c>
      <c r="Q22" s="7">
        <f t="shared" si="5"/>
        <v>144</v>
      </c>
      <c r="R22" s="54">
        <v>177.59</v>
      </c>
      <c r="S22" s="56">
        <v>174.5</v>
      </c>
      <c r="T22" s="54">
        <v>-38.06</v>
      </c>
      <c r="U22" s="59" t="s">
        <v>106</v>
      </c>
      <c r="V22" s="54">
        <v>44.5</v>
      </c>
      <c r="W22" s="56">
        <v>0.30299999999999999</v>
      </c>
      <c r="X22" s="54">
        <v>613.79999999999995</v>
      </c>
      <c r="Y22" s="56">
        <v>445</v>
      </c>
      <c r="Z22" s="71">
        <f>58.9</f>
        <v>58.9</v>
      </c>
      <c r="AA22" s="61" t="s">
        <v>179</v>
      </c>
      <c r="AB22" s="36" t="e">
        <f>AA22/G22</f>
        <v>#VALUE!</v>
      </c>
      <c r="AC22" s="8">
        <f t="shared" si="7"/>
        <v>41.669722222222219</v>
      </c>
      <c r="AD22" s="7">
        <f t="shared" si="8"/>
        <v>43.283333333333331</v>
      </c>
      <c r="AE22" s="7">
        <f t="shared" si="9"/>
        <v>41.265000000000001</v>
      </c>
      <c r="AF22" s="3">
        <f t="shared" si="10"/>
        <v>42.072685185185186</v>
      </c>
      <c r="AG22" s="7">
        <f t="shared" si="11"/>
        <v>0.53390114329598204</v>
      </c>
      <c r="AH22" s="44"/>
      <c r="AI22" s="12">
        <f t="shared" si="12"/>
        <v>0.1388888888888889</v>
      </c>
      <c r="AJ22" s="44"/>
      <c r="AK22" s="8">
        <f t="shared" si="29"/>
        <v>38.722499999999997</v>
      </c>
      <c r="AL22" s="7">
        <f t="shared" si="13"/>
        <v>40.336111111111109</v>
      </c>
      <c r="AM22" s="7">
        <f t="shared" si="24"/>
        <v>38.317777777777778</v>
      </c>
      <c r="AN22" s="3">
        <f t="shared" si="14"/>
        <v>39.125462962962963</v>
      </c>
      <c r="AO22" s="7">
        <f t="shared" si="15"/>
        <v>0.53390114329598204</v>
      </c>
      <c r="AP22" s="64">
        <f t="shared" si="25"/>
        <v>0</v>
      </c>
      <c r="AQ22" s="8">
        <f t="shared" si="16"/>
        <v>1.5280816921954776</v>
      </c>
      <c r="AR22" s="14">
        <f>S22+273.15</f>
        <v>447.65</v>
      </c>
      <c r="AS22" s="14">
        <f t="shared" si="18"/>
        <v>336.1880887138974</v>
      </c>
      <c r="AT22" s="14">
        <f>(S22*9/5)+32</f>
        <v>346.1</v>
      </c>
      <c r="AU22" s="7">
        <f t="shared" si="20"/>
        <v>117.38630000000003</v>
      </c>
      <c r="AV22" s="8">
        <f t="shared" si="21"/>
        <v>63.038088713897423</v>
      </c>
      <c r="AW22" s="7">
        <f t="shared" si="22"/>
        <v>47.436833333333347</v>
      </c>
      <c r="AX22" s="37">
        <f t="shared" si="30"/>
        <v>63.038088713897423</v>
      </c>
      <c r="AY22" s="42">
        <v>66</v>
      </c>
      <c r="AZ22" s="15">
        <v>0.82</v>
      </c>
      <c r="BA22" s="42">
        <v>0.81</v>
      </c>
      <c r="BB22" s="8">
        <v>3.18</v>
      </c>
      <c r="BC22" s="42" t="s">
        <v>193</v>
      </c>
      <c r="BD22" s="67">
        <v>14.71</v>
      </c>
      <c r="BE22" s="42"/>
      <c r="BF22" s="67">
        <v>70.057599999999994</v>
      </c>
      <c r="BG22" s="42"/>
      <c r="BH22" s="7"/>
      <c r="BI22" s="67">
        <v>86.372299999999996</v>
      </c>
      <c r="BJ22" s="42"/>
      <c r="BK22" s="7"/>
      <c r="BL22" s="67">
        <f t="shared" si="27"/>
        <v>-16.314700000000002</v>
      </c>
      <c r="BM22" s="43"/>
      <c r="BN22" s="11"/>
      <c r="BO22" s="11">
        <f t="shared" si="28"/>
        <v>78.214949999999988</v>
      </c>
      <c r="BP22" s="11"/>
      <c r="BQ22" s="11"/>
      <c r="BR22" s="47"/>
      <c r="BS22" s="11"/>
      <c r="BT22" s="11"/>
      <c r="BU22" s="92">
        <f t="shared" si="26"/>
        <v>2.0011527857969995E-103</v>
      </c>
      <c r="BV22" s="2">
        <v>0</v>
      </c>
      <c r="BW22" s="4">
        <v>0</v>
      </c>
    </row>
    <row r="23" spans="1:75" s="4" customFormat="1" ht="15.6" x14ac:dyDescent="0.3">
      <c r="A23" s="34" t="s">
        <v>88</v>
      </c>
      <c r="B23" s="47" t="s">
        <v>103</v>
      </c>
      <c r="C23" s="43"/>
      <c r="D23" s="50" t="s">
        <v>81</v>
      </c>
      <c r="E23" s="53"/>
      <c r="F23" s="43" t="s">
        <v>60</v>
      </c>
      <c r="G23" s="44">
        <v>8</v>
      </c>
      <c r="H23" s="35">
        <f t="shared" si="0"/>
        <v>0.7384615384615385</v>
      </c>
      <c r="I23" s="44">
        <v>18</v>
      </c>
      <c r="J23" s="35">
        <f t="shared" si="1"/>
        <v>0.13846153846153847</v>
      </c>
      <c r="K23" s="44">
        <v>1</v>
      </c>
      <c r="L23" s="35">
        <f t="shared" si="2"/>
        <v>0.12307692307692308</v>
      </c>
      <c r="M23" s="44"/>
      <c r="N23" s="35">
        <f t="shared" si="3"/>
        <v>0</v>
      </c>
      <c r="O23" s="44"/>
      <c r="P23" s="35">
        <f t="shared" si="4"/>
        <v>0</v>
      </c>
      <c r="Q23" s="7">
        <f t="shared" si="5"/>
        <v>130</v>
      </c>
      <c r="R23" s="54">
        <v>181.87</v>
      </c>
      <c r="S23" s="56">
        <v>180</v>
      </c>
      <c r="T23" s="54">
        <v>-27.45</v>
      </c>
      <c r="U23" s="56">
        <v>-31.6</v>
      </c>
      <c r="V23" s="54">
        <v>32.299999999999997</v>
      </c>
      <c r="W23" s="56">
        <v>0.24199999999999999</v>
      </c>
      <c r="X23" s="54">
        <v>990.9</v>
      </c>
      <c r="Y23" s="56">
        <v>1120</v>
      </c>
      <c r="Z23" s="71">
        <v>41</v>
      </c>
      <c r="AA23" s="61">
        <v>46.1</v>
      </c>
      <c r="AB23" s="36">
        <f>AA23/G23</f>
        <v>5.7625000000000002</v>
      </c>
      <c r="AC23" s="8">
        <f t="shared" si="7"/>
        <v>41.107230769230775</v>
      </c>
      <c r="AD23" s="7">
        <f t="shared" si="8"/>
        <v>42.661538461538463</v>
      </c>
      <c r="AE23" s="7">
        <f t="shared" si="9"/>
        <v>40.677076923076925</v>
      </c>
      <c r="AF23" s="3">
        <f t="shared" si="10"/>
        <v>41.481948717948718</v>
      </c>
      <c r="AG23" s="7">
        <f t="shared" si="11"/>
        <v>0.52197510841677652</v>
      </c>
      <c r="AH23" s="44"/>
      <c r="AI23" s="12">
        <f t="shared" si="12"/>
        <v>0.13846153846153847</v>
      </c>
      <c r="AJ23" s="44"/>
      <c r="AK23" s="8">
        <f t="shared" si="29"/>
        <v>38.169076923076929</v>
      </c>
      <c r="AL23" s="7">
        <f t="shared" si="13"/>
        <v>39.723384615384617</v>
      </c>
      <c r="AM23" s="7">
        <f t="shared" si="24"/>
        <v>37.738923076923079</v>
      </c>
      <c r="AN23" s="3">
        <f t="shared" si="14"/>
        <v>38.54379487179488</v>
      </c>
      <c r="AO23" s="7">
        <f t="shared" si="15"/>
        <v>0.52197510841677652</v>
      </c>
      <c r="AP23" s="64">
        <f t="shared" si="25"/>
        <v>0</v>
      </c>
      <c r="AQ23" s="8">
        <f t="shared" si="16"/>
        <v>1.7158067158067156</v>
      </c>
      <c r="AR23" s="14">
        <f>S23+273.15</f>
        <v>453.15</v>
      </c>
      <c r="AS23" s="14">
        <f t="shared" si="18"/>
        <v>342.39533613340382</v>
      </c>
      <c r="AT23" s="14">
        <f>(S23*9/5)+32</f>
        <v>356</v>
      </c>
      <c r="AU23" s="7">
        <f t="shared" si="20"/>
        <v>124.14800000000002</v>
      </c>
      <c r="AV23" s="8">
        <f t="shared" si="21"/>
        <v>69.245336133403839</v>
      </c>
      <c r="AW23" s="7">
        <f t="shared" si="22"/>
        <v>51.193333333333349</v>
      </c>
      <c r="AX23" s="37">
        <f t="shared" si="30"/>
        <v>69.245336133403839</v>
      </c>
      <c r="AY23" s="42">
        <v>81.099999999999994</v>
      </c>
      <c r="AZ23" s="15">
        <v>0.84</v>
      </c>
      <c r="BA23" s="42">
        <v>0.82</v>
      </c>
      <c r="BB23" s="8">
        <v>4.13</v>
      </c>
      <c r="BC23" s="42" t="s">
        <v>193</v>
      </c>
      <c r="BD23" s="67">
        <v>31</v>
      </c>
      <c r="BE23" s="42"/>
      <c r="BF23" s="67">
        <v>65.065169999999995</v>
      </c>
      <c r="BG23" s="42"/>
      <c r="BH23" s="7"/>
      <c r="BI23" s="67">
        <v>75.531970000000001</v>
      </c>
      <c r="BJ23" s="42"/>
      <c r="BK23" s="7"/>
      <c r="BL23" s="67">
        <f t="shared" si="27"/>
        <v>-10.466800000000006</v>
      </c>
      <c r="BM23" s="43"/>
      <c r="BN23" s="11"/>
      <c r="BO23" s="11">
        <f t="shared" si="28"/>
        <v>70.298569999999998</v>
      </c>
      <c r="BP23" s="11"/>
      <c r="BQ23" s="11"/>
      <c r="BR23" s="47"/>
      <c r="BS23" s="11"/>
      <c r="BT23" s="11"/>
      <c r="BU23" s="92">
        <f t="shared" si="26"/>
        <v>9.509306318144307E-104</v>
      </c>
      <c r="BV23" s="2">
        <v>4.3</v>
      </c>
      <c r="BW23" s="48">
        <v>21</v>
      </c>
    </row>
    <row r="24" spans="1:75" s="2" customFormat="1" ht="15.6" x14ac:dyDescent="0.3">
      <c r="A24" s="34" t="s">
        <v>109</v>
      </c>
      <c r="B24" s="47" t="s">
        <v>147</v>
      </c>
      <c r="C24" s="43"/>
      <c r="D24" s="50"/>
      <c r="E24" s="50"/>
      <c r="F24" s="47" t="s">
        <v>60</v>
      </c>
      <c r="G24" s="44">
        <v>8</v>
      </c>
      <c r="H24" s="35">
        <f t="shared" si="0"/>
        <v>0.7384615384615385</v>
      </c>
      <c r="I24" s="44">
        <v>18</v>
      </c>
      <c r="J24" s="35">
        <f t="shared" si="1"/>
        <v>0.13846153846153847</v>
      </c>
      <c r="K24" s="44">
        <v>1</v>
      </c>
      <c r="L24" s="35">
        <f t="shared" si="2"/>
        <v>0.12307692307692308</v>
      </c>
      <c r="M24" s="44"/>
      <c r="N24" s="35">
        <f t="shared" si="3"/>
        <v>0</v>
      </c>
      <c r="O24" s="44"/>
      <c r="P24" s="35">
        <f t="shared" si="4"/>
        <v>0</v>
      </c>
      <c r="Q24" s="7">
        <f t="shared" si="5"/>
        <v>130</v>
      </c>
      <c r="R24" s="54">
        <v>181.87</v>
      </c>
      <c r="S24" s="56">
        <v>195</v>
      </c>
      <c r="T24" s="54">
        <v>-27.45</v>
      </c>
      <c r="U24" s="56">
        <v>-16</v>
      </c>
      <c r="V24" s="54">
        <v>13.3</v>
      </c>
      <c r="W24" s="56">
        <v>0.25600000000000001</v>
      </c>
      <c r="X24" s="54">
        <v>1379</v>
      </c>
      <c r="Y24" s="56">
        <v>1250</v>
      </c>
      <c r="Z24" s="71">
        <v>41</v>
      </c>
      <c r="AA24" s="61">
        <v>43.6</v>
      </c>
      <c r="AB24" s="36">
        <f>AA24/G24</f>
        <v>5.45</v>
      </c>
      <c r="AC24" s="8">
        <f t="shared" si="7"/>
        <v>41.107230769230775</v>
      </c>
      <c r="AD24" s="7">
        <f t="shared" si="8"/>
        <v>42.661538461538463</v>
      </c>
      <c r="AE24" s="7">
        <f t="shared" si="9"/>
        <v>40.677076923076925</v>
      </c>
      <c r="AF24" s="3">
        <f t="shared" si="10"/>
        <v>41.481948717948718</v>
      </c>
      <c r="AG24" s="7">
        <f t="shared" si="11"/>
        <v>0.52197510841677652</v>
      </c>
      <c r="AH24" s="44"/>
      <c r="AI24" s="12">
        <f t="shared" si="12"/>
        <v>0.13846153846153847</v>
      </c>
      <c r="AJ24" s="44"/>
      <c r="AK24" s="8">
        <f t="shared" si="29"/>
        <v>38.169076923076929</v>
      </c>
      <c r="AL24" s="7">
        <f t="shared" si="13"/>
        <v>39.723384615384617</v>
      </c>
      <c r="AM24" s="7">
        <f t="shared" si="24"/>
        <v>37.738923076923079</v>
      </c>
      <c r="AN24" s="3">
        <f t="shared" si="14"/>
        <v>38.54379487179488</v>
      </c>
      <c r="AO24" s="7">
        <f t="shared" si="15"/>
        <v>0.52197510841677652</v>
      </c>
      <c r="AP24" s="64">
        <f t="shared" si="25"/>
        <v>0</v>
      </c>
      <c r="AQ24" s="8">
        <f t="shared" si="16"/>
        <v>1.7158067158067156</v>
      </c>
      <c r="AR24" s="14">
        <f>S24+273.15</f>
        <v>468.15</v>
      </c>
      <c r="AS24" s="14">
        <f t="shared" si="18"/>
        <v>353.72917711762773</v>
      </c>
      <c r="AT24" s="14">
        <f>(S24*9/5)+32</f>
        <v>383</v>
      </c>
      <c r="AU24" s="7">
        <f t="shared" si="20"/>
        <v>142.589</v>
      </c>
      <c r="AV24" s="8">
        <f t="shared" si="21"/>
        <v>80.579177117627751</v>
      </c>
      <c r="AW24" s="7">
        <f t="shared" si="22"/>
        <v>61.438333333333325</v>
      </c>
      <c r="AX24" s="37">
        <f t="shared" si="30"/>
        <v>80.579177117627751</v>
      </c>
      <c r="AY24" s="42">
        <v>65.599999999999994</v>
      </c>
      <c r="AZ24" s="15">
        <v>0.83</v>
      </c>
      <c r="BA24" s="42">
        <v>0.82</v>
      </c>
      <c r="BB24" s="8">
        <v>4.0999999999999996</v>
      </c>
      <c r="BC24" s="42" t="s">
        <v>193</v>
      </c>
      <c r="BD24" s="67">
        <v>27.16</v>
      </c>
      <c r="BE24" s="42">
        <v>25</v>
      </c>
      <c r="BF24" s="67">
        <v>70.738784999999993</v>
      </c>
      <c r="BG24" s="42"/>
      <c r="BH24" s="7"/>
      <c r="BI24" s="67">
        <v>83.915210000000002</v>
      </c>
      <c r="BJ24" s="42"/>
      <c r="BK24" s="7"/>
      <c r="BL24" s="67">
        <f t="shared" si="27"/>
        <v>-13.176425000000009</v>
      </c>
      <c r="BM24" s="43"/>
      <c r="BN24" s="11"/>
      <c r="BO24" s="11">
        <f t="shared" si="28"/>
        <v>77.326997500000004</v>
      </c>
      <c r="BP24" s="11"/>
      <c r="BQ24" s="11"/>
      <c r="BR24" s="47"/>
      <c r="BS24" s="11"/>
      <c r="BT24" s="11"/>
      <c r="BU24" s="92">
        <f t="shared" si="26"/>
        <v>2.5291841840452648E-104</v>
      </c>
      <c r="BV24" s="2">
        <v>4.3</v>
      </c>
      <c r="BW24" s="48">
        <v>21</v>
      </c>
    </row>
    <row r="25" spans="1:75" s="2" customFormat="1" ht="15.6" x14ac:dyDescent="0.3">
      <c r="A25" s="34" t="s">
        <v>122</v>
      </c>
      <c r="B25" s="47" t="s">
        <v>146</v>
      </c>
      <c r="C25" s="43"/>
      <c r="D25" s="52"/>
      <c r="E25" s="52"/>
      <c r="F25" s="47" t="s">
        <v>60</v>
      </c>
      <c r="G25" s="44">
        <v>8</v>
      </c>
      <c r="H25" s="35">
        <f t="shared" si="0"/>
        <v>0.7384615384615385</v>
      </c>
      <c r="I25" s="44">
        <v>18</v>
      </c>
      <c r="J25" s="35">
        <f t="shared" si="1"/>
        <v>0.13846153846153847</v>
      </c>
      <c r="K25" s="44">
        <v>1</v>
      </c>
      <c r="L25" s="35">
        <f t="shared" si="2"/>
        <v>0.12307692307692308</v>
      </c>
      <c r="M25" s="44"/>
      <c r="N25" s="35">
        <f t="shared" si="3"/>
        <v>0</v>
      </c>
      <c r="O25" s="44"/>
      <c r="P25" s="35">
        <f t="shared" si="4"/>
        <v>0</v>
      </c>
      <c r="Q25" s="7">
        <f t="shared" si="5"/>
        <v>130</v>
      </c>
      <c r="R25" s="54">
        <v>181.87</v>
      </c>
      <c r="S25" s="56">
        <v>176.3</v>
      </c>
      <c r="T25" s="54">
        <v>-27.45</v>
      </c>
      <c r="U25" s="56">
        <v>-40.700000000000003</v>
      </c>
      <c r="V25" s="54">
        <v>40.1</v>
      </c>
      <c r="W25" s="56">
        <v>0.311</v>
      </c>
      <c r="X25" s="54">
        <v>1527</v>
      </c>
      <c r="Y25" s="56">
        <v>1210</v>
      </c>
      <c r="Z25" s="71">
        <v>41</v>
      </c>
      <c r="AA25" s="61">
        <v>43.8</v>
      </c>
      <c r="AB25" s="36">
        <f>AA25/G25</f>
        <v>5.4749999999999996</v>
      </c>
      <c r="AC25" s="8">
        <f t="shared" si="7"/>
        <v>41.107230769230775</v>
      </c>
      <c r="AD25" s="7">
        <f t="shared" si="8"/>
        <v>42.661538461538463</v>
      </c>
      <c r="AE25" s="7">
        <f t="shared" si="9"/>
        <v>40.677076923076925</v>
      </c>
      <c r="AF25" s="3">
        <f t="shared" si="10"/>
        <v>41.481948717948718</v>
      </c>
      <c r="AG25" s="7">
        <f t="shared" si="11"/>
        <v>0.52197510841677652</v>
      </c>
      <c r="AH25" s="44"/>
      <c r="AI25" s="12">
        <f t="shared" si="12"/>
        <v>0.13846153846153847</v>
      </c>
      <c r="AJ25" s="44"/>
      <c r="AK25" s="8">
        <f t="shared" si="29"/>
        <v>38.169076923076929</v>
      </c>
      <c r="AL25" s="7">
        <f t="shared" si="13"/>
        <v>39.723384615384617</v>
      </c>
      <c r="AM25" s="7">
        <f t="shared" si="24"/>
        <v>37.738923076923079</v>
      </c>
      <c r="AN25" s="3">
        <f t="shared" si="14"/>
        <v>38.54379487179488</v>
      </c>
      <c r="AO25" s="7">
        <f t="shared" si="15"/>
        <v>0.52197510841677652</v>
      </c>
      <c r="AP25" s="64">
        <f t="shared" si="25"/>
        <v>0</v>
      </c>
      <c r="AQ25" s="8">
        <f t="shared" si="16"/>
        <v>1.7158067158067156</v>
      </c>
      <c r="AR25" s="14">
        <f>S25+273.15</f>
        <v>449.45</v>
      </c>
      <c r="AS25" s="14">
        <f t="shared" si="18"/>
        <v>339.59965535729526</v>
      </c>
      <c r="AT25" s="14">
        <f>(S25*9/5)+32</f>
        <v>349.34000000000003</v>
      </c>
      <c r="AU25" s="7">
        <f t="shared" si="20"/>
        <v>119.59922000000003</v>
      </c>
      <c r="AV25" s="8">
        <f t="shared" si="21"/>
        <v>66.449655357295285</v>
      </c>
      <c r="AW25" s="7">
        <f t="shared" si="22"/>
        <v>48.666233333333352</v>
      </c>
      <c r="AX25" s="37">
        <f t="shared" si="30"/>
        <v>66.449655357295285</v>
      </c>
      <c r="AY25" s="42">
        <v>71.099999999999994</v>
      </c>
      <c r="AZ25" s="15">
        <v>0.84</v>
      </c>
      <c r="BA25" s="42">
        <v>0.82</v>
      </c>
      <c r="BB25" s="8">
        <v>3.92</v>
      </c>
      <c r="BC25" s="42" t="s">
        <v>193</v>
      </c>
      <c r="BD25" s="67">
        <v>23.79</v>
      </c>
      <c r="BE25" s="42"/>
      <c r="BF25" s="67">
        <v>69.403899999999993</v>
      </c>
      <c r="BG25" s="42"/>
      <c r="BH25" s="7"/>
      <c r="BI25" s="67">
        <v>75.731319999999997</v>
      </c>
      <c r="BJ25" s="42"/>
      <c r="BK25" s="7"/>
      <c r="BL25" s="67">
        <f t="shared" si="27"/>
        <v>-6.3274200000000036</v>
      </c>
      <c r="BM25" s="43"/>
      <c r="BN25" s="11"/>
      <c r="BO25" s="11">
        <f t="shared" si="28"/>
        <v>72.567610000000002</v>
      </c>
      <c r="BP25" s="11"/>
      <c r="BQ25" s="11"/>
      <c r="BR25" s="47"/>
      <c r="BS25" s="11"/>
      <c r="BT25" s="11"/>
      <c r="BU25" s="92">
        <f t="shared" si="26"/>
        <v>1.3272488410593386E-103</v>
      </c>
      <c r="BV25" s="2">
        <v>4</v>
      </c>
      <c r="BW25" s="48">
        <v>20</v>
      </c>
    </row>
    <row r="26" spans="1:75" s="2" customFormat="1" ht="15.6" x14ac:dyDescent="0.3">
      <c r="A26" s="34" t="s">
        <v>117</v>
      </c>
      <c r="B26" s="47" t="s">
        <v>152</v>
      </c>
      <c r="C26" s="43"/>
      <c r="D26" s="52"/>
      <c r="E26" s="53"/>
      <c r="F26" s="43" t="s">
        <v>59</v>
      </c>
      <c r="G26" s="44">
        <v>9</v>
      </c>
      <c r="H26" s="35">
        <f t="shared" si="0"/>
        <v>0.75</v>
      </c>
      <c r="I26" s="44">
        <v>20</v>
      </c>
      <c r="J26" s="35">
        <f t="shared" si="1"/>
        <v>0.1388888888888889</v>
      </c>
      <c r="K26" s="44">
        <v>1</v>
      </c>
      <c r="L26" s="35">
        <f t="shared" si="2"/>
        <v>0.1111111111111111</v>
      </c>
      <c r="M26" s="44"/>
      <c r="N26" s="35">
        <f t="shared" si="3"/>
        <v>0</v>
      </c>
      <c r="O26" s="44"/>
      <c r="P26" s="35">
        <f t="shared" si="4"/>
        <v>0</v>
      </c>
      <c r="Q26" s="7">
        <f t="shared" si="5"/>
        <v>144</v>
      </c>
      <c r="R26" s="54">
        <v>190.02</v>
      </c>
      <c r="S26" s="56" t="s">
        <v>106</v>
      </c>
      <c r="T26" s="54">
        <v>-26.93</v>
      </c>
      <c r="U26" s="59" t="s">
        <v>106</v>
      </c>
      <c r="V26" s="54">
        <v>17.899999999999999</v>
      </c>
      <c r="W26" s="59" t="s">
        <v>106</v>
      </c>
      <c r="X26" s="54">
        <v>531.20000000000005</v>
      </c>
      <c r="Y26" s="59" t="s">
        <v>106</v>
      </c>
      <c r="Z26" s="71">
        <f>53.2</f>
        <v>53.2</v>
      </c>
      <c r="AA26" s="61" t="s">
        <v>180</v>
      </c>
      <c r="AB26" s="36">
        <f>Z26/G26</f>
        <v>5.9111111111111114</v>
      </c>
      <c r="AC26" s="8">
        <f t="shared" si="7"/>
        <v>41.669722222222219</v>
      </c>
      <c r="AD26" s="7">
        <f t="shared" si="8"/>
        <v>43.283333333333331</v>
      </c>
      <c r="AE26" s="7">
        <f t="shared" si="9"/>
        <v>41.265000000000001</v>
      </c>
      <c r="AF26" s="3">
        <f t="shared" si="10"/>
        <v>42.072685185185186</v>
      </c>
      <c r="AG26" s="7">
        <f t="shared" si="11"/>
        <v>0.53390114329598204</v>
      </c>
      <c r="AH26" s="44"/>
      <c r="AI26" s="12">
        <f t="shared" si="12"/>
        <v>0.1388888888888889</v>
      </c>
      <c r="AJ26" s="44"/>
      <c r="AK26" s="8">
        <f t="shared" si="29"/>
        <v>38.722499999999997</v>
      </c>
      <c r="AL26" s="7">
        <f t="shared" si="13"/>
        <v>40.336111111111109</v>
      </c>
      <c r="AM26" s="7">
        <f t="shared" si="24"/>
        <v>38.317777777777778</v>
      </c>
      <c r="AN26" s="3">
        <f t="shared" si="14"/>
        <v>39.125462962962963</v>
      </c>
      <c r="AO26" s="7">
        <f t="shared" si="15"/>
        <v>0.53390114329598204</v>
      </c>
      <c r="AP26" s="64">
        <f t="shared" si="25"/>
        <v>0</v>
      </c>
      <c r="AQ26" s="8">
        <f t="shared" si="16"/>
        <v>1.5280816921954776</v>
      </c>
      <c r="AR26" s="68">
        <f>R26+273.15</f>
        <v>463.16999999999996</v>
      </c>
      <c r="AS26" s="14">
        <f t="shared" si="18"/>
        <v>347.84371059894079</v>
      </c>
      <c r="AT26" s="68">
        <f>(R26*9/5)+32</f>
        <v>374.036</v>
      </c>
      <c r="AU26" s="7">
        <f t="shared" si="20"/>
        <v>136.46658800000003</v>
      </c>
      <c r="AV26" s="8">
        <f t="shared" si="21"/>
        <v>74.693710598940811</v>
      </c>
      <c r="AW26" s="7">
        <f t="shared" si="22"/>
        <v>58.036993333333349</v>
      </c>
      <c r="AX26" s="69">
        <f t="shared" si="30"/>
        <v>74.693710598940811</v>
      </c>
      <c r="AY26" s="42" t="s">
        <v>193</v>
      </c>
      <c r="AZ26" s="15">
        <v>0.83</v>
      </c>
      <c r="BA26" s="42" t="s">
        <v>193</v>
      </c>
      <c r="BB26" s="8">
        <v>4.22</v>
      </c>
      <c r="BC26" s="42" t="s">
        <v>193</v>
      </c>
      <c r="BD26" s="67">
        <v>25.01</v>
      </c>
      <c r="BE26" s="42"/>
      <c r="BF26" s="67">
        <v>85.825355999999999</v>
      </c>
      <c r="BG26" s="42"/>
      <c r="BH26" s="7"/>
      <c r="BI26" s="67">
        <v>90.310329999999993</v>
      </c>
      <c r="BJ26" s="42"/>
      <c r="BK26" s="7"/>
      <c r="BL26" s="67">
        <f t="shared" si="27"/>
        <v>-4.484973999999994</v>
      </c>
      <c r="BM26" s="43"/>
      <c r="BN26" s="11"/>
      <c r="BO26" s="11">
        <f t="shared" si="28"/>
        <v>88.067842999999996</v>
      </c>
      <c r="BP26" s="11"/>
      <c r="BQ26" s="11"/>
      <c r="BR26" s="47"/>
      <c r="BS26" s="11"/>
      <c r="BT26" s="11"/>
      <c r="BU26" s="92">
        <f t="shared" si="26"/>
        <v>5.0039810566073531E-104</v>
      </c>
      <c r="BV26" s="2">
        <v>0</v>
      </c>
      <c r="BW26" s="2">
        <v>0</v>
      </c>
    </row>
    <row r="27" spans="1:75" s="2" customFormat="1" ht="15.6" x14ac:dyDescent="0.3">
      <c r="A27" s="34" t="s">
        <v>245</v>
      </c>
      <c r="B27" s="47" t="str">
        <f>B26</f>
        <v>CCCCCC(O)C(C)C</v>
      </c>
      <c r="C27" s="43"/>
      <c r="D27" s="52"/>
      <c r="E27" s="53"/>
      <c r="F27" s="43" t="str">
        <f>F26</f>
        <v>C9H20O</v>
      </c>
      <c r="G27" s="44">
        <f>G26</f>
        <v>9</v>
      </c>
      <c r="H27" s="35">
        <f t="shared" si="0"/>
        <v>0.75</v>
      </c>
      <c r="I27" s="44">
        <f>I26</f>
        <v>20</v>
      </c>
      <c r="J27" s="35">
        <f t="shared" si="1"/>
        <v>0.1388888888888889</v>
      </c>
      <c r="K27" s="44">
        <f>K26</f>
        <v>1</v>
      </c>
      <c r="L27" s="35">
        <f t="shared" si="2"/>
        <v>0.1111111111111111</v>
      </c>
      <c r="M27" s="44"/>
      <c r="N27" s="35">
        <f t="shared" si="3"/>
        <v>0</v>
      </c>
      <c r="O27" s="44"/>
      <c r="P27" s="35">
        <f>P26</f>
        <v>0</v>
      </c>
      <c r="Q27" s="7">
        <f>G27*$G$3+I27*$I$3+K27*$K$3+M27*$M$3+O27*$O$3</f>
        <v>144</v>
      </c>
      <c r="R27" s="54">
        <f t="shared" ref="R27:AB27" si="31">R26</f>
        <v>190.02</v>
      </c>
      <c r="S27" s="56" t="str">
        <f t="shared" si="31"/>
        <v>-</v>
      </c>
      <c r="T27" s="54">
        <f t="shared" si="31"/>
        <v>-26.93</v>
      </c>
      <c r="U27" s="59" t="str">
        <f t="shared" si="31"/>
        <v>-</v>
      </c>
      <c r="V27" s="54">
        <f t="shared" si="31"/>
        <v>17.899999999999999</v>
      </c>
      <c r="W27" s="59" t="str">
        <f t="shared" si="31"/>
        <v>-</v>
      </c>
      <c r="X27" s="54">
        <f t="shared" si="31"/>
        <v>531.20000000000005</v>
      </c>
      <c r="Y27" s="59" t="str">
        <f t="shared" si="31"/>
        <v>-</v>
      </c>
      <c r="Z27" s="71">
        <f t="shared" si="31"/>
        <v>53.2</v>
      </c>
      <c r="AA27" s="61" t="str">
        <f t="shared" si="31"/>
        <v>53.2 </v>
      </c>
      <c r="AB27" s="36">
        <f t="shared" si="31"/>
        <v>5.9111111111111114</v>
      </c>
      <c r="AC27" s="8">
        <f t="shared" si="7"/>
        <v>41.669722222222219</v>
      </c>
      <c r="AD27" s="7">
        <f t="shared" si="8"/>
        <v>43.283333333333331</v>
      </c>
      <c r="AE27" s="7">
        <f t="shared" si="9"/>
        <v>41.265000000000001</v>
      </c>
      <c r="AF27" s="3">
        <f t="shared" si="10"/>
        <v>42.072685185185186</v>
      </c>
      <c r="AG27" s="7">
        <f t="shared" si="11"/>
        <v>0.53390114329598204</v>
      </c>
      <c r="AH27" s="44"/>
      <c r="AI27" s="12">
        <f t="shared" si="12"/>
        <v>0.1388888888888889</v>
      </c>
      <c r="AJ27" s="44"/>
      <c r="AK27" s="8">
        <f t="shared" si="29"/>
        <v>38.722499999999997</v>
      </c>
      <c r="AL27" s="7">
        <f t="shared" si="13"/>
        <v>40.336111111111109</v>
      </c>
      <c r="AM27" s="7">
        <f t="shared" si="24"/>
        <v>38.317777777777778</v>
      </c>
      <c r="AN27" s="3">
        <f t="shared" si="14"/>
        <v>39.125462962962963</v>
      </c>
      <c r="AO27" s="7">
        <f t="shared" si="15"/>
        <v>0.53390114329598204</v>
      </c>
      <c r="AP27" s="64"/>
      <c r="AQ27" s="8">
        <f>AQ26</f>
        <v>1.5280816921954776</v>
      </c>
      <c r="AR27" s="68">
        <f>AR26</f>
        <v>463.16999999999996</v>
      </c>
      <c r="AS27" s="14">
        <f t="shared" si="18"/>
        <v>347.84371059894079</v>
      </c>
      <c r="AT27" s="68">
        <f>AT26</f>
        <v>374.036</v>
      </c>
      <c r="AU27" s="7">
        <f t="shared" si="20"/>
        <v>136.46658800000003</v>
      </c>
      <c r="AV27" s="8">
        <f t="shared" si="21"/>
        <v>74.693710598940811</v>
      </c>
      <c r="AW27" s="7">
        <f t="shared" si="22"/>
        <v>58.036993333333349</v>
      </c>
      <c r="AX27" s="69">
        <f t="shared" si="30"/>
        <v>74.693710598940811</v>
      </c>
      <c r="AY27" s="42" t="str">
        <f t="shared" ref="AY27:BD27" si="32">AY26</f>
        <v>N/A</v>
      </c>
      <c r="AZ27" s="15">
        <f t="shared" si="32"/>
        <v>0.83</v>
      </c>
      <c r="BA27" s="42" t="str">
        <f t="shared" si="32"/>
        <v>N/A</v>
      </c>
      <c r="BB27" s="8">
        <v>4.9000000000000004</v>
      </c>
      <c r="BC27" s="42" t="str">
        <f t="shared" si="32"/>
        <v>N/A</v>
      </c>
      <c r="BD27" s="67">
        <f t="shared" si="32"/>
        <v>25.01</v>
      </c>
      <c r="BE27" s="42"/>
      <c r="BF27" s="67">
        <f>BF26</f>
        <v>85.825355999999999</v>
      </c>
      <c r="BG27" s="42"/>
      <c r="BH27" s="7"/>
      <c r="BI27" s="67">
        <f>BI26</f>
        <v>90.310329999999993</v>
      </c>
      <c r="BJ27" s="42"/>
      <c r="BK27" s="7"/>
      <c r="BL27" s="67">
        <f>BL26</f>
        <v>-4.484973999999994</v>
      </c>
      <c r="BM27" s="43"/>
      <c r="BN27" s="11"/>
      <c r="BO27" s="11">
        <f>BO26</f>
        <v>88.067842999999996</v>
      </c>
      <c r="BP27" s="11"/>
      <c r="BQ27" s="11"/>
      <c r="BR27" s="47"/>
      <c r="BS27" s="11"/>
      <c r="BT27" s="11"/>
      <c r="BU27" s="92">
        <f t="shared" si="26"/>
        <v>5.0039810566073531E-104</v>
      </c>
      <c r="BV27" s="2">
        <v>0</v>
      </c>
      <c r="BW27" s="2">
        <v>0</v>
      </c>
    </row>
    <row r="28" spans="1:75" s="4" customFormat="1" ht="15.6" x14ac:dyDescent="0.3">
      <c r="A28" s="39" t="s">
        <v>89</v>
      </c>
      <c r="B28" s="47" t="s">
        <v>104</v>
      </c>
      <c r="C28" s="43"/>
      <c r="D28" s="52" t="s">
        <v>82</v>
      </c>
      <c r="E28" s="53"/>
      <c r="F28" s="43" t="s">
        <v>59</v>
      </c>
      <c r="G28" s="44">
        <v>9</v>
      </c>
      <c r="H28" s="35">
        <f t="shared" si="0"/>
        <v>0.75</v>
      </c>
      <c r="I28" s="44">
        <v>20</v>
      </c>
      <c r="J28" s="35">
        <f t="shared" si="1"/>
        <v>0.1388888888888889</v>
      </c>
      <c r="K28" s="44">
        <v>1</v>
      </c>
      <c r="L28" s="35">
        <f t="shared" si="2"/>
        <v>0.1111111111111111</v>
      </c>
      <c r="M28" s="45"/>
      <c r="N28" s="35">
        <f t="shared" si="3"/>
        <v>0</v>
      </c>
      <c r="O28" s="45"/>
      <c r="P28" s="35">
        <f t="shared" si="4"/>
        <v>0</v>
      </c>
      <c r="Q28" s="7">
        <f t="shared" si="5"/>
        <v>144</v>
      </c>
      <c r="R28" s="54">
        <v>202.13</v>
      </c>
      <c r="S28" s="59">
        <v>193.5</v>
      </c>
      <c r="T28" s="54">
        <v>-15.89</v>
      </c>
      <c r="U28" s="56">
        <v>-35.5</v>
      </c>
      <c r="V28" s="54">
        <v>14.5</v>
      </c>
      <c r="W28" s="56">
        <v>6.7599999999999993E-2</v>
      </c>
      <c r="X28" s="54">
        <v>459.7</v>
      </c>
      <c r="Y28" s="56">
        <v>259</v>
      </c>
      <c r="Z28" s="71">
        <v>47.5</v>
      </c>
      <c r="AA28" s="61">
        <v>47.3</v>
      </c>
      <c r="AB28" s="36">
        <f>AA28/G28</f>
        <v>5.2555555555555555</v>
      </c>
      <c r="AC28" s="8">
        <f t="shared" si="7"/>
        <v>41.669722222222219</v>
      </c>
      <c r="AD28" s="7">
        <f t="shared" si="8"/>
        <v>43.283333333333331</v>
      </c>
      <c r="AE28" s="7">
        <f t="shared" si="9"/>
        <v>41.265000000000001</v>
      </c>
      <c r="AF28" s="3">
        <f t="shared" si="10"/>
        <v>42.072685185185186</v>
      </c>
      <c r="AG28" s="7">
        <f t="shared" si="11"/>
        <v>0.53390114329598204</v>
      </c>
      <c r="AH28" s="45"/>
      <c r="AI28" s="12">
        <f t="shared" si="12"/>
        <v>0.1388888888888889</v>
      </c>
      <c r="AJ28" s="45"/>
      <c r="AK28" s="8">
        <f t="shared" si="29"/>
        <v>38.722499999999997</v>
      </c>
      <c r="AL28" s="7">
        <f t="shared" si="13"/>
        <v>40.336111111111109</v>
      </c>
      <c r="AM28" s="7">
        <f t="shared" si="24"/>
        <v>38.317777777777778</v>
      </c>
      <c r="AN28" s="3">
        <f t="shared" si="14"/>
        <v>39.125462962962963</v>
      </c>
      <c r="AO28" s="7">
        <f t="shared" si="15"/>
        <v>0.53390114329598204</v>
      </c>
      <c r="AP28" s="64">
        <f t="shared" si="25"/>
        <v>0</v>
      </c>
      <c r="AQ28" s="8">
        <f t="shared" si="16"/>
        <v>1.5280816921954776</v>
      </c>
      <c r="AR28" s="14">
        <f>S28+273.15</f>
        <v>466.65</v>
      </c>
      <c r="AS28" s="14">
        <f t="shared" si="18"/>
        <v>350.45721344429847</v>
      </c>
      <c r="AT28" s="14">
        <f>(S28*9/5)+32</f>
        <v>380.3</v>
      </c>
      <c r="AU28" s="7">
        <f t="shared" si="20"/>
        <v>140.74490000000003</v>
      </c>
      <c r="AV28" s="8">
        <f t="shared" si="21"/>
        <v>77.307213444298498</v>
      </c>
      <c r="AW28" s="7">
        <f t="shared" si="22"/>
        <v>60.413833333333351</v>
      </c>
      <c r="AX28" s="37">
        <f t="shared" si="30"/>
        <v>77.307213444298498</v>
      </c>
      <c r="AY28" s="43">
        <v>82.2</v>
      </c>
      <c r="AZ28" s="15">
        <v>0.84</v>
      </c>
      <c r="BA28" s="42">
        <v>0.82</v>
      </c>
      <c r="BB28" s="8">
        <v>5.36</v>
      </c>
      <c r="BC28" s="42" t="s">
        <v>193</v>
      </c>
      <c r="BD28" s="67">
        <v>37.06</v>
      </c>
      <c r="BE28" s="42">
        <v>39.6</v>
      </c>
      <c r="BF28" s="67">
        <v>62.670867999999999</v>
      </c>
      <c r="BG28" s="42"/>
      <c r="BH28" s="7"/>
      <c r="BI28" s="67">
        <v>87.153049999999993</v>
      </c>
      <c r="BJ28" s="42"/>
      <c r="BK28" s="7"/>
      <c r="BL28" s="67">
        <f t="shared" si="27"/>
        <v>-24.482181999999995</v>
      </c>
      <c r="BM28" s="43"/>
      <c r="BN28" s="11"/>
      <c r="BO28" s="11">
        <f t="shared" si="28"/>
        <v>74.911958999999996</v>
      </c>
      <c r="BP28" s="11"/>
      <c r="BQ28" s="11"/>
      <c r="BR28" s="47"/>
      <c r="BS28" s="11"/>
      <c r="BT28" s="11"/>
      <c r="BU28" s="92">
        <f t="shared" si="26"/>
        <v>3.6907153992473809E-104</v>
      </c>
      <c r="BV28" s="2">
        <v>5.9</v>
      </c>
      <c r="BW28" s="48">
        <v>31</v>
      </c>
    </row>
    <row r="29" spans="1:75" s="2" customFormat="1" ht="15.6" x14ac:dyDescent="0.3">
      <c r="A29" s="39" t="s">
        <v>112</v>
      </c>
      <c r="B29" s="47" t="s">
        <v>153</v>
      </c>
      <c r="C29" s="43"/>
      <c r="D29" s="52"/>
      <c r="E29" s="52"/>
      <c r="F29" s="47" t="s">
        <v>59</v>
      </c>
      <c r="G29" s="44">
        <v>9</v>
      </c>
      <c r="H29" s="35">
        <f t="shared" si="0"/>
        <v>0.75</v>
      </c>
      <c r="I29" s="44">
        <v>20</v>
      </c>
      <c r="J29" s="35">
        <f t="shared" si="1"/>
        <v>0.1388888888888889</v>
      </c>
      <c r="K29" s="44">
        <v>1</v>
      </c>
      <c r="L29" s="35">
        <f t="shared" si="2"/>
        <v>0.1111111111111111</v>
      </c>
      <c r="M29" s="45"/>
      <c r="N29" s="35">
        <f t="shared" si="3"/>
        <v>0</v>
      </c>
      <c r="O29" s="45"/>
      <c r="P29" s="35">
        <f t="shared" si="4"/>
        <v>0</v>
      </c>
      <c r="Q29" s="7">
        <f t="shared" si="5"/>
        <v>144</v>
      </c>
      <c r="R29" s="54">
        <v>202.13</v>
      </c>
      <c r="S29" s="59" t="s">
        <v>106</v>
      </c>
      <c r="T29" s="54">
        <v>-15.89</v>
      </c>
      <c r="U29" s="59" t="s">
        <v>106</v>
      </c>
      <c r="V29" s="54">
        <v>8.65</v>
      </c>
      <c r="W29" s="59" t="s">
        <v>106</v>
      </c>
      <c r="X29" s="54">
        <v>459.7</v>
      </c>
      <c r="Y29" s="56">
        <v>315</v>
      </c>
      <c r="Z29" s="71">
        <v>47.5</v>
      </c>
      <c r="AA29" s="61" t="s">
        <v>106</v>
      </c>
      <c r="AB29" s="40">
        <f t="shared" ref="AB29:AB48" si="33">Z29/G29</f>
        <v>5.2777777777777777</v>
      </c>
      <c r="AC29" s="8">
        <f t="shared" si="7"/>
        <v>41.669722222222219</v>
      </c>
      <c r="AD29" s="7">
        <f t="shared" si="8"/>
        <v>43.283333333333331</v>
      </c>
      <c r="AE29" s="7">
        <f t="shared" si="9"/>
        <v>41.265000000000001</v>
      </c>
      <c r="AF29" s="3">
        <f t="shared" si="10"/>
        <v>42.072685185185186</v>
      </c>
      <c r="AG29" s="7">
        <f t="shared" si="11"/>
        <v>0.53390114329598204</v>
      </c>
      <c r="AH29" s="45"/>
      <c r="AI29" s="12">
        <f t="shared" si="12"/>
        <v>0.1388888888888889</v>
      </c>
      <c r="AJ29" s="45"/>
      <c r="AK29" s="8">
        <f t="shared" si="29"/>
        <v>38.722499999999997</v>
      </c>
      <c r="AL29" s="7">
        <f t="shared" si="13"/>
        <v>40.336111111111109</v>
      </c>
      <c r="AM29" s="7">
        <f t="shared" si="24"/>
        <v>38.317777777777778</v>
      </c>
      <c r="AN29" s="3">
        <f t="shared" si="14"/>
        <v>39.125462962962963</v>
      </c>
      <c r="AO29" s="7">
        <f t="shared" si="15"/>
        <v>0.53390114329598204</v>
      </c>
      <c r="AP29" s="64">
        <f t="shared" si="25"/>
        <v>0</v>
      </c>
      <c r="AQ29" s="8">
        <f t="shared" si="16"/>
        <v>1.5280816921954776</v>
      </c>
      <c r="AR29" s="68">
        <f>R29+273.15</f>
        <v>475.28</v>
      </c>
      <c r="AS29" s="14">
        <f t="shared" si="18"/>
        <v>356.9384000981596</v>
      </c>
      <c r="AT29" s="68">
        <f>(R29*9/5)+32</f>
        <v>395.834</v>
      </c>
      <c r="AU29" s="7">
        <f t="shared" si="20"/>
        <v>151.35462200000001</v>
      </c>
      <c r="AV29" s="8">
        <f t="shared" si="21"/>
        <v>83.788400098159627</v>
      </c>
      <c r="AW29" s="7">
        <f t="shared" si="22"/>
        <v>66.308123333333342</v>
      </c>
      <c r="AX29" s="69">
        <f t="shared" si="30"/>
        <v>83.788400098159627</v>
      </c>
      <c r="AY29" s="43" t="s">
        <v>193</v>
      </c>
      <c r="AZ29" s="15">
        <v>0.83</v>
      </c>
      <c r="BA29" s="42" t="s">
        <v>193</v>
      </c>
      <c r="BB29" s="8">
        <v>5.89</v>
      </c>
      <c r="BC29" s="42" t="s">
        <v>193</v>
      </c>
      <c r="BD29" s="67">
        <v>33.07</v>
      </c>
      <c r="BE29" s="42"/>
      <c r="BF29" s="67">
        <v>64.823899999999995</v>
      </c>
      <c r="BG29" s="42"/>
      <c r="BH29" s="7"/>
      <c r="BI29" s="67">
        <v>76.777649999999994</v>
      </c>
      <c r="BJ29" s="42"/>
      <c r="BK29" s="7"/>
      <c r="BL29" s="67">
        <f t="shared" si="27"/>
        <v>-11.953749999999999</v>
      </c>
      <c r="BM29" s="43"/>
      <c r="BN29" s="11"/>
      <c r="BO29" s="11">
        <f t="shared" si="28"/>
        <v>70.800774999999987</v>
      </c>
      <c r="BP29" s="11"/>
      <c r="BQ29" s="11"/>
      <c r="BR29" s="47"/>
      <c r="BS29" s="11"/>
      <c r="BT29" s="11"/>
      <c r="BU29" s="92">
        <f t="shared" si="26"/>
        <v>1.7517269698264716E-104</v>
      </c>
      <c r="BV29" s="2">
        <v>5.5</v>
      </c>
      <c r="BW29" s="48">
        <v>29</v>
      </c>
    </row>
    <row r="30" spans="1:75" s="2" customFormat="1" ht="15.6" x14ac:dyDescent="0.3">
      <c r="A30" s="39" t="s">
        <v>125</v>
      </c>
      <c r="B30" s="47" t="s">
        <v>154</v>
      </c>
      <c r="C30" s="43"/>
      <c r="D30" s="52"/>
      <c r="E30" s="53"/>
      <c r="F30" s="43" t="s">
        <v>59</v>
      </c>
      <c r="G30" s="44">
        <v>9</v>
      </c>
      <c r="H30" s="35">
        <f t="shared" si="0"/>
        <v>0.75</v>
      </c>
      <c r="I30" s="44">
        <v>20</v>
      </c>
      <c r="J30" s="35">
        <f t="shared" si="1"/>
        <v>0.1388888888888889</v>
      </c>
      <c r="K30" s="44">
        <v>1</v>
      </c>
      <c r="L30" s="35">
        <f t="shared" si="2"/>
        <v>0.1111111111111111</v>
      </c>
      <c r="M30" s="45"/>
      <c r="N30" s="35">
        <f t="shared" si="3"/>
        <v>0</v>
      </c>
      <c r="O30" s="45"/>
      <c r="P30" s="35">
        <f t="shared" si="4"/>
        <v>0</v>
      </c>
      <c r="Q30" s="7">
        <f t="shared" si="5"/>
        <v>144</v>
      </c>
      <c r="R30" s="54">
        <v>202.13</v>
      </c>
      <c r="S30" s="59">
        <v>193</v>
      </c>
      <c r="T30" s="54">
        <v>-15.89</v>
      </c>
      <c r="U30" s="59" t="s">
        <v>106</v>
      </c>
      <c r="V30" s="54">
        <v>15</v>
      </c>
      <c r="W30" s="59" t="s">
        <v>106</v>
      </c>
      <c r="X30" s="54">
        <v>459.7</v>
      </c>
      <c r="Y30" s="56">
        <v>461</v>
      </c>
      <c r="Z30" s="71">
        <f>47.5</f>
        <v>47.5</v>
      </c>
      <c r="AA30" s="61"/>
      <c r="AB30" s="40">
        <f t="shared" si="33"/>
        <v>5.2777777777777777</v>
      </c>
      <c r="AC30" s="8">
        <f t="shared" si="7"/>
        <v>41.669722222222219</v>
      </c>
      <c r="AD30" s="7">
        <f t="shared" si="8"/>
        <v>43.283333333333331</v>
      </c>
      <c r="AE30" s="7">
        <f t="shared" si="9"/>
        <v>41.265000000000001</v>
      </c>
      <c r="AF30" s="3">
        <f t="shared" si="10"/>
        <v>42.072685185185186</v>
      </c>
      <c r="AG30" s="7">
        <f t="shared" si="11"/>
        <v>0.53390114329598204</v>
      </c>
      <c r="AH30" s="45"/>
      <c r="AI30" s="12">
        <f t="shared" si="12"/>
        <v>0.1388888888888889</v>
      </c>
      <c r="AJ30" s="45"/>
      <c r="AK30" s="8">
        <f t="shared" si="29"/>
        <v>38.722499999999997</v>
      </c>
      <c r="AL30" s="7">
        <f t="shared" si="13"/>
        <v>40.336111111111109</v>
      </c>
      <c r="AM30" s="7">
        <f t="shared" si="24"/>
        <v>38.317777777777778</v>
      </c>
      <c r="AN30" s="3">
        <f t="shared" si="14"/>
        <v>39.125462962962963</v>
      </c>
      <c r="AO30" s="7">
        <f t="shared" si="15"/>
        <v>0.53390114329598204</v>
      </c>
      <c r="AP30" s="64">
        <f t="shared" si="25"/>
        <v>0</v>
      </c>
      <c r="AQ30" s="8">
        <f t="shared" si="16"/>
        <v>1.5280816921954776</v>
      </c>
      <c r="AR30" s="14">
        <f>S30+273.15</f>
        <v>466.15</v>
      </c>
      <c r="AS30" s="14">
        <f t="shared" si="18"/>
        <v>350.08171016191955</v>
      </c>
      <c r="AT30" s="14">
        <f>(S30*9/5)+32</f>
        <v>379.4</v>
      </c>
      <c r="AU30" s="7">
        <f t="shared" si="20"/>
        <v>140.1302</v>
      </c>
      <c r="AV30" s="8">
        <f t="shared" si="21"/>
        <v>76.931710161919568</v>
      </c>
      <c r="AW30" s="7">
        <f t="shared" si="22"/>
        <v>60.07233333333334</v>
      </c>
      <c r="AX30" s="37">
        <f t="shared" si="30"/>
        <v>76.931710161919568</v>
      </c>
      <c r="AY30" s="43" t="s">
        <v>193</v>
      </c>
      <c r="AZ30" s="15">
        <v>0.83</v>
      </c>
      <c r="BA30" s="42" t="s">
        <v>193</v>
      </c>
      <c r="BB30" s="8">
        <v>5.08</v>
      </c>
      <c r="BC30" s="42" t="s">
        <v>193</v>
      </c>
      <c r="BD30" s="67">
        <v>29.45</v>
      </c>
      <c r="BE30" s="42"/>
      <c r="BF30" s="67">
        <v>71.874629999999996</v>
      </c>
      <c r="BG30" s="42"/>
      <c r="BH30" s="7"/>
      <c r="BI30" s="67">
        <v>85.258835000000005</v>
      </c>
      <c r="BJ30" s="42"/>
      <c r="BK30" s="7"/>
      <c r="BL30" s="67">
        <f t="shared" si="27"/>
        <v>-13.384205000000009</v>
      </c>
      <c r="BM30" s="43"/>
      <c r="BN30" s="11"/>
      <c r="BO30" s="11">
        <f t="shared" si="28"/>
        <v>78.566732500000001</v>
      </c>
      <c r="BP30" s="11"/>
      <c r="BQ30" s="11"/>
      <c r="BR30" s="47"/>
      <c r="BS30" s="11"/>
      <c r="BT30" s="11"/>
      <c r="BU30" s="92">
        <f t="shared" si="26"/>
        <v>3.8551807692933753E-104</v>
      </c>
      <c r="BV30" s="2">
        <v>5.0999999999999996</v>
      </c>
      <c r="BW30" s="48">
        <v>27</v>
      </c>
    </row>
    <row r="31" spans="1:75" s="4" customFormat="1" ht="15.6" x14ac:dyDescent="0.3">
      <c r="A31" s="34" t="s">
        <v>127</v>
      </c>
      <c r="B31" s="47" t="s">
        <v>155</v>
      </c>
      <c r="C31" s="43"/>
      <c r="D31" s="52"/>
      <c r="E31" s="53"/>
      <c r="F31" s="43" t="s">
        <v>59</v>
      </c>
      <c r="G31" s="44">
        <v>9</v>
      </c>
      <c r="H31" s="35">
        <f t="shared" si="0"/>
        <v>0.75</v>
      </c>
      <c r="I31" s="44">
        <v>20</v>
      </c>
      <c r="J31" s="35">
        <f t="shared" si="1"/>
        <v>0.1388888888888889</v>
      </c>
      <c r="K31" s="44">
        <v>1</v>
      </c>
      <c r="L31" s="35">
        <f t="shared" si="2"/>
        <v>0.1111111111111111</v>
      </c>
      <c r="M31" s="44"/>
      <c r="N31" s="35">
        <f t="shared" si="3"/>
        <v>0</v>
      </c>
      <c r="O31" s="44"/>
      <c r="P31" s="35">
        <f t="shared" si="4"/>
        <v>0</v>
      </c>
      <c r="Q31" s="7">
        <f t="shared" si="5"/>
        <v>144</v>
      </c>
      <c r="R31" s="54">
        <v>202.13</v>
      </c>
      <c r="S31" s="56">
        <v>193</v>
      </c>
      <c r="T31" s="54">
        <v>-15.89</v>
      </c>
      <c r="U31" s="59" t="s">
        <v>106</v>
      </c>
      <c r="V31" s="54">
        <v>15</v>
      </c>
      <c r="W31" s="59" t="s">
        <v>106</v>
      </c>
      <c r="X31" s="54">
        <v>459.7</v>
      </c>
      <c r="Y31" s="56">
        <v>461</v>
      </c>
      <c r="Z31" s="71">
        <f>47.5</f>
        <v>47.5</v>
      </c>
      <c r="AA31" s="61" t="s">
        <v>106</v>
      </c>
      <c r="AB31" s="40">
        <f t="shared" si="33"/>
        <v>5.2777777777777777</v>
      </c>
      <c r="AC31" s="8">
        <f t="shared" si="7"/>
        <v>41.669722222222219</v>
      </c>
      <c r="AD31" s="7">
        <f t="shared" si="8"/>
        <v>43.283333333333331</v>
      </c>
      <c r="AE31" s="7">
        <f t="shared" si="9"/>
        <v>41.265000000000001</v>
      </c>
      <c r="AF31" s="3">
        <f t="shared" si="10"/>
        <v>42.072685185185186</v>
      </c>
      <c r="AG31" s="7">
        <f t="shared" si="11"/>
        <v>0.53390114329598204</v>
      </c>
      <c r="AH31" s="44"/>
      <c r="AI31" s="12">
        <f t="shared" si="12"/>
        <v>0.1388888888888889</v>
      </c>
      <c r="AJ31" s="44"/>
      <c r="AK31" s="8">
        <f t="shared" si="29"/>
        <v>38.722499999999997</v>
      </c>
      <c r="AL31" s="7">
        <f t="shared" si="13"/>
        <v>40.336111111111109</v>
      </c>
      <c r="AM31" s="7">
        <f t="shared" si="24"/>
        <v>38.317777777777778</v>
      </c>
      <c r="AN31" s="3">
        <f t="shared" si="14"/>
        <v>39.125462962962963</v>
      </c>
      <c r="AO31" s="7">
        <f t="shared" si="15"/>
        <v>0.53390114329598204</v>
      </c>
      <c r="AP31" s="64">
        <f t="shared" si="25"/>
        <v>0</v>
      </c>
      <c r="AQ31" s="8">
        <f t="shared" si="16"/>
        <v>1.5280816921954776</v>
      </c>
      <c r="AR31" s="14">
        <f>S31+273.15</f>
        <v>466.15</v>
      </c>
      <c r="AS31" s="14">
        <f t="shared" si="18"/>
        <v>350.08171016191955</v>
      </c>
      <c r="AT31" s="14">
        <f>(S31*9/5)+32</f>
        <v>379.4</v>
      </c>
      <c r="AU31" s="7">
        <f t="shared" si="20"/>
        <v>140.1302</v>
      </c>
      <c r="AV31" s="8">
        <f t="shared" si="21"/>
        <v>76.931710161919568</v>
      </c>
      <c r="AW31" s="7">
        <f t="shared" si="22"/>
        <v>60.07233333333334</v>
      </c>
      <c r="AX31" s="37">
        <f t="shared" si="30"/>
        <v>76.931710161919568</v>
      </c>
      <c r="AY31" s="42">
        <v>79.5</v>
      </c>
      <c r="AZ31" s="15">
        <v>0.83</v>
      </c>
      <c r="BA31" s="42">
        <v>0.82</v>
      </c>
      <c r="BB31" s="8">
        <v>4.9800000000000004</v>
      </c>
      <c r="BC31" s="42" t="s">
        <v>193</v>
      </c>
      <c r="BD31" s="67">
        <v>28.78</v>
      </c>
      <c r="BE31" s="42"/>
      <c r="BF31" s="67">
        <v>69.449134999999998</v>
      </c>
      <c r="BG31" s="42"/>
      <c r="BH31" s="7"/>
      <c r="BI31" s="67">
        <v>77.662220000000005</v>
      </c>
      <c r="BJ31" s="42"/>
      <c r="BK31" s="7"/>
      <c r="BL31" s="67">
        <f t="shared" si="27"/>
        <v>-8.2130850000000066</v>
      </c>
      <c r="BM31" s="43"/>
      <c r="BN31" s="11"/>
      <c r="BO31" s="11">
        <f t="shared" si="28"/>
        <v>73.555677500000002</v>
      </c>
      <c r="BP31" s="11"/>
      <c r="BQ31" s="11"/>
      <c r="BR31" s="47"/>
      <c r="BS31" s="11"/>
      <c r="BT31" s="11"/>
      <c r="BU31" s="92">
        <f t="shared" si="26"/>
        <v>3.8551807692933753E-104</v>
      </c>
      <c r="BV31" s="2">
        <v>4.4000000000000004</v>
      </c>
      <c r="BW31" s="95">
        <v>16</v>
      </c>
    </row>
    <row r="32" spans="1:75" s="4" customFormat="1" ht="15.6" x14ac:dyDescent="0.3">
      <c r="A32" s="39" t="s">
        <v>118</v>
      </c>
      <c r="B32" s="47" t="s">
        <v>156</v>
      </c>
      <c r="C32" s="43"/>
      <c r="D32" s="52"/>
      <c r="E32" s="53"/>
      <c r="F32" s="43" t="s">
        <v>105</v>
      </c>
      <c r="G32" s="45">
        <v>10</v>
      </c>
      <c r="H32" s="35">
        <f t="shared" si="0"/>
        <v>0.759493670886076</v>
      </c>
      <c r="I32" s="45">
        <v>22</v>
      </c>
      <c r="J32" s="35">
        <f t="shared" si="1"/>
        <v>0.13924050632911392</v>
      </c>
      <c r="K32" s="44">
        <v>1</v>
      </c>
      <c r="L32" s="35">
        <f t="shared" si="2"/>
        <v>0.10126582278481013</v>
      </c>
      <c r="M32" s="45"/>
      <c r="N32" s="35">
        <f t="shared" si="3"/>
        <v>0</v>
      </c>
      <c r="O32" s="45"/>
      <c r="P32" s="35">
        <f t="shared" si="4"/>
        <v>0</v>
      </c>
      <c r="Q32" s="7">
        <f t="shared" si="5"/>
        <v>158</v>
      </c>
      <c r="R32" s="54">
        <v>209.93</v>
      </c>
      <c r="S32" s="59" t="s">
        <v>106</v>
      </c>
      <c r="T32" s="54">
        <v>-15.48</v>
      </c>
      <c r="U32" s="59" t="s">
        <v>106</v>
      </c>
      <c r="V32" s="54">
        <v>5.38</v>
      </c>
      <c r="W32" s="59" t="s">
        <v>106</v>
      </c>
      <c r="X32" s="54">
        <v>175.4</v>
      </c>
      <c r="Y32" s="59" t="s">
        <v>106</v>
      </c>
      <c r="Z32" s="71">
        <f>59.6</f>
        <v>59.6</v>
      </c>
      <c r="AA32" s="61" t="s">
        <v>106</v>
      </c>
      <c r="AB32" s="40">
        <f t="shared" si="33"/>
        <v>5.96</v>
      </c>
      <c r="AC32" s="8">
        <f t="shared" si="7"/>
        <v>42.132531645569621</v>
      </c>
      <c r="AD32" s="7">
        <f t="shared" si="8"/>
        <v>43.79493670886076</v>
      </c>
      <c r="AE32" s="7">
        <f t="shared" si="9"/>
        <v>41.748734177215198</v>
      </c>
      <c r="AF32" s="3">
        <f t="shared" si="10"/>
        <v>42.558734177215193</v>
      </c>
      <c r="AG32" s="7">
        <f t="shared" si="11"/>
        <v>0.54382273044945395</v>
      </c>
      <c r="AH32" s="45"/>
      <c r="AI32" s="12">
        <f t="shared" si="12"/>
        <v>0.13924050632911392</v>
      </c>
      <c r="AJ32" s="45"/>
      <c r="AK32" s="8">
        <f t="shared" si="29"/>
        <v>39.177848101265823</v>
      </c>
      <c r="AL32" s="7">
        <f t="shared" si="13"/>
        <v>40.840253164556962</v>
      </c>
      <c r="AM32" s="7">
        <f t="shared" si="24"/>
        <v>38.7940506329114</v>
      </c>
      <c r="AN32" s="3">
        <f t="shared" si="14"/>
        <v>39.604050632911395</v>
      </c>
      <c r="AO32" s="7">
        <f t="shared" si="15"/>
        <v>0.54382273044945395</v>
      </c>
      <c r="AP32" s="64">
        <f t="shared" si="25"/>
        <v>0</v>
      </c>
      <c r="AQ32" s="8">
        <f t="shared" si="16"/>
        <v>1.3773833004602234</v>
      </c>
      <c r="AR32" s="68">
        <f>R32+273.15</f>
        <v>483.08</v>
      </c>
      <c r="AS32" s="14">
        <f t="shared" si="18"/>
        <v>360.83515813648864</v>
      </c>
      <c r="AT32" s="68">
        <f>(R32*9/5)+32</f>
        <v>409.87400000000002</v>
      </c>
      <c r="AU32" s="7">
        <f t="shared" si="20"/>
        <v>160.94394200000005</v>
      </c>
      <c r="AV32" s="8">
        <f t="shared" si="21"/>
        <v>87.685158136488667</v>
      </c>
      <c r="AW32" s="7">
        <f t="shared" si="22"/>
        <v>71.635523333333367</v>
      </c>
      <c r="AX32" s="69">
        <f t="shared" si="30"/>
        <v>87.685158136488667</v>
      </c>
      <c r="AY32" s="43" t="s">
        <v>193</v>
      </c>
      <c r="AZ32" s="15">
        <v>0.83</v>
      </c>
      <c r="BA32" s="42" t="s">
        <v>193</v>
      </c>
      <c r="BB32" s="8">
        <v>10.11</v>
      </c>
      <c r="BC32" s="42" t="s">
        <v>193</v>
      </c>
      <c r="BD32" s="67">
        <v>30.16</v>
      </c>
      <c r="BE32" s="42"/>
      <c r="BF32" s="67">
        <v>77.103999999999999</v>
      </c>
      <c r="BG32" s="42"/>
      <c r="BH32" s="7"/>
      <c r="BI32" s="67">
        <v>85.041115000000005</v>
      </c>
      <c r="BJ32" s="42"/>
      <c r="BK32" s="7"/>
      <c r="BL32" s="67">
        <f t="shared" si="27"/>
        <v>-7.9371150000000057</v>
      </c>
      <c r="BM32" s="43"/>
      <c r="BN32" s="11"/>
      <c r="BO32" s="11">
        <f t="shared" si="28"/>
        <v>81.072557500000002</v>
      </c>
      <c r="BP32" s="11"/>
      <c r="BQ32" s="11"/>
      <c r="BR32" s="47"/>
      <c r="BS32" s="11"/>
      <c r="BT32" s="11"/>
      <c r="BU32" s="92">
        <f t="shared" si="26"/>
        <v>1.1264093988356173E-104</v>
      </c>
      <c r="BV32" s="2">
        <v>0</v>
      </c>
      <c r="BW32" s="4">
        <v>0</v>
      </c>
    </row>
    <row r="33" spans="1:75" s="4" customFormat="1" ht="15.6" x14ac:dyDescent="0.3">
      <c r="A33" s="39" t="s">
        <v>149</v>
      </c>
      <c r="B33" s="47" t="s">
        <v>157</v>
      </c>
      <c r="C33" s="43"/>
      <c r="D33" s="52"/>
      <c r="E33" s="53"/>
      <c r="F33" s="43" t="s">
        <v>105</v>
      </c>
      <c r="G33" s="45">
        <v>10</v>
      </c>
      <c r="H33" s="35">
        <f t="shared" si="0"/>
        <v>0.759493670886076</v>
      </c>
      <c r="I33" s="45">
        <v>22</v>
      </c>
      <c r="J33" s="35">
        <f t="shared" si="1"/>
        <v>0.13924050632911392</v>
      </c>
      <c r="K33" s="44">
        <v>1</v>
      </c>
      <c r="L33" s="35">
        <f t="shared" si="2"/>
        <v>0.10126582278481013</v>
      </c>
      <c r="M33" s="45"/>
      <c r="N33" s="35">
        <f t="shared" si="3"/>
        <v>0</v>
      </c>
      <c r="O33" s="45"/>
      <c r="P33" s="35">
        <f t="shared" si="4"/>
        <v>0</v>
      </c>
      <c r="Q33" s="7">
        <f t="shared" si="5"/>
        <v>158</v>
      </c>
      <c r="R33" s="54">
        <v>209.93</v>
      </c>
      <c r="S33" s="59" t="s">
        <v>106</v>
      </c>
      <c r="T33" s="54">
        <v>-15.48</v>
      </c>
      <c r="U33" s="59" t="s">
        <v>106</v>
      </c>
      <c r="V33" s="54">
        <v>5.38</v>
      </c>
      <c r="W33" s="59" t="s">
        <v>106</v>
      </c>
      <c r="X33" s="54">
        <v>175.4</v>
      </c>
      <c r="Y33" s="59" t="s">
        <v>106</v>
      </c>
      <c r="Z33" s="71">
        <f>59.6</f>
        <v>59.6</v>
      </c>
      <c r="AA33" s="61" t="s">
        <v>106</v>
      </c>
      <c r="AB33" s="40">
        <f t="shared" si="33"/>
        <v>5.96</v>
      </c>
      <c r="AC33" s="8">
        <f t="shared" si="7"/>
        <v>42.132531645569621</v>
      </c>
      <c r="AD33" s="7">
        <f t="shared" si="8"/>
        <v>43.79493670886076</v>
      </c>
      <c r="AE33" s="7">
        <f t="shared" si="9"/>
        <v>41.748734177215198</v>
      </c>
      <c r="AF33" s="3">
        <f t="shared" si="10"/>
        <v>42.558734177215193</v>
      </c>
      <c r="AG33" s="7">
        <f t="shared" si="11"/>
        <v>0.54382273044945395</v>
      </c>
      <c r="AH33" s="45"/>
      <c r="AI33" s="12">
        <f t="shared" si="12"/>
        <v>0.13924050632911392</v>
      </c>
      <c r="AJ33" s="45"/>
      <c r="AK33" s="8">
        <f t="shared" si="29"/>
        <v>39.177848101265823</v>
      </c>
      <c r="AL33" s="7">
        <f t="shared" si="13"/>
        <v>40.840253164556962</v>
      </c>
      <c r="AM33" s="7">
        <f t="shared" si="24"/>
        <v>38.7940506329114</v>
      </c>
      <c r="AN33" s="3">
        <f t="shared" si="14"/>
        <v>39.604050632911395</v>
      </c>
      <c r="AO33" s="7">
        <f t="shared" si="15"/>
        <v>0.54382273044945395</v>
      </c>
      <c r="AP33" s="64">
        <f t="shared" si="25"/>
        <v>0</v>
      </c>
      <c r="AQ33" s="8">
        <f t="shared" si="16"/>
        <v>1.3773833004602234</v>
      </c>
      <c r="AR33" s="68">
        <f>R33+273.15</f>
        <v>483.08</v>
      </c>
      <c r="AS33" s="14">
        <f t="shared" si="18"/>
        <v>360.83515813648864</v>
      </c>
      <c r="AT33" s="68">
        <f>(R33*9/5)+32</f>
        <v>409.87400000000002</v>
      </c>
      <c r="AU33" s="7">
        <f t="shared" si="20"/>
        <v>160.94394200000005</v>
      </c>
      <c r="AV33" s="8">
        <f t="shared" si="21"/>
        <v>87.685158136488667</v>
      </c>
      <c r="AW33" s="7">
        <f t="shared" si="22"/>
        <v>71.635523333333367</v>
      </c>
      <c r="AX33" s="69">
        <f t="shared" si="30"/>
        <v>87.685158136488667</v>
      </c>
      <c r="AY33" s="43" t="s">
        <v>193</v>
      </c>
      <c r="AZ33" s="15">
        <v>0.82</v>
      </c>
      <c r="BA33" s="42" t="s">
        <v>193</v>
      </c>
      <c r="BB33" s="8">
        <v>8.8000000000000007</v>
      </c>
      <c r="BC33" s="42" t="s">
        <v>193</v>
      </c>
      <c r="BD33" s="67">
        <v>26.13</v>
      </c>
      <c r="BE33" s="42"/>
      <c r="BF33" s="67">
        <v>80.673419999999993</v>
      </c>
      <c r="BG33" s="42"/>
      <c r="BH33" s="7"/>
      <c r="BI33" s="67">
        <v>91.080079999999995</v>
      </c>
      <c r="BJ33" s="42"/>
      <c r="BK33" s="7"/>
      <c r="BL33" s="67">
        <f t="shared" si="27"/>
        <v>-10.406660000000002</v>
      </c>
      <c r="BM33" s="43"/>
      <c r="BN33" s="11"/>
      <c r="BO33" s="11">
        <f t="shared" si="28"/>
        <v>85.876749999999987</v>
      </c>
      <c r="BP33" s="11"/>
      <c r="BQ33" s="11"/>
      <c r="BR33" s="47"/>
      <c r="BS33" s="11"/>
      <c r="BT33" s="11"/>
      <c r="BU33" s="92">
        <f t="shared" si="26"/>
        <v>1.1264093988356173E-104</v>
      </c>
      <c r="BV33" s="2">
        <v>0</v>
      </c>
      <c r="BW33" s="4">
        <v>0</v>
      </c>
    </row>
    <row r="34" spans="1:75" s="2" customFormat="1" ht="15.6" x14ac:dyDescent="0.3">
      <c r="A34" s="39" t="s">
        <v>111</v>
      </c>
      <c r="B34" s="47" t="s">
        <v>158</v>
      </c>
      <c r="C34" s="43"/>
      <c r="D34" s="52"/>
      <c r="E34" s="53"/>
      <c r="F34" s="43" t="s">
        <v>105</v>
      </c>
      <c r="G34" s="45">
        <v>10</v>
      </c>
      <c r="H34" s="35">
        <f t="shared" si="0"/>
        <v>0.759493670886076</v>
      </c>
      <c r="I34" s="45">
        <v>22</v>
      </c>
      <c r="J34" s="35">
        <f t="shared" si="1"/>
        <v>0.13924050632911392</v>
      </c>
      <c r="K34" s="44">
        <v>1</v>
      </c>
      <c r="L34" s="35">
        <f t="shared" si="2"/>
        <v>0.10126582278481013</v>
      </c>
      <c r="M34" s="45"/>
      <c r="N34" s="35">
        <f t="shared" si="3"/>
        <v>0</v>
      </c>
      <c r="O34" s="45"/>
      <c r="P34" s="35">
        <f t="shared" si="4"/>
        <v>0</v>
      </c>
      <c r="Q34" s="7">
        <f t="shared" si="5"/>
        <v>158</v>
      </c>
      <c r="R34" s="54">
        <v>221.49</v>
      </c>
      <c r="S34" s="59" t="s">
        <v>106</v>
      </c>
      <c r="T34" s="54">
        <v>-4.6100000000000003</v>
      </c>
      <c r="U34" s="59" t="s">
        <v>106</v>
      </c>
      <c r="V34" s="54">
        <v>2.64</v>
      </c>
      <c r="W34" s="59" t="s">
        <v>106</v>
      </c>
      <c r="X34" s="54">
        <v>151.80000000000001</v>
      </c>
      <c r="Y34" s="59" t="s">
        <v>106</v>
      </c>
      <c r="Z34" s="71">
        <v>53.9</v>
      </c>
      <c r="AA34" s="61" t="s">
        <v>106</v>
      </c>
      <c r="AB34" s="40">
        <f t="shared" si="33"/>
        <v>5.39</v>
      </c>
      <c r="AC34" s="8">
        <f t="shared" si="7"/>
        <v>42.132531645569621</v>
      </c>
      <c r="AD34" s="7">
        <f t="shared" si="8"/>
        <v>43.79493670886076</v>
      </c>
      <c r="AE34" s="7">
        <f t="shared" si="9"/>
        <v>41.748734177215198</v>
      </c>
      <c r="AF34" s="3">
        <f t="shared" si="10"/>
        <v>42.558734177215193</v>
      </c>
      <c r="AG34" s="7">
        <f t="shared" si="11"/>
        <v>0.54382273044945395</v>
      </c>
      <c r="AH34" s="45"/>
      <c r="AI34" s="12">
        <f t="shared" si="12"/>
        <v>0.13924050632911392</v>
      </c>
      <c r="AJ34" s="45"/>
      <c r="AK34" s="8">
        <f t="shared" si="29"/>
        <v>39.177848101265823</v>
      </c>
      <c r="AL34" s="7">
        <f t="shared" si="13"/>
        <v>40.840253164556962</v>
      </c>
      <c r="AM34" s="7">
        <f t="shared" si="24"/>
        <v>38.7940506329114</v>
      </c>
      <c r="AN34" s="3">
        <f t="shared" si="14"/>
        <v>39.604050632911395</v>
      </c>
      <c r="AO34" s="7">
        <f t="shared" si="15"/>
        <v>0.54382273044945395</v>
      </c>
      <c r="AP34" s="64">
        <f t="shared" si="25"/>
        <v>0</v>
      </c>
      <c r="AQ34" s="8">
        <f t="shared" si="16"/>
        <v>1.3773833004602234</v>
      </c>
      <c r="AR34" s="68">
        <f>R34+273.15</f>
        <v>494.64</v>
      </c>
      <c r="AS34" s="14">
        <f t="shared" si="18"/>
        <v>369.46986548942778</v>
      </c>
      <c r="AT34" s="68">
        <f>(R34*9/5)+32</f>
        <v>430.68200000000002</v>
      </c>
      <c r="AU34" s="7">
        <f t="shared" si="20"/>
        <v>175.15580600000004</v>
      </c>
      <c r="AV34" s="8">
        <f t="shared" si="21"/>
        <v>96.319865489427798</v>
      </c>
      <c r="AW34" s="7">
        <f t="shared" si="22"/>
        <v>79.531003333333345</v>
      </c>
      <c r="AX34" s="69">
        <f t="shared" si="30"/>
        <v>96.319865489427798</v>
      </c>
      <c r="AY34" s="43" t="s">
        <v>193</v>
      </c>
      <c r="AZ34" s="15">
        <v>0.83</v>
      </c>
      <c r="BA34" s="42" t="s">
        <v>193</v>
      </c>
      <c r="BB34" s="8">
        <v>9.7200000000000006</v>
      </c>
      <c r="BC34" s="42" t="s">
        <v>193</v>
      </c>
      <c r="BD34" s="67">
        <v>38.56</v>
      </c>
      <c r="BE34" s="42"/>
      <c r="BF34" s="67">
        <v>60.828105999999998</v>
      </c>
      <c r="BG34" s="42"/>
      <c r="BH34" s="7"/>
      <c r="BI34" s="67">
        <v>89.398830000000004</v>
      </c>
      <c r="BJ34" s="42"/>
      <c r="BK34" s="7"/>
      <c r="BL34" s="67">
        <f t="shared" si="27"/>
        <v>-28.570724000000006</v>
      </c>
      <c r="BM34" s="43"/>
      <c r="BN34" s="11"/>
      <c r="BO34" s="11">
        <f t="shared" si="28"/>
        <v>75.113467999999997</v>
      </c>
      <c r="BP34" s="11"/>
      <c r="BQ34" s="11"/>
      <c r="BR34" s="47"/>
      <c r="BS34" s="11"/>
      <c r="BT34" s="11"/>
      <c r="BU34" s="92">
        <f t="shared" si="26"/>
        <v>4.3056414085793895E-105</v>
      </c>
      <c r="BV34" s="2">
        <v>8.6999999999999993</v>
      </c>
      <c r="BW34" s="48">
        <v>50</v>
      </c>
    </row>
    <row r="35" spans="1:75" s="2" customFormat="1" ht="15.6" x14ac:dyDescent="0.3">
      <c r="A35" s="39" t="s">
        <v>123</v>
      </c>
      <c r="B35" s="47" t="s">
        <v>159</v>
      </c>
      <c r="C35" s="43"/>
      <c r="D35" s="52"/>
      <c r="E35" s="53"/>
      <c r="F35" s="43" t="s">
        <v>105</v>
      </c>
      <c r="G35" s="45">
        <v>10</v>
      </c>
      <c r="H35" s="35">
        <f t="shared" si="0"/>
        <v>0.759493670886076</v>
      </c>
      <c r="I35" s="45">
        <v>22</v>
      </c>
      <c r="J35" s="35">
        <f t="shared" si="1"/>
        <v>0.13924050632911392</v>
      </c>
      <c r="K35" s="44">
        <v>1</v>
      </c>
      <c r="L35" s="35">
        <f t="shared" si="2"/>
        <v>0.10126582278481013</v>
      </c>
      <c r="M35" s="45"/>
      <c r="N35" s="35">
        <f t="shared" si="3"/>
        <v>0</v>
      </c>
      <c r="O35" s="45"/>
      <c r="P35" s="35">
        <f t="shared" si="4"/>
        <v>0</v>
      </c>
      <c r="Q35" s="7">
        <f t="shared" si="5"/>
        <v>158</v>
      </c>
      <c r="R35" s="54">
        <v>221.49</v>
      </c>
      <c r="S35" s="59">
        <v>210.5</v>
      </c>
      <c r="T35" s="54">
        <v>-4.6100000000000003</v>
      </c>
      <c r="U35" s="56">
        <v>-11</v>
      </c>
      <c r="V35" s="54">
        <v>5.2</v>
      </c>
      <c r="W35" s="59" t="s">
        <v>106</v>
      </c>
      <c r="X35" s="54">
        <v>151.80000000000001</v>
      </c>
      <c r="Y35" s="59" t="s">
        <v>106</v>
      </c>
      <c r="Z35" s="71">
        <v>53.9</v>
      </c>
      <c r="AA35" s="61" t="s">
        <v>106</v>
      </c>
      <c r="AB35" s="40">
        <f t="shared" si="33"/>
        <v>5.39</v>
      </c>
      <c r="AC35" s="8">
        <f t="shared" si="7"/>
        <v>42.132531645569621</v>
      </c>
      <c r="AD35" s="7">
        <f t="shared" si="8"/>
        <v>43.79493670886076</v>
      </c>
      <c r="AE35" s="7">
        <f t="shared" si="9"/>
        <v>41.748734177215198</v>
      </c>
      <c r="AF35" s="3">
        <f t="shared" si="10"/>
        <v>42.558734177215193</v>
      </c>
      <c r="AG35" s="7">
        <f t="shared" si="11"/>
        <v>0.54382273044945395</v>
      </c>
      <c r="AH35" s="45"/>
      <c r="AI35" s="12">
        <f t="shared" si="12"/>
        <v>0.13924050632911392</v>
      </c>
      <c r="AJ35" s="45"/>
      <c r="AK35" s="8">
        <f t="shared" si="29"/>
        <v>39.177848101265823</v>
      </c>
      <c r="AL35" s="7">
        <f t="shared" si="13"/>
        <v>40.840253164556962</v>
      </c>
      <c r="AM35" s="7">
        <f t="shared" si="24"/>
        <v>38.7940506329114</v>
      </c>
      <c r="AN35" s="3">
        <f t="shared" si="14"/>
        <v>39.604050632911395</v>
      </c>
      <c r="AO35" s="7">
        <f t="shared" si="15"/>
        <v>0.54382273044945395</v>
      </c>
      <c r="AP35" s="64">
        <f t="shared" si="25"/>
        <v>0</v>
      </c>
      <c r="AQ35" s="8">
        <f t="shared" si="16"/>
        <v>1.3773833004602234</v>
      </c>
      <c r="AR35" s="14">
        <f>S35+273.15</f>
        <v>483.65</v>
      </c>
      <c r="AS35" s="14">
        <f t="shared" si="18"/>
        <v>361.2609179281128</v>
      </c>
      <c r="AT35" s="14">
        <f>(S35*9/5)+32</f>
        <v>410.9</v>
      </c>
      <c r="AU35" s="7">
        <f t="shared" si="20"/>
        <v>161.6447</v>
      </c>
      <c r="AV35" s="8">
        <f t="shared" si="21"/>
        <v>88.110917928112826</v>
      </c>
      <c r="AW35" s="7">
        <f t="shared" si="22"/>
        <v>72.024833333333333</v>
      </c>
      <c r="AX35" s="37">
        <f t="shared" si="30"/>
        <v>88.110917928112826</v>
      </c>
      <c r="AY35" s="43">
        <v>82.2</v>
      </c>
      <c r="AZ35" s="15">
        <v>0.83</v>
      </c>
      <c r="BA35" s="42">
        <v>0.83</v>
      </c>
      <c r="BB35" s="8">
        <v>9.98</v>
      </c>
      <c r="BC35" s="42" t="s">
        <v>193</v>
      </c>
      <c r="BD35" s="67">
        <v>34.9</v>
      </c>
      <c r="BE35" s="42"/>
      <c r="BF35" s="67">
        <v>61.418925999999999</v>
      </c>
      <c r="BG35" s="42"/>
      <c r="BH35" s="7"/>
      <c r="BI35" s="67">
        <v>79.932029999999997</v>
      </c>
      <c r="BJ35" s="42"/>
      <c r="BK35" s="7"/>
      <c r="BL35" s="67">
        <f t="shared" si="27"/>
        <v>-18.513103999999998</v>
      </c>
      <c r="BM35" s="43"/>
      <c r="BN35" s="11"/>
      <c r="BO35" s="11">
        <f t="shared" si="28"/>
        <v>70.675477999999998</v>
      </c>
      <c r="BP35" s="11"/>
      <c r="BQ35" s="11"/>
      <c r="BR35" s="47"/>
      <c r="BS35" s="11"/>
      <c r="BT35" s="11"/>
      <c r="BU35" s="92">
        <f t="shared" si="26"/>
        <v>1.0736658455955745E-104</v>
      </c>
      <c r="BV35" s="2">
        <v>7.5</v>
      </c>
      <c r="BW35" s="48">
        <v>42</v>
      </c>
    </row>
    <row r="36" spans="1:75" s="4" customFormat="1" ht="15.6" x14ac:dyDescent="0.3">
      <c r="A36" s="39" t="s">
        <v>128</v>
      </c>
      <c r="B36" s="47" t="s">
        <v>160</v>
      </c>
      <c r="C36" s="43"/>
      <c r="D36" s="52"/>
      <c r="E36" s="53"/>
      <c r="F36" s="43" t="s">
        <v>105</v>
      </c>
      <c r="G36" s="45">
        <v>10</v>
      </c>
      <c r="H36" s="35">
        <f t="shared" si="0"/>
        <v>0.759493670886076</v>
      </c>
      <c r="I36" s="45">
        <v>22</v>
      </c>
      <c r="J36" s="35">
        <f t="shared" si="1"/>
        <v>0.13924050632911392</v>
      </c>
      <c r="K36" s="44">
        <v>1</v>
      </c>
      <c r="L36" s="35">
        <f t="shared" si="2"/>
        <v>0.10126582278481013</v>
      </c>
      <c r="M36" s="45"/>
      <c r="N36" s="35">
        <f t="shared" si="3"/>
        <v>0</v>
      </c>
      <c r="O36" s="45"/>
      <c r="P36" s="35">
        <f t="shared" si="4"/>
        <v>0</v>
      </c>
      <c r="Q36" s="7">
        <f t="shared" si="5"/>
        <v>158</v>
      </c>
      <c r="R36" s="54">
        <v>221.49</v>
      </c>
      <c r="S36" s="59">
        <v>210.5</v>
      </c>
      <c r="T36" s="54">
        <v>-4.6100000000000003</v>
      </c>
      <c r="U36" s="56">
        <v>-11</v>
      </c>
      <c r="V36" s="54">
        <v>5.2</v>
      </c>
      <c r="W36" s="59" t="s">
        <v>106</v>
      </c>
      <c r="X36" s="54">
        <v>151.80000000000001</v>
      </c>
      <c r="Y36" s="59" t="s">
        <v>106</v>
      </c>
      <c r="Z36" s="71">
        <f>53.9</f>
        <v>53.9</v>
      </c>
      <c r="AA36" s="61" t="s">
        <v>106</v>
      </c>
      <c r="AB36" s="40">
        <f t="shared" si="33"/>
        <v>5.39</v>
      </c>
      <c r="AC36" s="8">
        <f t="shared" si="7"/>
        <v>42.132531645569621</v>
      </c>
      <c r="AD36" s="7">
        <f t="shared" si="8"/>
        <v>43.79493670886076</v>
      </c>
      <c r="AE36" s="7">
        <f t="shared" si="9"/>
        <v>41.748734177215198</v>
      </c>
      <c r="AF36" s="3">
        <f t="shared" si="10"/>
        <v>42.558734177215193</v>
      </c>
      <c r="AG36" s="7">
        <f t="shared" si="11"/>
        <v>0.54382273044945395</v>
      </c>
      <c r="AH36" s="45"/>
      <c r="AI36" s="12">
        <f t="shared" si="12"/>
        <v>0.13924050632911392</v>
      </c>
      <c r="AJ36" s="45"/>
      <c r="AK36" s="8">
        <f t="shared" si="29"/>
        <v>39.177848101265823</v>
      </c>
      <c r="AL36" s="7">
        <f t="shared" si="13"/>
        <v>40.840253164556962</v>
      </c>
      <c r="AM36" s="7">
        <f t="shared" si="24"/>
        <v>38.7940506329114</v>
      </c>
      <c r="AN36" s="3">
        <f t="shared" si="14"/>
        <v>39.604050632911395</v>
      </c>
      <c r="AO36" s="7">
        <f t="shared" si="15"/>
        <v>0.54382273044945395</v>
      </c>
      <c r="AP36" s="64">
        <f t="shared" si="25"/>
        <v>0</v>
      </c>
      <c r="AQ36" s="8">
        <f t="shared" si="16"/>
        <v>1.3773833004602234</v>
      </c>
      <c r="AR36" s="14">
        <f>S36+273.15</f>
        <v>483.65</v>
      </c>
      <c r="AS36" s="14">
        <f t="shared" si="18"/>
        <v>361.2609179281128</v>
      </c>
      <c r="AT36" s="14">
        <f>(S36*9/5)+32</f>
        <v>410.9</v>
      </c>
      <c r="AU36" s="7">
        <f t="shared" si="20"/>
        <v>161.6447</v>
      </c>
      <c r="AV36" s="8">
        <f t="shared" si="21"/>
        <v>88.110917928112826</v>
      </c>
      <c r="AW36" s="7">
        <f t="shared" si="22"/>
        <v>72.024833333333333</v>
      </c>
      <c r="AX36" s="37">
        <f t="shared" si="30"/>
        <v>88.110917928112826</v>
      </c>
      <c r="AY36" s="43" t="s">
        <v>193</v>
      </c>
      <c r="AZ36" s="15">
        <v>0.83</v>
      </c>
      <c r="BA36" s="42" t="s">
        <v>193</v>
      </c>
      <c r="BB36" s="8">
        <v>8.6</v>
      </c>
      <c r="BC36" s="42" t="s">
        <v>193</v>
      </c>
      <c r="BD36" s="67">
        <v>34.18</v>
      </c>
      <c r="BE36" s="42"/>
      <c r="BF36" s="67">
        <v>61.184814000000003</v>
      </c>
      <c r="BG36" s="42"/>
      <c r="BH36" s="7"/>
      <c r="BI36" s="67">
        <v>88.740584999999996</v>
      </c>
      <c r="BJ36" s="42"/>
      <c r="BK36" s="7"/>
      <c r="BL36" s="67">
        <f t="shared" si="27"/>
        <v>-27.555770999999993</v>
      </c>
      <c r="BM36" s="43"/>
      <c r="BN36" s="11"/>
      <c r="BO36" s="11">
        <f t="shared" si="28"/>
        <v>74.962699499999999</v>
      </c>
      <c r="BP36" s="11"/>
      <c r="BQ36" s="11"/>
      <c r="BR36" s="47"/>
      <c r="BS36" s="11"/>
      <c r="BT36" s="11"/>
      <c r="BU36" s="92">
        <f t="shared" si="26"/>
        <v>1.0736658455955745E-104</v>
      </c>
      <c r="BV36" s="2">
        <v>8</v>
      </c>
      <c r="BW36" s="95">
        <v>46</v>
      </c>
    </row>
    <row r="37" spans="1:75" s="4" customFormat="1" ht="15.6" x14ac:dyDescent="0.3">
      <c r="A37" s="39" t="s">
        <v>119</v>
      </c>
      <c r="B37" s="47" t="s">
        <v>161</v>
      </c>
      <c r="C37" s="43"/>
      <c r="D37" s="52"/>
      <c r="E37" s="53"/>
      <c r="F37" s="43" t="s">
        <v>164</v>
      </c>
      <c r="G37" s="45">
        <v>11</v>
      </c>
      <c r="H37" s="35">
        <f t="shared" si="0"/>
        <v>0.76744186046511631</v>
      </c>
      <c r="I37" s="45">
        <v>24</v>
      </c>
      <c r="J37" s="35">
        <f t="shared" si="1"/>
        <v>0.13953488372093023</v>
      </c>
      <c r="K37" s="44">
        <v>1</v>
      </c>
      <c r="L37" s="35">
        <f t="shared" si="2"/>
        <v>9.3023255813953487E-2</v>
      </c>
      <c r="M37" s="45"/>
      <c r="N37" s="35">
        <f t="shared" si="3"/>
        <v>0</v>
      </c>
      <c r="O37" s="45"/>
      <c r="P37" s="35">
        <f t="shared" si="4"/>
        <v>0</v>
      </c>
      <c r="Q37" s="7">
        <f t="shared" si="5"/>
        <v>172</v>
      </c>
      <c r="R37" s="54">
        <v>228.93</v>
      </c>
      <c r="S37" s="59" t="s">
        <v>106</v>
      </c>
      <c r="T37" s="54">
        <v>-4.3</v>
      </c>
      <c r="U37" s="59" t="s">
        <v>106</v>
      </c>
      <c r="V37" s="54">
        <v>1.66</v>
      </c>
      <c r="W37" s="59" t="s">
        <v>106</v>
      </c>
      <c r="X37" s="54">
        <v>57.47</v>
      </c>
      <c r="Y37" s="59" t="s">
        <v>106</v>
      </c>
      <c r="Z37" s="71">
        <f>66.1</f>
        <v>66.099999999999994</v>
      </c>
      <c r="AA37" s="61" t="s">
        <v>106</v>
      </c>
      <c r="AB37" s="40">
        <f t="shared" si="33"/>
        <v>6.0090909090909088</v>
      </c>
      <c r="AC37" s="8">
        <f t="shared" si="7"/>
        <v>42.519999999999996</v>
      </c>
      <c r="AD37" s="7">
        <f t="shared" si="8"/>
        <v>44.223255813953493</v>
      </c>
      <c r="AE37" s="7">
        <f t="shared" si="9"/>
        <v>42.153720930232559</v>
      </c>
      <c r="AF37" s="3">
        <f t="shared" si="10"/>
        <v>42.965658914728685</v>
      </c>
      <c r="AG37" s="7">
        <f t="shared" si="11"/>
        <v>0.55220072436169387</v>
      </c>
      <c r="AH37" s="45"/>
      <c r="AI37" s="12">
        <f t="shared" si="12"/>
        <v>0.13953488372093023</v>
      </c>
      <c r="AJ37" s="45"/>
      <c r="AK37" s="8">
        <f t="shared" si="29"/>
        <v>39.559069767441855</v>
      </c>
      <c r="AL37" s="7">
        <f t="shared" si="13"/>
        <v>41.262325581395352</v>
      </c>
      <c r="AM37" s="7">
        <f t="shared" si="24"/>
        <v>39.192790697674418</v>
      </c>
      <c r="AN37" s="3">
        <f t="shared" si="14"/>
        <v>40.004728682170537</v>
      </c>
      <c r="AO37" s="7">
        <f t="shared" si="15"/>
        <v>0.55220072436169398</v>
      </c>
      <c r="AP37" s="64">
        <f t="shared" si="25"/>
        <v>0</v>
      </c>
      <c r="AQ37" s="8">
        <f t="shared" si="16"/>
        <v>1.2537402752842608</v>
      </c>
      <c r="AR37" s="68">
        <f>R37+273.15</f>
        <v>502.08</v>
      </c>
      <c r="AS37" s="14">
        <f t="shared" si="18"/>
        <v>373.19971495554574</v>
      </c>
      <c r="AT37" s="68">
        <f>(R37*9/5)+32</f>
        <v>444.07399999999996</v>
      </c>
      <c r="AU37" s="7">
        <f t="shared" si="20"/>
        <v>184.30254200000002</v>
      </c>
      <c r="AV37" s="8">
        <f t="shared" si="21"/>
        <v>100.04971495554577</v>
      </c>
      <c r="AW37" s="7">
        <f t="shared" si="22"/>
        <v>84.612523333333343</v>
      </c>
      <c r="AX37" s="69">
        <f t="shared" si="30"/>
        <v>100.04971495554577</v>
      </c>
      <c r="AY37" s="43" t="s">
        <v>193</v>
      </c>
      <c r="AZ37" s="15">
        <v>0.83</v>
      </c>
      <c r="BA37" s="42" t="s">
        <v>193</v>
      </c>
      <c r="BB37" s="8">
        <v>11.88</v>
      </c>
      <c r="BC37" s="42" t="s">
        <v>193</v>
      </c>
      <c r="BD37" s="67">
        <v>35.19</v>
      </c>
      <c r="BE37" s="42"/>
      <c r="BF37" s="67">
        <v>75.981430000000003</v>
      </c>
      <c r="BG37" s="42"/>
      <c r="BH37" s="7"/>
      <c r="BI37" s="67">
        <v>97.396360000000001</v>
      </c>
      <c r="BJ37" s="42"/>
      <c r="BK37" s="7"/>
      <c r="BL37" s="67">
        <f t="shared" si="27"/>
        <v>-21.414929999999998</v>
      </c>
      <c r="BM37" s="43"/>
      <c r="BN37" s="11"/>
      <c r="BO37" s="11">
        <f t="shared" si="28"/>
        <v>86.688895000000002</v>
      </c>
      <c r="BP37" s="11"/>
      <c r="BQ37" s="11"/>
      <c r="BR37" s="47"/>
      <c r="BS37" s="11"/>
      <c r="BT37" s="11"/>
      <c r="BU37" s="92">
        <f t="shared" si="26"/>
        <v>2.8617896184257498E-105</v>
      </c>
      <c r="BV37" s="2">
        <v>0</v>
      </c>
      <c r="BW37" s="4">
        <v>0</v>
      </c>
    </row>
    <row r="38" spans="1:75" s="4" customFormat="1" ht="15.6" x14ac:dyDescent="0.3">
      <c r="A38" s="39" t="s">
        <v>150</v>
      </c>
      <c r="B38" s="47" t="s">
        <v>162</v>
      </c>
      <c r="C38" s="43"/>
      <c r="D38" s="52"/>
      <c r="E38" s="53"/>
      <c r="F38" s="43" t="s">
        <v>164</v>
      </c>
      <c r="G38" s="45">
        <v>11</v>
      </c>
      <c r="H38" s="35">
        <f t="shared" si="0"/>
        <v>0.76744186046511631</v>
      </c>
      <c r="I38" s="45">
        <v>24</v>
      </c>
      <c r="J38" s="35">
        <f t="shared" si="1"/>
        <v>0.13953488372093023</v>
      </c>
      <c r="K38" s="44">
        <v>1</v>
      </c>
      <c r="L38" s="35">
        <f t="shared" si="2"/>
        <v>9.3023255813953487E-2</v>
      </c>
      <c r="M38" s="45"/>
      <c r="N38" s="35">
        <f t="shared" si="3"/>
        <v>0</v>
      </c>
      <c r="O38" s="45"/>
      <c r="P38" s="35">
        <f t="shared" si="4"/>
        <v>0</v>
      </c>
      <c r="Q38" s="7">
        <f t="shared" si="5"/>
        <v>172</v>
      </c>
      <c r="R38" s="54">
        <v>228.93</v>
      </c>
      <c r="S38" s="59" t="s">
        <v>106</v>
      </c>
      <c r="T38" s="54">
        <v>-4.3</v>
      </c>
      <c r="U38" s="59" t="s">
        <v>106</v>
      </c>
      <c r="V38" s="54">
        <v>1.66</v>
      </c>
      <c r="W38" s="59" t="s">
        <v>106</v>
      </c>
      <c r="X38" s="54">
        <v>57.47</v>
      </c>
      <c r="Y38" s="59" t="s">
        <v>106</v>
      </c>
      <c r="Z38" s="71">
        <f>66.1</f>
        <v>66.099999999999994</v>
      </c>
      <c r="AA38" s="61" t="s">
        <v>106</v>
      </c>
      <c r="AB38" s="40">
        <f t="shared" si="33"/>
        <v>6.0090909090909088</v>
      </c>
      <c r="AC38" s="8">
        <f t="shared" si="7"/>
        <v>42.519999999999996</v>
      </c>
      <c r="AD38" s="7">
        <f t="shared" si="8"/>
        <v>44.223255813953493</v>
      </c>
      <c r="AE38" s="7">
        <f t="shared" si="9"/>
        <v>42.153720930232559</v>
      </c>
      <c r="AF38" s="3">
        <f t="shared" si="10"/>
        <v>42.965658914728685</v>
      </c>
      <c r="AG38" s="7">
        <f t="shared" si="11"/>
        <v>0.55220072436169387</v>
      </c>
      <c r="AH38" s="45"/>
      <c r="AI38" s="12">
        <f t="shared" si="12"/>
        <v>0.13953488372093023</v>
      </c>
      <c r="AJ38" s="45"/>
      <c r="AK38" s="8">
        <f t="shared" si="29"/>
        <v>39.559069767441855</v>
      </c>
      <c r="AL38" s="7">
        <f t="shared" si="13"/>
        <v>41.262325581395352</v>
      </c>
      <c r="AM38" s="7">
        <f t="shared" si="24"/>
        <v>39.192790697674418</v>
      </c>
      <c r="AN38" s="3">
        <f t="shared" si="14"/>
        <v>40.004728682170537</v>
      </c>
      <c r="AO38" s="7">
        <f t="shared" si="15"/>
        <v>0.55220072436169398</v>
      </c>
      <c r="AP38" s="64">
        <f t="shared" si="25"/>
        <v>0</v>
      </c>
      <c r="AQ38" s="8">
        <f t="shared" si="16"/>
        <v>1.2537402752842608</v>
      </c>
      <c r="AR38" s="68">
        <f>R38+273.15</f>
        <v>502.08</v>
      </c>
      <c r="AS38" s="14">
        <f t="shared" si="18"/>
        <v>373.19971495554574</v>
      </c>
      <c r="AT38" s="68">
        <f>(R38*9/5)+32</f>
        <v>444.07399999999996</v>
      </c>
      <c r="AU38" s="7">
        <f t="shared" si="20"/>
        <v>184.30254200000002</v>
      </c>
      <c r="AV38" s="8">
        <f t="shared" si="21"/>
        <v>100.04971495554577</v>
      </c>
      <c r="AW38" s="7">
        <f t="shared" si="22"/>
        <v>84.612523333333343</v>
      </c>
      <c r="AX38" s="69">
        <f t="shared" si="30"/>
        <v>100.04971495554577</v>
      </c>
      <c r="AY38" s="43" t="s">
        <v>193</v>
      </c>
      <c r="AZ38" s="15">
        <v>0.82</v>
      </c>
      <c r="BA38" s="42" t="s">
        <v>193</v>
      </c>
      <c r="BB38" s="8">
        <v>9.6199999999999992</v>
      </c>
      <c r="BC38" s="42" t="s">
        <v>193</v>
      </c>
      <c r="BD38" s="67">
        <v>31</v>
      </c>
      <c r="BE38" s="42"/>
      <c r="BF38" s="67">
        <v>76.283569999999997</v>
      </c>
      <c r="BG38" s="42"/>
      <c r="BH38" s="7"/>
      <c r="BI38" s="67">
        <v>86.636170000000007</v>
      </c>
      <c r="BJ38" s="42"/>
      <c r="BK38" s="7"/>
      <c r="BL38" s="67">
        <f t="shared" si="27"/>
        <v>-10.35260000000001</v>
      </c>
      <c r="BM38" s="43"/>
      <c r="BN38" s="11"/>
      <c r="BO38" s="11">
        <f t="shared" si="28"/>
        <v>81.459869999999995</v>
      </c>
      <c r="BP38" s="11"/>
      <c r="BQ38" s="11"/>
      <c r="BR38" s="47"/>
      <c r="BS38" s="11"/>
      <c r="BT38" s="11"/>
      <c r="BU38" s="92">
        <f t="shared" si="26"/>
        <v>2.8617896184257498E-105</v>
      </c>
      <c r="BV38" s="2">
        <v>0</v>
      </c>
      <c r="BW38" s="4">
        <v>0</v>
      </c>
    </row>
    <row r="39" spans="1:75" s="2" customFormat="1" ht="15.6" x14ac:dyDescent="0.3">
      <c r="A39" s="39" t="s">
        <v>124</v>
      </c>
      <c r="B39" s="47" t="s">
        <v>163</v>
      </c>
      <c r="C39" s="43"/>
      <c r="D39" s="52"/>
      <c r="E39" s="53"/>
      <c r="F39" s="43" t="s">
        <v>164</v>
      </c>
      <c r="G39" s="45">
        <v>11</v>
      </c>
      <c r="H39" s="35">
        <f t="shared" si="0"/>
        <v>0.76744186046511631</v>
      </c>
      <c r="I39" s="45">
        <v>24</v>
      </c>
      <c r="J39" s="35">
        <f t="shared" si="1"/>
        <v>0.13953488372093023</v>
      </c>
      <c r="K39" s="44">
        <v>1</v>
      </c>
      <c r="L39" s="35">
        <f t="shared" si="2"/>
        <v>9.3023255813953487E-2</v>
      </c>
      <c r="M39" s="45"/>
      <c r="N39" s="35">
        <f t="shared" si="3"/>
        <v>0</v>
      </c>
      <c r="O39" s="45"/>
      <c r="P39" s="35">
        <f t="shared" si="4"/>
        <v>0</v>
      </c>
      <c r="Q39" s="7">
        <f t="shared" si="5"/>
        <v>172</v>
      </c>
      <c r="R39" s="54">
        <v>239.95</v>
      </c>
      <c r="S39" s="59">
        <v>229</v>
      </c>
      <c r="T39" s="54">
        <v>6.42</v>
      </c>
      <c r="U39" s="56">
        <v>-3.5</v>
      </c>
      <c r="V39" s="54">
        <v>1.65</v>
      </c>
      <c r="W39" s="59" t="s">
        <v>106</v>
      </c>
      <c r="X39" s="54">
        <v>49.73</v>
      </c>
      <c r="Y39" s="59" t="s">
        <v>106</v>
      </c>
      <c r="Z39" s="71">
        <f>60.4</f>
        <v>60.4</v>
      </c>
      <c r="AA39" s="61" t="s">
        <v>106</v>
      </c>
      <c r="AB39" s="40">
        <f t="shared" si="33"/>
        <v>5.4909090909090912</v>
      </c>
      <c r="AC39" s="8">
        <f t="shared" si="7"/>
        <v>42.519999999999996</v>
      </c>
      <c r="AD39" s="7">
        <f t="shared" si="8"/>
        <v>44.223255813953493</v>
      </c>
      <c r="AE39" s="7">
        <f t="shared" si="9"/>
        <v>42.153720930232559</v>
      </c>
      <c r="AF39" s="3">
        <f t="shared" si="10"/>
        <v>42.965658914728685</v>
      </c>
      <c r="AG39" s="7">
        <f t="shared" si="11"/>
        <v>0.55220072436169387</v>
      </c>
      <c r="AH39" s="45"/>
      <c r="AI39" s="12">
        <f t="shared" si="12"/>
        <v>0.13953488372093023</v>
      </c>
      <c r="AJ39" s="45"/>
      <c r="AK39" s="8">
        <f t="shared" si="29"/>
        <v>39.559069767441855</v>
      </c>
      <c r="AL39" s="7">
        <f t="shared" si="13"/>
        <v>41.262325581395352</v>
      </c>
      <c r="AM39" s="7">
        <f t="shared" si="24"/>
        <v>39.192790697674418</v>
      </c>
      <c r="AN39" s="3">
        <f t="shared" si="14"/>
        <v>40.004728682170537</v>
      </c>
      <c r="AO39" s="7">
        <f t="shared" si="15"/>
        <v>0.55220072436169398</v>
      </c>
      <c r="AP39" s="64">
        <f t="shared" si="25"/>
        <v>0</v>
      </c>
      <c r="AQ39" s="8">
        <f t="shared" si="16"/>
        <v>1.2537402752842608</v>
      </c>
      <c r="AR39" s="14">
        <f>S39+273.15</f>
        <v>502.15</v>
      </c>
      <c r="AS39" s="14">
        <f t="shared" si="18"/>
        <v>373.25174646456202</v>
      </c>
      <c r="AT39" s="14">
        <f>(S39*9/5)+32</f>
        <v>444.2</v>
      </c>
      <c r="AU39" s="7">
        <f t="shared" si="20"/>
        <v>184.3886</v>
      </c>
      <c r="AV39" s="8">
        <f t="shared" si="21"/>
        <v>100.10174646456204</v>
      </c>
      <c r="AW39" s="7">
        <f t="shared" si="22"/>
        <v>84.660333333333327</v>
      </c>
      <c r="AX39" s="37">
        <f t="shared" si="30"/>
        <v>100.10174646456204</v>
      </c>
      <c r="AY39" s="43" t="s">
        <v>193</v>
      </c>
      <c r="AZ39" s="15">
        <v>0.83</v>
      </c>
      <c r="BA39" s="42" t="s">
        <v>193</v>
      </c>
      <c r="BB39" s="8">
        <v>11.13</v>
      </c>
      <c r="BC39" s="42" t="s">
        <v>193</v>
      </c>
      <c r="BD39" s="67">
        <v>39.92</v>
      </c>
      <c r="BE39" s="42"/>
      <c r="BF39" s="67">
        <v>55.471350000000001</v>
      </c>
      <c r="BG39" s="42"/>
      <c r="BH39" s="7"/>
      <c r="BI39" s="67">
        <v>90.428510000000003</v>
      </c>
      <c r="BJ39" s="42"/>
      <c r="BK39" s="7"/>
      <c r="BL39" s="67">
        <f t="shared" si="27"/>
        <v>-34.957160000000002</v>
      </c>
      <c r="BM39" s="43"/>
      <c r="BN39" s="11"/>
      <c r="BO39" s="11">
        <f t="shared" si="28"/>
        <v>72.949929999999995</v>
      </c>
      <c r="BP39" s="11"/>
      <c r="BQ39" s="11"/>
      <c r="BR39" s="47"/>
      <c r="BS39" s="11"/>
      <c r="BT39" s="11"/>
      <c r="BU39" s="92">
        <f t="shared" si="26"/>
        <v>2.8456109968942169E-105</v>
      </c>
      <c r="BV39" s="2">
        <v>12</v>
      </c>
      <c r="BW39" s="48">
        <v>74</v>
      </c>
    </row>
    <row r="40" spans="1:75" s="4" customFormat="1" ht="15.6" x14ac:dyDescent="0.3">
      <c r="A40" s="39" t="s">
        <v>129</v>
      </c>
      <c r="B40" s="47" t="s">
        <v>165</v>
      </c>
      <c r="C40" s="43"/>
      <c r="D40" s="52"/>
      <c r="E40" s="53"/>
      <c r="F40" s="43" t="s">
        <v>164</v>
      </c>
      <c r="G40" s="45">
        <v>11</v>
      </c>
      <c r="H40" s="35">
        <f t="shared" si="0"/>
        <v>0.76744186046511631</v>
      </c>
      <c r="I40" s="45">
        <v>24</v>
      </c>
      <c r="J40" s="35">
        <f t="shared" si="1"/>
        <v>0.13953488372093023</v>
      </c>
      <c r="K40" s="44">
        <v>1</v>
      </c>
      <c r="L40" s="35">
        <f t="shared" si="2"/>
        <v>9.3023255813953487E-2</v>
      </c>
      <c r="M40" s="45"/>
      <c r="N40" s="35">
        <f t="shared" si="3"/>
        <v>0</v>
      </c>
      <c r="O40" s="45"/>
      <c r="P40" s="35">
        <f t="shared" si="4"/>
        <v>0</v>
      </c>
      <c r="Q40" s="7">
        <f t="shared" si="5"/>
        <v>172</v>
      </c>
      <c r="R40" s="54">
        <v>239.95</v>
      </c>
      <c r="S40" s="59">
        <v>229</v>
      </c>
      <c r="T40" s="54">
        <v>6.42</v>
      </c>
      <c r="U40" s="56">
        <v>-3.5</v>
      </c>
      <c r="V40" s="54">
        <v>1.65</v>
      </c>
      <c r="W40" s="59" t="s">
        <v>106</v>
      </c>
      <c r="X40" s="54">
        <v>49.73</v>
      </c>
      <c r="Y40" s="59" t="s">
        <v>106</v>
      </c>
      <c r="Z40" s="71">
        <v>60.4</v>
      </c>
      <c r="AA40" s="61" t="s">
        <v>106</v>
      </c>
      <c r="AB40" s="40">
        <f t="shared" si="33"/>
        <v>5.4909090909090912</v>
      </c>
      <c r="AC40" s="8">
        <f t="shared" si="7"/>
        <v>42.519999999999996</v>
      </c>
      <c r="AD40" s="7">
        <f t="shared" si="8"/>
        <v>44.223255813953493</v>
      </c>
      <c r="AE40" s="7">
        <f t="shared" si="9"/>
        <v>42.153720930232559</v>
      </c>
      <c r="AF40" s="3">
        <f t="shared" si="10"/>
        <v>42.965658914728685</v>
      </c>
      <c r="AG40" s="7">
        <f t="shared" si="11"/>
        <v>0.55220072436169387</v>
      </c>
      <c r="AH40" s="45"/>
      <c r="AI40" s="12">
        <f t="shared" si="12"/>
        <v>0.13953488372093023</v>
      </c>
      <c r="AJ40" s="45"/>
      <c r="AK40" s="8">
        <f t="shared" si="29"/>
        <v>39.559069767441855</v>
      </c>
      <c r="AL40" s="7">
        <f t="shared" si="13"/>
        <v>41.262325581395352</v>
      </c>
      <c r="AM40" s="7">
        <f t="shared" si="24"/>
        <v>39.192790697674418</v>
      </c>
      <c r="AN40" s="3">
        <f t="shared" si="14"/>
        <v>40.004728682170537</v>
      </c>
      <c r="AO40" s="7">
        <f t="shared" si="15"/>
        <v>0.55220072436169398</v>
      </c>
      <c r="AP40" s="64">
        <f t="shared" si="25"/>
        <v>0</v>
      </c>
      <c r="AQ40" s="8">
        <f t="shared" si="16"/>
        <v>1.2537402752842608</v>
      </c>
      <c r="AR40" s="14">
        <f>S40+273.15</f>
        <v>502.15</v>
      </c>
      <c r="AS40" s="14">
        <f t="shared" si="18"/>
        <v>373.25174646456202</v>
      </c>
      <c r="AT40" s="14">
        <f>(S40*9/5)+32</f>
        <v>444.2</v>
      </c>
      <c r="AU40" s="7">
        <f t="shared" si="20"/>
        <v>184.3886</v>
      </c>
      <c r="AV40" s="8">
        <f t="shared" si="21"/>
        <v>100.10174646456204</v>
      </c>
      <c r="AW40" s="7">
        <f t="shared" si="22"/>
        <v>84.660333333333327</v>
      </c>
      <c r="AX40" s="37">
        <f t="shared" si="30"/>
        <v>100.10174646456204</v>
      </c>
      <c r="AY40" s="43">
        <v>94</v>
      </c>
      <c r="AZ40" s="15">
        <v>0.83</v>
      </c>
      <c r="BA40" s="42">
        <v>0.83</v>
      </c>
      <c r="BB40" s="8">
        <v>12.17</v>
      </c>
      <c r="BC40" s="42" t="s">
        <v>193</v>
      </c>
      <c r="BD40" s="67">
        <v>39.17</v>
      </c>
      <c r="BE40" s="42"/>
      <c r="BF40" s="67">
        <v>55.889544999999998</v>
      </c>
      <c r="BG40" s="42"/>
      <c r="BH40" s="7"/>
      <c r="BI40" s="67">
        <v>80.950644999999994</v>
      </c>
      <c r="BJ40" s="42"/>
      <c r="BK40" s="7"/>
      <c r="BL40" s="67">
        <f t="shared" si="27"/>
        <v>-25.061099999999996</v>
      </c>
      <c r="BM40" s="43"/>
      <c r="BN40" s="11"/>
      <c r="BO40" s="11">
        <f t="shared" si="28"/>
        <v>68.420095000000003</v>
      </c>
      <c r="BP40" s="11"/>
      <c r="BQ40" s="11"/>
      <c r="BR40" s="47"/>
      <c r="BS40" s="11"/>
      <c r="BT40" s="11"/>
      <c r="BU40" s="92">
        <f t="shared" si="26"/>
        <v>2.8456109968942169E-105</v>
      </c>
      <c r="BV40" s="2">
        <v>12</v>
      </c>
      <c r="BW40" s="48">
        <v>74</v>
      </c>
    </row>
    <row r="41" spans="1:75" s="4" customFormat="1" ht="15.6" x14ac:dyDescent="0.3">
      <c r="A41" s="39" t="s">
        <v>131</v>
      </c>
      <c r="B41" s="47" t="s">
        <v>166</v>
      </c>
      <c r="C41" s="43"/>
      <c r="D41" s="52"/>
      <c r="E41" s="53"/>
      <c r="F41" s="43" t="s">
        <v>164</v>
      </c>
      <c r="G41" s="45">
        <v>11</v>
      </c>
      <c r="H41" s="35">
        <f t="shared" si="0"/>
        <v>0.76744186046511631</v>
      </c>
      <c r="I41" s="45">
        <v>24</v>
      </c>
      <c r="J41" s="35">
        <f t="shared" si="1"/>
        <v>0.13953488372093023</v>
      </c>
      <c r="K41" s="44">
        <v>1</v>
      </c>
      <c r="L41" s="35">
        <f t="shared" si="2"/>
        <v>9.3023255813953487E-2</v>
      </c>
      <c r="M41" s="45"/>
      <c r="N41" s="35">
        <f t="shared" si="3"/>
        <v>0</v>
      </c>
      <c r="O41" s="45"/>
      <c r="P41" s="35">
        <f t="shared" si="4"/>
        <v>0</v>
      </c>
      <c r="Q41" s="7">
        <f t="shared" si="5"/>
        <v>172</v>
      </c>
      <c r="R41" s="54">
        <v>239.95</v>
      </c>
      <c r="S41" s="59">
        <v>229</v>
      </c>
      <c r="T41" s="54">
        <v>6.42</v>
      </c>
      <c r="U41" s="56">
        <v>-3.5</v>
      </c>
      <c r="V41" s="54">
        <v>1.65</v>
      </c>
      <c r="W41" s="59" t="s">
        <v>106</v>
      </c>
      <c r="X41" s="54">
        <v>49.73</v>
      </c>
      <c r="Y41" s="59" t="s">
        <v>106</v>
      </c>
      <c r="Z41" s="71">
        <f>60.4</f>
        <v>60.4</v>
      </c>
      <c r="AA41" s="61" t="s">
        <v>106</v>
      </c>
      <c r="AB41" s="40">
        <f t="shared" si="33"/>
        <v>5.4909090909090912</v>
      </c>
      <c r="AC41" s="8">
        <f t="shared" si="7"/>
        <v>42.519999999999996</v>
      </c>
      <c r="AD41" s="7">
        <f t="shared" si="8"/>
        <v>44.223255813953493</v>
      </c>
      <c r="AE41" s="7">
        <f t="shared" si="9"/>
        <v>42.153720930232559</v>
      </c>
      <c r="AF41" s="3">
        <f t="shared" si="10"/>
        <v>42.965658914728685</v>
      </c>
      <c r="AG41" s="7">
        <f t="shared" si="11"/>
        <v>0.55220072436169387</v>
      </c>
      <c r="AH41" s="45"/>
      <c r="AI41" s="12">
        <f t="shared" si="12"/>
        <v>0.13953488372093023</v>
      </c>
      <c r="AJ41" s="45"/>
      <c r="AK41" s="8">
        <f t="shared" si="29"/>
        <v>39.559069767441855</v>
      </c>
      <c r="AL41" s="7">
        <f t="shared" si="13"/>
        <v>41.262325581395352</v>
      </c>
      <c r="AM41" s="7">
        <f t="shared" si="24"/>
        <v>39.192790697674418</v>
      </c>
      <c r="AN41" s="3">
        <f t="shared" si="14"/>
        <v>40.004728682170537</v>
      </c>
      <c r="AO41" s="7">
        <f t="shared" si="15"/>
        <v>0.55220072436169398</v>
      </c>
      <c r="AP41" s="64">
        <f t="shared" si="25"/>
        <v>0</v>
      </c>
      <c r="AQ41" s="8">
        <f t="shared" si="16"/>
        <v>1.2537402752842608</v>
      </c>
      <c r="AR41" s="14">
        <f>S41+273.15</f>
        <v>502.15</v>
      </c>
      <c r="AS41" s="14">
        <f t="shared" si="18"/>
        <v>373.25174646456202</v>
      </c>
      <c r="AT41" s="14">
        <f>(S41*9/5)+32</f>
        <v>444.2</v>
      </c>
      <c r="AU41" s="7">
        <f t="shared" si="20"/>
        <v>184.3886</v>
      </c>
      <c r="AV41" s="8">
        <f t="shared" si="21"/>
        <v>100.10174646456204</v>
      </c>
      <c r="AW41" s="7">
        <f t="shared" si="22"/>
        <v>84.660333333333327</v>
      </c>
      <c r="AX41" s="37">
        <f t="shared" si="30"/>
        <v>100.10174646456204</v>
      </c>
      <c r="AY41" s="43">
        <v>94</v>
      </c>
      <c r="AZ41" s="15">
        <v>0.83</v>
      </c>
      <c r="BA41" s="42">
        <v>0.83</v>
      </c>
      <c r="BB41" s="8">
        <v>11.75</v>
      </c>
      <c r="BC41" s="42" t="s">
        <v>193</v>
      </c>
      <c r="BD41" s="67">
        <v>39.15</v>
      </c>
      <c r="BE41" s="42"/>
      <c r="BF41" s="67">
        <v>65.276079999999993</v>
      </c>
      <c r="BG41" s="42"/>
      <c r="BH41" s="7"/>
      <c r="BI41" s="67">
        <v>88.76643</v>
      </c>
      <c r="BJ41" s="42"/>
      <c r="BK41" s="7"/>
      <c r="BL41" s="67">
        <f t="shared" si="27"/>
        <v>-23.490350000000007</v>
      </c>
      <c r="BM41" s="43"/>
      <c r="BN41" s="11"/>
      <c r="BO41" s="11">
        <f t="shared" si="28"/>
        <v>77.021254999999996</v>
      </c>
      <c r="BP41" s="11"/>
      <c r="BQ41" s="11"/>
      <c r="BR41" s="47"/>
      <c r="BS41" s="11"/>
      <c r="BT41" s="11"/>
      <c r="BU41" s="92">
        <f t="shared" si="26"/>
        <v>2.8456109968942169E-105</v>
      </c>
      <c r="BV41" s="2">
        <v>12</v>
      </c>
      <c r="BW41" s="95">
        <v>20</v>
      </c>
    </row>
    <row r="42" spans="1:75" s="4" customFormat="1" ht="15.6" x14ac:dyDescent="0.3">
      <c r="A42" s="39" t="s">
        <v>151</v>
      </c>
      <c r="B42" s="47" t="s">
        <v>167</v>
      </c>
      <c r="C42" s="43"/>
      <c r="D42" s="52"/>
      <c r="E42" s="53"/>
      <c r="F42" s="43" t="s">
        <v>168</v>
      </c>
      <c r="G42" s="45">
        <v>12</v>
      </c>
      <c r="H42" s="35">
        <f t="shared" si="0"/>
        <v>0.77419354838709675</v>
      </c>
      <c r="I42" s="45">
        <v>26</v>
      </c>
      <c r="J42" s="35">
        <f t="shared" si="1"/>
        <v>0.13978494623655913</v>
      </c>
      <c r="K42" s="44">
        <v>1</v>
      </c>
      <c r="L42" s="35">
        <f t="shared" si="2"/>
        <v>8.6021505376344093E-2</v>
      </c>
      <c r="M42" s="45"/>
      <c r="N42" s="35">
        <f t="shared" si="3"/>
        <v>0</v>
      </c>
      <c r="O42" s="45"/>
      <c r="P42" s="35">
        <f t="shared" si="4"/>
        <v>0</v>
      </c>
      <c r="Q42" s="7">
        <f t="shared" si="5"/>
        <v>186</v>
      </c>
      <c r="R42" s="54">
        <v>247.03</v>
      </c>
      <c r="S42" s="59" t="s">
        <v>106</v>
      </c>
      <c r="T42" s="54">
        <v>6.62</v>
      </c>
      <c r="U42" s="59" t="s">
        <v>106</v>
      </c>
      <c r="V42" s="54">
        <v>0.52500000000000002</v>
      </c>
      <c r="W42" s="59" t="s">
        <v>106</v>
      </c>
      <c r="X42" s="54">
        <v>18.7</v>
      </c>
      <c r="Y42" s="59" t="s">
        <v>106</v>
      </c>
      <c r="Z42" s="71">
        <f>72.5</f>
        <v>72.5</v>
      </c>
      <c r="AA42" s="61" t="s">
        <v>106</v>
      </c>
      <c r="AB42" s="40">
        <f t="shared" si="33"/>
        <v>6.041666666666667</v>
      </c>
      <c r="AC42" s="8">
        <f t="shared" si="7"/>
        <v>42.849139784946232</v>
      </c>
      <c r="AD42" s="7">
        <f t="shared" si="8"/>
        <v>44.58709677419354</v>
      </c>
      <c r="AE42" s="7">
        <f t="shared" si="9"/>
        <v>42.497741935483873</v>
      </c>
      <c r="AF42" s="3">
        <f t="shared" si="10"/>
        <v>43.311326164874551</v>
      </c>
      <c r="AG42" s="7">
        <f t="shared" si="11"/>
        <v>0.55936640448218433</v>
      </c>
      <c r="AH42" s="45"/>
      <c r="AI42" s="12">
        <f t="shared" si="12"/>
        <v>0.13978494623655913</v>
      </c>
      <c r="AJ42" s="45"/>
      <c r="AK42" s="8">
        <f t="shared" si="29"/>
        <v>39.882903225806444</v>
      </c>
      <c r="AL42" s="7">
        <f t="shared" si="13"/>
        <v>41.620860215053753</v>
      </c>
      <c r="AM42" s="7">
        <f t="shared" si="24"/>
        <v>39.531505376344086</v>
      </c>
      <c r="AN42" s="3">
        <f t="shared" si="14"/>
        <v>40.345089605734763</v>
      </c>
      <c r="AO42" s="7">
        <f t="shared" si="15"/>
        <v>0.55936640448218433</v>
      </c>
      <c r="AP42" s="64">
        <f t="shared" si="25"/>
        <v>0</v>
      </c>
      <c r="AQ42" s="8">
        <f t="shared" si="16"/>
        <v>1.1504667764964305</v>
      </c>
      <c r="AR42" s="68">
        <f>R42+273.15</f>
        <v>520.17999999999995</v>
      </c>
      <c r="AS42" s="14">
        <f t="shared" si="18"/>
        <v>384.93919440596989</v>
      </c>
      <c r="AT42" s="68">
        <f>(R42*9/5)+32</f>
        <v>476.654</v>
      </c>
      <c r="AU42" s="7">
        <f t="shared" si="20"/>
        <v>206.55468200000001</v>
      </c>
      <c r="AV42" s="8">
        <f t="shared" si="21"/>
        <v>111.78919440596991</v>
      </c>
      <c r="AW42" s="7">
        <f t="shared" si="22"/>
        <v>96.974823333333333</v>
      </c>
      <c r="AX42" s="69">
        <f t="shared" si="30"/>
        <v>111.78919440596991</v>
      </c>
      <c r="AY42" s="43" t="s">
        <v>193</v>
      </c>
      <c r="AZ42" s="15">
        <v>0.82</v>
      </c>
      <c r="BA42" s="42" t="s">
        <v>193</v>
      </c>
      <c r="BB42" s="8">
        <v>14.03</v>
      </c>
      <c r="BC42" s="42" t="s">
        <v>193</v>
      </c>
      <c r="BD42" s="67">
        <v>35.659999999999997</v>
      </c>
      <c r="BE42" s="42"/>
      <c r="BF42" s="67">
        <v>69.855575999999999</v>
      </c>
      <c r="BG42" s="42"/>
      <c r="BH42" s="7"/>
      <c r="BI42" s="67">
        <v>96.434730000000002</v>
      </c>
      <c r="BJ42" s="42"/>
      <c r="BK42" s="7"/>
      <c r="BL42" s="67">
        <f t="shared" si="27"/>
        <v>-26.579154000000003</v>
      </c>
      <c r="BM42" s="43"/>
      <c r="BN42" s="11"/>
      <c r="BO42" s="11">
        <f t="shared" si="28"/>
        <v>83.145152999999993</v>
      </c>
      <c r="BP42" s="11"/>
      <c r="BQ42" s="11"/>
      <c r="BR42" s="47"/>
      <c r="BS42" s="11"/>
      <c r="BT42" s="11"/>
      <c r="BU42" s="92">
        <f t="shared" si="26"/>
        <v>8.1215612256466419E-106</v>
      </c>
      <c r="BV42" s="2">
        <v>0</v>
      </c>
      <c r="BW42" s="4">
        <v>0</v>
      </c>
    </row>
    <row r="43" spans="1:75" s="4" customFormat="1" ht="15.6" x14ac:dyDescent="0.3">
      <c r="A43" s="39" t="s">
        <v>130</v>
      </c>
      <c r="B43" s="47" t="s">
        <v>169</v>
      </c>
      <c r="C43" s="43"/>
      <c r="D43" s="52"/>
      <c r="E43" s="53"/>
      <c r="F43" s="43" t="s">
        <v>168</v>
      </c>
      <c r="G43" s="45">
        <v>12</v>
      </c>
      <c r="H43" s="35">
        <f t="shared" si="0"/>
        <v>0.77419354838709675</v>
      </c>
      <c r="I43" s="45">
        <v>26</v>
      </c>
      <c r="J43" s="35">
        <f t="shared" si="1"/>
        <v>0.13978494623655913</v>
      </c>
      <c r="K43" s="44">
        <v>1</v>
      </c>
      <c r="L43" s="35">
        <f t="shared" si="2"/>
        <v>8.6021505376344093E-2</v>
      </c>
      <c r="M43" s="45"/>
      <c r="N43" s="35">
        <f t="shared" si="3"/>
        <v>0</v>
      </c>
      <c r="O43" s="45"/>
      <c r="P43" s="35">
        <f t="shared" si="4"/>
        <v>0</v>
      </c>
      <c r="Q43" s="7">
        <f t="shared" si="5"/>
        <v>186</v>
      </c>
      <c r="R43" s="54">
        <v>257.51</v>
      </c>
      <c r="S43" s="59">
        <v>225</v>
      </c>
      <c r="T43" s="54">
        <v>17.18</v>
      </c>
      <c r="U43" s="56">
        <v>30</v>
      </c>
      <c r="V43" s="54">
        <v>1.77</v>
      </c>
      <c r="W43" s="59" t="s">
        <v>106</v>
      </c>
      <c r="X43" s="54">
        <v>16.18</v>
      </c>
      <c r="Y43" s="59" t="s">
        <v>106</v>
      </c>
      <c r="Z43" s="71">
        <f>66.8</f>
        <v>66.8</v>
      </c>
      <c r="AA43" s="61" t="s">
        <v>106</v>
      </c>
      <c r="AB43" s="40">
        <f t="shared" si="33"/>
        <v>5.5666666666666664</v>
      </c>
      <c r="AC43" s="8">
        <f t="shared" si="7"/>
        <v>42.849139784946232</v>
      </c>
      <c r="AD43" s="7">
        <f t="shared" si="8"/>
        <v>44.58709677419354</v>
      </c>
      <c r="AE43" s="7">
        <f t="shared" si="9"/>
        <v>42.497741935483873</v>
      </c>
      <c r="AF43" s="3">
        <f t="shared" si="10"/>
        <v>43.311326164874551</v>
      </c>
      <c r="AG43" s="7">
        <f t="shared" si="11"/>
        <v>0.55936640448218433</v>
      </c>
      <c r="AH43" s="45"/>
      <c r="AI43" s="12">
        <f t="shared" si="12"/>
        <v>0.13978494623655913</v>
      </c>
      <c r="AJ43" s="45"/>
      <c r="AK43" s="8">
        <f t="shared" si="29"/>
        <v>39.882903225806444</v>
      </c>
      <c r="AL43" s="7">
        <f t="shared" si="13"/>
        <v>41.620860215053753</v>
      </c>
      <c r="AM43" s="7">
        <f t="shared" si="24"/>
        <v>39.531505376344086</v>
      </c>
      <c r="AN43" s="3">
        <f t="shared" si="14"/>
        <v>40.345089605734763</v>
      </c>
      <c r="AO43" s="7">
        <f t="shared" si="15"/>
        <v>0.55936640448218433</v>
      </c>
      <c r="AP43" s="64">
        <f t="shared" si="25"/>
        <v>0</v>
      </c>
      <c r="AQ43" s="8">
        <f t="shared" si="16"/>
        <v>1.1504667764964305</v>
      </c>
      <c r="AR43" s="14">
        <f>S43+273.15</f>
        <v>498.15</v>
      </c>
      <c r="AS43" s="14">
        <f t="shared" si="18"/>
        <v>368.63674053853265</v>
      </c>
      <c r="AT43" s="14">
        <f>(S43*9/5)+32</f>
        <v>437</v>
      </c>
      <c r="AU43" s="7">
        <f t="shared" si="20"/>
        <v>179.471</v>
      </c>
      <c r="AV43" s="8">
        <f t="shared" si="21"/>
        <v>95.486740538532672</v>
      </c>
      <c r="AW43" s="7">
        <f t="shared" si="22"/>
        <v>81.928333333333342</v>
      </c>
      <c r="AX43" s="37">
        <f t="shared" si="30"/>
        <v>95.486740538532672</v>
      </c>
      <c r="AY43" s="43" t="s">
        <v>193</v>
      </c>
      <c r="AZ43" s="15">
        <v>0.83</v>
      </c>
      <c r="BA43" s="42" t="s">
        <v>193</v>
      </c>
      <c r="BB43" s="8">
        <v>14.06</v>
      </c>
      <c r="BC43" s="42" t="s">
        <v>193</v>
      </c>
      <c r="BD43" s="67">
        <v>43.72</v>
      </c>
      <c r="BE43" s="42"/>
      <c r="BF43" s="67">
        <v>47.131743999999998</v>
      </c>
      <c r="BG43" s="42"/>
      <c r="BH43" s="7"/>
      <c r="BI43" s="67">
        <v>91.450620000000001</v>
      </c>
      <c r="BJ43" s="42"/>
      <c r="BK43" s="7"/>
      <c r="BL43" s="67">
        <f t="shared" si="27"/>
        <v>-44.318876000000003</v>
      </c>
      <c r="BM43" s="43"/>
      <c r="BN43" s="11"/>
      <c r="BO43" s="11">
        <f t="shared" si="28"/>
        <v>69.291181999999992</v>
      </c>
      <c r="BP43" s="11"/>
      <c r="BQ43" s="11"/>
      <c r="BR43" s="47"/>
      <c r="BS43" s="11"/>
      <c r="BT43" s="11"/>
      <c r="BU43" s="92">
        <f t="shared" si="26"/>
        <v>4.7196297070917417E-105</v>
      </c>
      <c r="BV43" s="2">
        <v>6.8</v>
      </c>
      <c r="BW43" s="95">
        <v>75</v>
      </c>
    </row>
    <row r="44" spans="1:75" s="4" customFormat="1" ht="15.6" x14ac:dyDescent="0.3">
      <c r="A44" s="39" t="s">
        <v>132</v>
      </c>
      <c r="B44" s="47" t="s">
        <v>170</v>
      </c>
      <c r="C44" s="43"/>
      <c r="D44" s="52"/>
      <c r="E44" s="53"/>
      <c r="F44" s="43" t="s">
        <v>168</v>
      </c>
      <c r="G44" s="45">
        <v>12</v>
      </c>
      <c r="H44" s="35">
        <f t="shared" si="0"/>
        <v>0.77419354838709675</v>
      </c>
      <c r="I44" s="45">
        <v>26</v>
      </c>
      <c r="J44" s="35">
        <f t="shared" si="1"/>
        <v>0.13978494623655913</v>
      </c>
      <c r="K44" s="44">
        <v>1</v>
      </c>
      <c r="L44" s="35">
        <f t="shared" si="2"/>
        <v>8.6021505376344093E-2</v>
      </c>
      <c r="M44" s="45"/>
      <c r="N44" s="35">
        <f t="shared" si="3"/>
        <v>0</v>
      </c>
      <c r="O44" s="45"/>
      <c r="P44" s="35">
        <f t="shared" si="4"/>
        <v>0</v>
      </c>
      <c r="Q44" s="7">
        <f t="shared" si="5"/>
        <v>186</v>
      </c>
      <c r="R44" s="54">
        <v>257.51</v>
      </c>
      <c r="S44" s="59">
        <v>225</v>
      </c>
      <c r="T44" s="54">
        <v>17.18</v>
      </c>
      <c r="U44" s="56">
        <v>30</v>
      </c>
      <c r="V44" s="54">
        <v>1.77</v>
      </c>
      <c r="W44" s="59" t="s">
        <v>106</v>
      </c>
      <c r="X44" s="54">
        <v>16.18</v>
      </c>
      <c r="Y44" s="59" t="s">
        <v>106</v>
      </c>
      <c r="Z44" s="71">
        <f>66.8</f>
        <v>66.8</v>
      </c>
      <c r="AA44" s="61" t="s">
        <v>106</v>
      </c>
      <c r="AB44" s="40">
        <f t="shared" si="33"/>
        <v>5.5666666666666664</v>
      </c>
      <c r="AC44" s="8">
        <f t="shared" si="7"/>
        <v>42.849139784946232</v>
      </c>
      <c r="AD44" s="7">
        <f t="shared" si="8"/>
        <v>44.58709677419354</v>
      </c>
      <c r="AE44" s="7">
        <f t="shared" si="9"/>
        <v>42.497741935483873</v>
      </c>
      <c r="AF44" s="3">
        <f t="shared" si="10"/>
        <v>43.311326164874551</v>
      </c>
      <c r="AG44" s="7">
        <f t="shared" si="11"/>
        <v>0.55936640448218433</v>
      </c>
      <c r="AH44" s="45"/>
      <c r="AI44" s="12">
        <f t="shared" si="12"/>
        <v>0.13978494623655913</v>
      </c>
      <c r="AJ44" s="45"/>
      <c r="AK44" s="8">
        <f t="shared" si="29"/>
        <v>39.882903225806444</v>
      </c>
      <c r="AL44" s="7">
        <f t="shared" si="13"/>
        <v>41.620860215053753</v>
      </c>
      <c r="AM44" s="7">
        <f t="shared" si="24"/>
        <v>39.531505376344086</v>
      </c>
      <c r="AN44" s="3">
        <f t="shared" si="14"/>
        <v>40.345089605734763</v>
      </c>
      <c r="AO44" s="7">
        <f t="shared" si="15"/>
        <v>0.55936640448218433</v>
      </c>
      <c r="AP44" s="64">
        <f t="shared" si="25"/>
        <v>0</v>
      </c>
      <c r="AQ44" s="8">
        <f t="shared" si="16"/>
        <v>1.1504667764964305</v>
      </c>
      <c r="AR44" s="14">
        <f>S44+273.15</f>
        <v>498.15</v>
      </c>
      <c r="AS44" s="14">
        <f t="shared" si="18"/>
        <v>368.63674053853265</v>
      </c>
      <c r="AT44" s="14">
        <f>(S44*9/5)+32</f>
        <v>437</v>
      </c>
      <c r="AU44" s="7">
        <f t="shared" si="20"/>
        <v>179.471</v>
      </c>
      <c r="AV44" s="8">
        <f t="shared" si="21"/>
        <v>95.486740538532672</v>
      </c>
      <c r="AW44" s="7">
        <f t="shared" si="22"/>
        <v>81.928333333333342</v>
      </c>
      <c r="AX44" s="37">
        <f t="shared" si="30"/>
        <v>95.486740538532672</v>
      </c>
      <c r="AY44" s="43" t="s">
        <v>193</v>
      </c>
      <c r="AZ44" s="15">
        <v>0.83</v>
      </c>
      <c r="BA44" s="42" t="s">
        <v>193</v>
      </c>
      <c r="BB44" s="8">
        <v>14.2</v>
      </c>
      <c r="BC44" s="42" t="s">
        <v>193</v>
      </c>
      <c r="BD44" s="67">
        <v>43.61</v>
      </c>
      <c r="BE44" s="42"/>
      <c r="BF44" s="67">
        <v>47.817974</v>
      </c>
      <c r="BG44" s="42"/>
      <c r="BH44" s="7"/>
      <c r="BI44" s="67">
        <v>81.095140000000001</v>
      </c>
      <c r="BJ44" s="42"/>
      <c r="BK44" s="7"/>
      <c r="BL44" s="67">
        <f t="shared" si="27"/>
        <v>-33.277166000000001</v>
      </c>
      <c r="BM44" s="43"/>
      <c r="BN44" s="11"/>
      <c r="BO44" s="11">
        <f t="shared" si="28"/>
        <v>64.456557000000004</v>
      </c>
      <c r="BP44" s="11"/>
      <c r="BQ44" s="11"/>
      <c r="BR44" s="47"/>
      <c r="BS44" s="11"/>
      <c r="BT44" s="11"/>
      <c r="BU44" s="92">
        <f t="shared" si="26"/>
        <v>4.7196297070917417E-105</v>
      </c>
      <c r="BV44" s="2">
        <v>7.86</v>
      </c>
      <c r="BW44" s="95">
        <v>49</v>
      </c>
    </row>
    <row r="45" spans="1:75" s="4" customFormat="1" ht="15.6" x14ac:dyDescent="0.3">
      <c r="A45" s="39" t="s">
        <v>133</v>
      </c>
      <c r="B45" s="47" t="s">
        <v>171</v>
      </c>
      <c r="C45" s="43"/>
      <c r="D45" s="52"/>
      <c r="E45" s="53"/>
      <c r="F45" s="43" t="s">
        <v>172</v>
      </c>
      <c r="G45" s="45">
        <v>13</v>
      </c>
      <c r="H45" s="35">
        <f t="shared" si="0"/>
        <v>0.78</v>
      </c>
      <c r="I45" s="45">
        <v>28</v>
      </c>
      <c r="J45" s="35">
        <f t="shared" si="1"/>
        <v>0.14000000000000001</v>
      </c>
      <c r="K45" s="44">
        <v>1</v>
      </c>
      <c r="L45" s="35">
        <f t="shared" si="2"/>
        <v>0.08</v>
      </c>
      <c r="M45" s="45"/>
      <c r="N45" s="35">
        <f t="shared" si="3"/>
        <v>0</v>
      </c>
      <c r="O45" s="45"/>
      <c r="P45" s="35">
        <f t="shared" si="4"/>
        <v>0</v>
      </c>
      <c r="Q45" s="7">
        <f t="shared" si="5"/>
        <v>200</v>
      </c>
      <c r="R45" s="54">
        <v>274.16000000000003</v>
      </c>
      <c r="S45" s="59" t="s">
        <v>106</v>
      </c>
      <c r="T45" s="54">
        <v>27.67</v>
      </c>
      <c r="U45" s="59" t="s">
        <v>106</v>
      </c>
      <c r="V45" s="54">
        <v>8.8099999999999998E-2</v>
      </c>
      <c r="W45" s="59" t="s">
        <v>106</v>
      </c>
      <c r="X45" s="54">
        <v>5.2370000000000001</v>
      </c>
      <c r="Y45" s="59" t="s">
        <v>106</v>
      </c>
      <c r="Z45" s="71">
        <f>73.3</f>
        <v>73.3</v>
      </c>
      <c r="AA45" s="61" t="s">
        <v>106</v>
      </c>
      <c r="AB45" s="40">
        <f t="shared" si="33"/>
        <v>5.638461538461538</v>
      </c>
      <c r="AC45" s="8">
        <f t="shared" si="7"/>
        <v>43.132199999999997</v>
      </c>
      <c r="AD45" s="7">
        <f t="shared" si="8"/>
        <v>44.900000000000006</v>
      </c>
      <c r="AE45" s="7">
        <f t="shared" si="9"/>
        <v>42.793600000000005</v>
      </c>
      <c r="AF45" s="3">
        <f t="shared" si="10"/>
        <v>43.608600000000003</v>
      </c>
      <c r="AG45" s="7">
        <f t="shared" si="11"/>
        <v>0.56556342703537787</v>
      </c>
      <c r="AH45" s="45"/>
      <c r="AI45" s="12">
        <f t="shared" si="12"/>
        <v>0.14000000000000001</v>
      </c>
      <c r="AJ45" s="45"/>
      <c r="AK45" s="8">
        <f t="shared" si="29"/>
        <v>40.1614</v>
      </c>
      <c r="AL45" s="7">
        <f t="shared" si="13"/>
        <v>41.929200000000009</v>
      </c>
      <c r="AM45" s="7">
        <f t="shared" si="24"/>
        <v>39.822800000000008</v>
      </c>
      <c r="AN45" s="3">
        <f t="shared" si="14"/>
        <v>40.637800000000006</v>
      </c>
      <c r="AO45" s="7">
        <f t="shared" si="15"/>
        <v>0.56556342703537787</v>
      </c>
      <c r="AP45" s="64">
        <f t="shared" si="25"/>
        <v>0</v>
      </c>
      <c r="AQ45" s="8">
        <f t="shared" si="16"/>
        <v>1.0629122272957889</v>
      </c>
      <c r="AR45" s="68">
        <f>R45+273.15</f>
        <v>547.30999999999995</v>
      </c>
      <c r="AS45" s="14">
        <f t="shared" si="18"/>
        <v>403.36886013249341</v>
      </c>
      <c r="AT45" s="68">
        <f>(R45*9/5)+32</f>
        <v>525.48800000000006</v>
      </c>
      <c r="AU45" s="7">
        <f t="shared" si="20"/>
        <v>239.90830400000004</v>
      </c>
      <c r="AV45" s="8">
        <f t="shared" si="21"/>
        <v>130.21886013249343</v>
      </c>
      <c r="AW45" s="7">
        <f t="shared" si="22"/>
        <v>115.50461333333335</v>
      </c>
      <c r="AX45" s="69">
        <f t="shared" si="30"/>
        <v>130.21886013249343</v>
      </c>
      <c r="AY45" s="43" t="s">
        <v>193</v>
      </c>
      <c r="AZ45" s="15">
        <v>0.82</v>
      </c>
      <c r="BA45" s="42" t="s">
        <v>193</v>
      </c>
      <c r="BB45" s="8">
        <v>18.66</v>
      </c>
      <c r="BC45" s="42" t="s">
        <v>193</v>
      </c>
      <c r="BD45" s="67">
        <v>47.67</v>
      </c>
      <c r="BE45" s="42"/>
      <c r="BF45" s="67">
        <v>44.516784999999999</v>
      </c>
      <c r="BG45" s="42"/>
      <c r="BH45" s="7"/>
      <c r="BI45" s="67">
        <v>92.521125999999995</v>
      </c>
      <c r="BJ45" s="42"/>
      <c r="BK45" s="7"/>
      <c r="BL45" s="67">
        <f t="shared" si="27"/>
        <v>-48.004340999999997</v>
      </c>
      <c r="BM45" s="43"/>
      <c r="BN45" s="11"/>
      <c r="BO45" s="11">
        <f t="shared" si="28"/>
        <v>68.518955500000004</v>
      </c>
      <c r="BP45" s="11"/>
      <c r="BQ45" s="11"/>
      <c r="BR45" s="47"/>
      <c r="BS45" s="11"/>
      <c r="BT45" s="11"/>
      <c r="BU45" s="92">
        <f t="shared" si="26"/>
        <v>1.2125671254450944E-106</v>
      </c>
      <c r="BV45" s="2">
        <v>45</v>
      </c>
      <c r="BW45" s="95">
        <v>360</v>
      </c>
    </row>
    <row r="46" spans="1:75" s="4" customFormat="1" ht="15.6" x14ac:dyDescent="0.3">
      <c r="A46" s="39" t="s">
        <v>134</v>
      </c>
      <c r="B46" s="47" t="s">
        <v>173</v>
      </c>
      <c r="C46" s="43"/>
      <c r="D46" s="52"/>
      <c r="E46" s="53"/>
      <c r="F46" s="43" t="s">
        <v>172</v>
      </c>
      <c r="G46" s="45">
        <v>13</v>
      </c>
      <c r="H46" s="35">
        <f t="shared" si="0"/>
        <v>0.78</v>
      </c>
      <c r="I46" s="45">
        <v>28</v>
      </c>
      <c r="J46" s="35">
        <f t="shared" si="1"/>
        <v>0.14000000000000001</v>
      </c>
      <c r="K46" s="44">
        <v>1</v>
      </c>
      <c r="L46" s="35">
        <f t="shared" si="2"/>
        <v>0.08</v>
      </c>
      <c r="M46" s="45"/>
      <c r="N46" s="35">
        <f t="shared" si="3"/>
        <v>0</v>
      </c>
      <c r="O46" s="45"/>
      <c r="P46" s="35">
        <f t="shared" si="4"/>
        <v>0</v>
      </c>
      <c r="Q46" s="7">
        <f t="shared" si="5"/>
        <v>200</v>
      </c>
      <c r="R46" s="54">
        <v>274.16000000000003</v>
      </c>
      <c r="S46" s="59" t="s">
        <v>106</v>
      </c>
      <c r="T46" s="54">
        <v>27.67</v>
      </c>
      <c r="U46" s="59" t="s">
        <v>106</v>
      </c>
      <c r="V46" s="54">
        <v>8.8099999999999998E-2</v>
      </c>
      <c r="W46" s="59" t="s">
        <v>106</v>
      </c>
      <c r="X46" s="54">
        <v>5.2370000000000001</v>
      </c>
      <c r="Y46" s="59" t="s">
        <v>106</v>
      </c>
      <c r="Z46" s="71">
        <f>73.3</f>
        <v>73.3</v>
      </c>
      <c r="AA46" s="61" t="s">
        <v>106</v>
      </c>
      <c r="AB46" s="40">
        <f t="shared" si="33"/>
        <v>5.638461538461538</v>
      </c>
      <c r="AC46" s="8">
        <f t="shared" si="7"/>
        <v>43.132199999999997</v>
      </c>
      <c r="AD46" s="7">
        <f t="shared" si="8"/>
        <v>44.900000000000006</v>
      </c>
      <c r="AE46" s="7">
        <f t="shared" si="9"/>
        <v>42.793600000000005</v>
      </c>
      <c r="AF46" s="3">
        <f t="shared" si="10"/>
        <v>43.608600000000003</v>
      </c>
      <c r="AG46" s="7">
        <f t="shared" si="11"/>
        <v>0.56556342703537787</v>
      </c>
      <c r="AH46" s="45"/>
      <c r="AI46" s="12">
        <f t="shared" si="12"/>
        <v>0.14000000000000001</v>
      </c>
      <c r="AJ46" s="45"/>
      <c r="AK46" s="8">
        <f t="shared" si="29"/>
        <v>40.1614</v>
      </c>
      <c r="AL46" s="7">
        <f t="shared" si="13"/>
        <v>41.929200000000009</v>
      </c>
      <c r="AM46" s="7">
        <f t="shared" si="24"/>
        <v>39.822800000000008</v>
      </c>
      <c r="AN46" s="3">
        <f t="shared" si="14"/>
        <v>40.637800000000006</v>
      </c>
      <c r="AO46" s="7">
        <f t="shared" si="15"/>
        <v>0.56556342703537787</v>
      </c>
      <c r="AP46" s="64">
        <f t="shared" si="25"/>
        <v>0</v>
      </c>
      <c r="AQ46" s="8">
        <f t="shared" si="16"/>
        <v>1.0629122272957889</v>
      </c>
      <c r="AR46" s="68">
        <f>R46+273.15</f>
        <v>547.30999999999995</v>
      </c>
      <c r="AS46" s="14">
        <f t="shared" si="18"/>
        <v>403.36886013249341</v>
      </c>
      <c r="AT46" s="68">
        <f>(R46*9/5)+32</f>
        <v>525.48800000000006</v>
      </c>
      <c r="AU46" s="7">
        <f t="shared" si="20"/>
        <v>239.90830400000004</v>
      </c>
      <c r="AV46" s="8">
        <f t="shared" si="21"/>
        <v>130.21886013249343</v>
      </c>
      <c r="AW46" s="7">
        <f t="shared" si="22"/>
        <v>115.50461333333335</v>
      </c>
      <c r="AX46" s="69">
        <f t="shared" si="30"/>
        <v>130.21886013249343</v>
      </c>
      <c r="AY46" s="43" t="s">
        <v>193</v>
      </c>
      <c r="AZ46" s="15">
        <v>0.83</v>
      </c>
      <c r="BA46" s="42" t="s">
        <v>193</v>
      </c>
      <c r="BB46" s="8">
        <v>18.649999999999999</v>
      </c>
      <c r="BC46" s="42" t="s">
        <v>193</v>
      </c>
      <c r="BD46" s="67">
        <v>47.59</v>
      </c>
      <c r="BE46" s="42"/>
      <c r="BF46" s="67">
        <v>62.108024999999998</v>
      </c>
      <c r="BG46" s="42"/>
      <c r="BH46" s="7"/>
      <c r="BI46" s="67">
        <v>82.439064000000002</v>
      </c>
      <c r="BJ46" s="42"/>
      <c r="BK46" s="7"/>
      <c r="BL46" s="67">
        <f t="shared" si="27"/>
        <v>-20.331039000000004</v>
      </c>
      <c r="BM46" s="43"/>
      <c r="BN46" s="11"/>
      <c r="BO46" s="11">
        <f t="shared" si="28"/>
        <v>72.2735445</v>
      </c>
      <c r="BP46" s="11"/>
      <c r="BQ46" s="11"/>
      <c r="BR46" s="47"/>
      <c r="BS46" s="11"/>
      <c r="BT46" s="11"/>
      <c r="BU46" s="92">
        <f t="shared" si="26"/>
        <v>1.2125671254450944E-106</v>
      </c>
      <c r="BV46" s="2">
        <v>45</v>
      </c>
      <c r="BW46" s="95">
        <v>360</v>
      </c>
    </row>
    <row r="47" spans="1:75" s="4" customFormat="1" ht="15.6" x14ac:dyDescent="0.3">
      <c r="A47" s="39" t="s">
        <v>135</v>
      </c>
      <c r="B47" s="47" t="s">
        <v>174</v>
      </c>
      <c r="C47" s="43"/>
      <c r="D47" s="52"/>
      <c r="E47" s="53"/>
      <c r="F47" s="43" t="s">
        <v>175</v>
      </c>
      <c r="G47" s="45">
        <v>14</v>
      </c>
      <c r="H47" s="35">
        <f t="shared" si="0"/>
        <v>0.78504672897196259</v>
      </c>
      <c r="I47" s="45">
        <v>30</v>
      </c>
      <c r="J47" s="35">
        <f t="shared" si="1"/>
        <v>0.14018691588785046</v>
      </c>
      <c r="K47" s="44">
        <v>1</v>
      </c>
      <c r="L47" s="35">
        <f t="shared" si="2"/>
        <v>7.476635514018691E-2</v>
      </c>
      <c r="M47" s="45"/>
      <c r="N47" s="35">
        <f t="shared" si="3"/>
        <v>0</v>
      </c>
      <c r="O47" s="45"/>
      <c r="P47" s="35">
        <f t="shared" si="4"/>
        <v>0</v>
      </c>
      <c r="Q47" s="7">
        <f t="shared" si="5"/>
        <v>214</v>
      </c>
      <c r="R47" s="54">
        <v>289.89999999999998</v>
      </c>
      <c r="S47" s="59">
        <v>289</v>
      </c>
      <c r="T47" s="54">
        <v>29.05</v>
      </c>
      <c r="U47" s="56">
        <v>38</v>
      </c>
      <c r="V47" s="54">
        <v>2.7699999999999999E-2</v>
      </c>
      <c r="W47" s="56">
        <v>1.03E-5</v>
      </c>
      <c r="X47" s="54">
        <v>1.6859999999999999</v>
      </c>
      <c r="Y47" s="56">
        <v>0.312</v>
      </c>
      <c r="Z47" s="71">
        <f>79.7</f>
        <v>79.7</v>
      </c>
      <c r="AA47" s="61" t="s">
        <v>106</v>
      </c>
      <c r="AB47" s="40">
        <f t="shared" si="33"/>
        <v>5.6928571428571431</v>
      </c>
      <c r="AC47" s="8">
        <f t="shared" si="7"/>
        <v>43.378224299065415</v>
      </c>
      <c r="AD47" s="7">
        <f t="shared" si="8"/>
        <v>45.171962616822434</v>
      </c>
      <c r="AE47" s="7">
        <f t="shared" si="9"/>
        <v>43.050747663551398</v>
      </c>
      <c r="AF47" s="3">
        <f t="shared" si="10"/>
        <v>43.866978193146416</v>
      </c>
      <c r="AG47" s="7">
        <f t="shared" si="11"/>
        <v>0.5709747140263014</v>
      </c>
      <c r="AH47" s="45"/>
      <c r="AI47" s="12">
        <f t="shared" si="12"/>
        <v>0.14018691588785046</v>
      </c>
      <c r="AJ47" s="45"/>
      <c r="AK47" s="8">
        <f t="shared" si="29"/>
        <v>40.403457943925233</v>
      </c>
      <c r="AL47" s="7">
        <f t="shared" si="13"/>
        <v>42.197196261682251</v>
      </c>
      <c r="AM47" s="7">
        <f t="shared" si="24"/>
        <v>40.075981308411215</v>
      </c>
      <c r="AN47" s="3">
        <f t="shared" si="14"/>
        <v>40.892211838006233</v>
      </c>
      <c r="AO47" s="7">
        <f t="shared" si="15"/>
        <v>0.5709747140263014</v>
      </c>
      <c r="AP47" s="64">
        <f t="shared" si="25"/>
        <v>0</v>
      </c>
      <c r="AQ47" s="8">
        <f t="shared" si="16"/>
        <v>0.98774163130598769</v>
      </c>
      <c r="AR47" s="14">
        <f>S47+273.15</f>
        <v>562.15</v>
      </c>
      <c r="AS47" s="14">
        <f t="shared" si="18"/>
        <v>412.7508360355925</v>
      </c>
      <c r="AT47" s="14">
        <f>(S47*9/5)+32</f>
        <v>552.20000000000005</v>
      </c>
      <c r="AU47" s="7">
        <f t="shared" si="20"/>
        <v>258.15260000000006</v>
      </c>
      <c r="AV47" s="8">
        <f t="shared" si="21"/>
        <v>139.60083603559252</v>
      </c>
      <c r="AW47" s="7">
        <f t="shared" si="22"/>
        <v>125.64033333333337</v>
      </c>
      <c r="AX47" s="37">
        <f t="shared" si="30"/>
        <v>139.60083603559252</v>
      </c>
      <c r="AY47" s="43" t="s">
        <v>193</v>
      </c>
      <c r="AZ47" s="15">
        <v>0.83</v>
      </c>
      <c r="BA47" s="42" t="s">
        <v>193</v>
      </c>
      <c r="BB47" s="8">
        <v>21.36</v>
      </c>
      <c r="BC47" s="42" t="s">
        <v>193</v>
      </c>
      <c r="BD47" s="67">
        <v>51.22</v>
      </c>
      <c r="BE47" s="42"/>
      <c r="BF47" s="67">
        <v>36.862892000000002</v>
      </c>
      <c r="BG47" s="42"/>
      <c r="BH47" s="7"/>
      <c r="BI47" s="67">
        <v>93.488240000000005</v>
      </c>
      <c r="BJ47" s="42"/>
      <c r="BK47" s="7"/>
      <c r="BL47" s="67">
        <f t="shared" si="27"/>
        <v>-56.625348000000002</v>
      </c>
      <c r="BM47" s="43"/>
      <c r="BN47" s="11"/>
      <c r="BO47" s="11">
        <f t="shared" si="28"/>
        <v>65.175566000000003</v>
      </c>
      <c r="BP47" s="11"/>
      <c r="BQ47" s="11"/>
      <c r="BR47" s="47"/>
      <c r="BS47" s="11"/>
      <c r="BT47" s="11"/>
      <c r="BU47" s="92">
        <f t="shared" si="26"/>
        <v>4.7603409991298982E-107</v>
      </c>
      <c r="BV47" s="2">
        <v>12.5</v>
      </c>
      <c r="BW47" s="95">
        <v>12.5</v>
      </c>
    </row>
    <row r="48" spans="1:75" s="4" customFormat="1" ht="15.6" x14ac:dyDescent="0.3">
      <c r="A48" s="39" t="s">
        <v>136</v>
      </c>
      <c r="B48" s="47" t="s">
        <v>176</v>
      </c>
      <c r="C48" s="43"/>
      <c r="D48" s="52"/>
      <c r="E48" s="53"/>
      <c r="F48" s="43" t="s">
        <v>177</v>
      </c>
      <c r="G48" s="45">
        <v>15</v>
      </c>
      <c r="H48" s="35">
        <f t="shared" si="0"/>
        <v>0.78947368421052633</v>
      </c>
      <c r="I48" s="45">
        <v>32</v>
      </c>
      <c r="J48" s="35">
        <f t="shared" si="1"/>
        <v>0.14035087719298245</v>
      </c>
      <c r="K48" s="44">
        <v>1</v>
      </c>
      <c r="L48" s="35">
        <f t="shared" si="2"/>
        <v>7.0175438596491224E-2</v>
      </c>
      <c r="M48" s="45"/>
      <c r="N48" s="35">
        <f t="shared" si="3"/>
        <v>0</v>
      </c>
      <c r="O48" s="45"/>
      <c r="P48" s="35">
        <f t="shared" si="4"/>
        <v>0</v>
      </c>
      <c r="Q48" s="7">
        <f t="shared" si="5"/>
        <v>228</v>
      </c>
      <c r="R48" s="54">
        <v>304.75</v>
      </c>
      <c r="S48" s="59" t="s">
        <v>106</v>
      </c>
      <c r="T48" s="54">
        <v>39.67</v>
      </c>
      <c r="U48" s="59" t="s">
        <v>106</v>
      </c>
      <c r="V48" s="54">
        <v>9.7699999999999992E-3</v>
      </c>
      <c r="W48" s="59" t="s">
        <v>106</v>
      </c>
      <c r="X48" s="54">
        <v>0.54069999999999996</v>
      </c>
      <c r="Y48" s="56"/>
      <c r="Z48" s="71">
        <f>86.1</f>
        <v>86.1</v>
      </c>
      <c r="AA48" s="61" t="s">
        <v>106</v>
      </c>
      <c r="AB48" s="40">
        <f t="shared" si="33"/>
        <v>5.7399999999999993</v>
      </c>
      <c r="AC48" s="8">
        <f t="shared" si="7"/>
        <v>43.594035087719305</v>
      </c>
      <c r="AD48" s="7">
        <f t="shared" si="8"/>
        <v>45.410526315789468</v>
      </c>
      <c r="AE48" s="7">
        <f t="shared" si="9"/>
        <v>43.276315789473685</v>
      </c>
      <c r="AF48" s="3">
        <f t="shared" si="10"/>
        <v>44.093625730994155</v>
      </c>
      <c r="AG48" s="7">
        <f t="shared" si="11"/>
        <v>0.57574012166842803</v>
      </c>
      <c r="AH48" s="45"/>
      <c r="AI48" s="12">
        <f t="shared" si="12"/>
        <v>0.14035087719298245</v>
      </c>
      <c r="AJ48" s="45"/>
      <c r="AK48" s="8">
        <f t="shared" si="29"/>
        <v>40.615789473684217</v>
      </c>
      <c r="AL48" s="7">
        <f t="shared" si="13"/>
        <v>42.432280701754379</v>
      </c>
      <c r="AM48" s="7">
        <f t="shared" si="24"/>
        <v>40.298070175438596</v>
      </c>
      <c r="AN48" s="3">
        <f t="shared" si="14"/>
        <v>41.115380116959066</v>
      </c>
      <c r="AO48" s="7">
        <f t="shared" si="15"/>
        <v>0.57574012166842803</v>
      </c>
      <c r="AP48" s="64">
        <f t="shared" si="25"/>
        <v>0</v>
      </c>
      <c r="AQ48" s="8">
        <f t="shared" si="16"/>
        <v>0.92250110083663572</v>
      </c>
      <c r="AR48" s="68">
        <f>R48+273.15</f>
        <v>577.9</v>
      </c>
      <c r="AS48" s="14">
        <f t="shared" si="18"/>
        <v>422.83639350696831</v>
      </c>
      <c r="AT48" s="68">
        <f>(R48*9/5)+32</f>
        <v>580.54999999999995</v>
      </c>
      <c r="AU48" s="7">
        <f t="shared" si="20"/>
        <v>277.51564999999999</v>
      </c>
      <c r="AV48" s="8">
        <f t="shared" si="21"/>
        <v>149.68639350696833</v>
      </c>
      <c r="AW48" s="7">
        <f t="shared" si="22"/>
        <v>136.39758333333333</v>
      </c>
      <c r="AX48" s="69">
        <f t="shared" si="30"/>
        <v>149.68639350696833</v>
      </c>
      <c r="AY48" s="43" t="s">
        <v>193</v>
      </c>
      <c r="AZ48" s="15">
        <v>0.82</v>
      </c>
      <c r="BA48" s="42" t="s">
        <v>193</v>
      </c>
      <c r="BB48" s="8">
        <v>24.02</v>
      </c>
      <c r="BC48" s="42" t="s">
        <v>193</v>
      </c>
      <c r="BD48" s="67">
        <v>54.49</v>
      </c>
      <c r="BE48" s="42"/>
      <c r="BF48" s="67">
        <v>59.725383999999998</v>
      </c>
      <c r="BG48" s="42"/>
      <c r="BH48" s="7"/>
      <c r="BI48" s="67">
        <v>94.096969999999999</v>
      </c>
      <c r="BJ48" s="42"/>
      <c r="BK48" s="7"/>
      <c r="BL48" s="67">
        <f t="shared" si="27"/>
        <v>-34.371586000000001</v>
      </c>
      <c r="BM48" s="43"/>
      <c r="BN48" s="11"/>
      <c r="BO48" s="11">
        <f t="shared" si="28"/>
        <v>76.911176999999995</v>
      </c>
      <c r="BP48" s="11"/>
      <c r="BQ48" s="11"/>
      <c r="BR48" s="47"/>
      <c r="BS48" s="11"/>
      <c r="BT48" s="11"/>
      <c r="BU48" s="92">
        <f t="shared" ref="BU48" si="34">(AX48+273)^(-1/0.0246)</f>
        <v>1.783569032123433E-107</v>
      </c>
      <c r="BV48" s="2">
        <v>7.3</v>
      </c>
      <c r="BW48" s="95">
        <v>61</v>
      </c>
    </row>
    <row r="49" spans="1:67" x14ac:dyDescent="0.3">
      <c r="Y49" s="59" t="s">
        <v>106</v>
      </c>
      <c r="BL49" s="21"/>
      <c r="BO49" s="11"/>
    </row>
    <row r="53" spans="1:67" x14ac:dyDescent="0.3">
      <c r="A53" s="48" t="s">
        <v>182</v>
      </c>
    </row>
    <row r="54" spans="1:67" x14ac:dyDescent="0.3">
      <c r="A54" s="46" t="s">
        <v>185</v>
      </c>
    </row>
    <row r="55" spans="1:67" x14ac:dyDescent="0.3">
      <c r="A55" s="60" t="s">
        <v>183</v>
      </c>
    </row>
    <row r="56" spans="1:67" x14ac:dyDescent="0.3">
      <c r="A56" s="66" t="s">
        <v>189</v>
      </c>
    </row>
    <row r="57" spans="1:67" x14ac:dyDescent="0.3">
      <c r="AU57" s="15" t="s">
        <v>191</v>
      </c>
      <c r="AV57" s="15" t="s">
        <v>192</v>
      </c>
      <c r="AW57" s="15" t="s">
        <v>194</v>
      </c>
      <c r="AX57" s="15" t="s">
        <v>195</v>
      </c>
      <c r="AY57" s="15" t="s">
        <v>196</v>
      </c>
      <c r="AZ57" s="15" t="s">
        <v>197</v>
      </c>
      <c r="BA57" s="15" t="s">
        <v>196</v>
      </c>
    </row>
    <row r="58" spans="1:67" x14ac:dyDescent="0.3">
      <c r="AU58" s="15">
        <v>1</v>
      </c>
      <c r="AV58" s="15" t="s">
        <v>198</v>
      </c>
      <c r="AW58" s="15">
        <v>0.31</v>
      </c>
      <c r="AX58" s="15">
        <v>0.3</v>
      </c>
      <c r="AY58" s="15">
        <v>2.04</v>
      </c>
      <c r="AZ58" s="15">
        <v>1.99</v>
      </c>
      <c r="BA58" s="15">
        <v>2.04</v>
      </c>
    </row>
    <row r="59" spans="1:67" x14ac:dyDescent="0.3">
      <c r="AU59" s="15">
        <v>2</v>
      </c>
      <c r="AV59" s="15" t="s">
        <v>199</v>
      </c>
      <c r="AW59" s="15">
        <v>0.56000000000000005</v>
      </c>
      <c r="AX59" s="15">
        <v>0.4</v>
      </c>
      <c r="AY59" s="15">
        <v>3.65</v>
      </c>
      <c r="AZ59" s="15">
        <v>2.54</v>
      </c>
      <c r="BA59" s="15">
        <v>3.65</v>
      </c>
    </row>
    <row r="60" spans="1:67" x14ac:dyDescent="0.3">
      <c r="AU60" s="15">
        <v>3</v>
      </c>
      <c r="AV60" s="15" t="s">
        <v>200</v>
      </c>
      <c r="AW60" s="15">
        <v>0.57999999999999996</v>
      </c>
      <c r="AX60" s="15">
        <v>0.51</v>
      </c>
      <c r="AY60" s="15">
        <v>3.78</v>
      </c>
      <c r="AZ60" s="15">
        <v>3.23</v>
      </c>
      <c r="BA60" s="15">
        <v>3.78</v>
      </c>
    </row>
    <row r="61" spans="1:67" x14ac:dyDescent="0.3">
      <c r="AU61" s="15">
        <v>4</v>
      </c>
      <c r="AV61" s="15" t="s">
        <v>201</v>
      </c>
      <c r="AW61" s="15">
        <v>0.51</v>
      </c>
      <c r="AX61" s="15">
        <v>0.5</v>
      </c>
      <c r="AY61" s="15">
        <v>3.22</v>
      </c>
      <c r="AZ61" s="15">
        <v>3.17</v>
      </c>
      <c r="BA61" s="15">
        <v>3.22</v>
      </c>
    </row>
    <row r="62" spans="1:67" x14ac:dyDescent="0.3">
      <c r="AU62" s="15">
        <v>5</v>
      </c>
      <c r="AV62" s="15" t="s">
        <v>202</v>
      </c>
      <c r="AW62" s="15">
        <v>0.57999999999999996</v>
      </c>
      <c r="AX62" s="15">
        <v>0.51</v>
      </c>
      <c r="AY62" s="15">
        <v>3.85</v>
      </c>
      <c r="AZ62" s="15">
        <v>3.22</v>
      </c>
      <c r="BA62" s="15">
        <v>3.85</v>
      </c>
    </row>
    <row r="63" spans="1:67" x14ac:dyDescent="0.3">
      <c r="AU63" s="15">
        <v>6</v>
      </c>
      <c r="AV63" s="15" t="s">
        <v>203</v>
      </c>
      <c r="AW63" s="15">
        <v>0.61</v>
      </c>
      <c r="AX63" s="15">
        <v>0.54</v>
      </c>
      <c r="AY63" s="15">
        <v>4.07</v>
      </c>
      <c r="AZ63" s="15">
        <v>3.47</v>
      </c>
      <c r="BA63" s="15">
        <v>4.07</v>
      </c>
    </row>
    <row r="64" spans="1:67" x14ac:dyDescent="0.3">
      <c r="AU64" s="15">
        <v>7</v>
      </c>
      <c r="AV64" s="15" t="s">
        <v>204</v>
      </c>
      <c r="AW64" s="15" t="s">
        <v>193</v>
      </c>
      <c r="AX64" s="15">
        <v>0.59</v>
      </c>
      <c r="AY64" s="15" t="s">
        <v>193</v>
      </c>
      <c r="AZ64" s="15">
        <v>3.93</v>
      </c>
      <c r="BA64" s="15" t="s">
        <v>193</v>
      </c>
    </row>
    <row r="65" spans="47:53" x14ac:dyDescent="0.3">
      <c r="AU65" s="15">
        <v>8</v>
      </c>
      <c r="AV65" s="15" t="s">
        <v>205</v>
      </c>
      <c r="AW65" s="15" t="s">
        <v>193</v>
      </c>
      <c r="AX65" s="15">
        <v>0.55000000000000004</v>
      </c>
      <c r="AY65" s="15" t="s">
        <v>193</v>
      </c>
      <c r="AZ65" s="15">
        <v>3.53</v>
      </c>
      <c r="BA65" s="15" t="s">
        <v>193</v>
      </c>
    </row>
    <row r="66" spans="47:53" x14ac:dyDescent="0.3">
      <c r="AU66" s="15">
        <v>9</v>
      </c>
      <c r="AV66" s="15" t="s">
        <v>206</v>
      </c>
      <c r="AW66" s="15" t="s">
        <v>193</v>
      </c>
      <c r="AX66" s="15">
        <v>0.6</v>
      </c>
      <c r="AY66" s="15" t="s">
        <v>193</v>
      </c>
      <c r="AZ66" s="15">
        <v>3.97</v>
      </c>
      <c r="BA66" s="15" t="s">
        <v>193</v>
      </c>
    </row>
    <row r="67" spans="47:53" x14ac:dyDescent="0.3">
      <c r="AU67" s="15">
        <v>10</v>
      </c>
      <c r="AV67" s="15" t="s">
        <v>207</v>
      </c>
      <c r="AW67" s="15" t="s">
        <v>193</v>
      </c>
      <c r="AX67" s="15">
        <v>0.42</v>
      </c>
      <c r="AY67" s="15" t="s">
        <v>193</v>
      </c>
      <c r="AZ67" s="15">
        <v>2.63</v>
      </c>
      <c r="BA67" s="15" t="s">
        <v>193</v>
      </c>
    </row>
    <row r="68" spans="47:53" x14ac:dyDescent="0.3">
      <c r="AU68" s="15">
        <v>11</v>
      </c>
      <c r="AV68" s="15" t="s">
        <v>208</v>
      </c>
      <c r="AW68" s="15" t="s">
        <v>193</v>
      </c>
      <c r="AX68" s="15">
        <v>0.5</v>
      </c>
      <c r="AY68" s="15" t="s">
        <v>193</v>
      </c>
      <c r="AZ68" s="15">
        <v>3.14</v>
      </c>
      <c r="BA68" s="15" t="s">
        <v>193</v>
      </c>
    </row>
    <row r="69" spans="47:53" x14ac:dyDescent="0.3">
      <c r="AU69" s="15">
        <v>12</v>
      </c>
      <c r="AV69" s="15" t="s">
        <v>209</v>
      </c>
      <c r="AW69" s="15" t="s">
        <v>193</v>
      </c>
      <c r="AX69" s="15">
        <v>0.51</v>
      </c>
      <c r="AY69" s="15" t="s">
        <v>193</v>
      </c>
      <c r="AZ69" s="15">
        <v>3.26</v>
      </c>
      <c r="BA69" s="15" t="s">
        <v>193</v>
      </c>
    </row>
    <row r="70" spans="47:53" x14ac:dyDescent="0.3">
      <c r="AU70" s="15">
        <v>13</v>
      </c>
      <c r="AV70" s="15" t="s">
        <v>210</v>
      </c>
      <c r="AW70" s="15">
        <v>0.55000000000000004</v>
      </c>
      <c r="AX70" s="15">
        <v>0.56000000000000005</v>
      </c>
      <c r="AY70" s="15">
        <v>3.52</v>
      </c>
      <c r="AZ70" s="15">
        <v>3.62</v>
      </c>
      <c r="BA70" s="15">
        <v>3.52</v>
      </c>
    </row>
    <row r="71" spans="47:53" x14ac:dyDescent="0.3">
      <c r="AU71" s="15">
        <v>14</v>
      </c>
      <c r="AV71" s="15" t="s">
        <v>211</v>
      </c>
      <c r="AW71" s="15" t="s">
        <v>193</v>
      </c>
      <c r="AX71" s="15">
        <v>0.49</v>
      </c>
      <c r="AY71" s="15" t="s">
        <v>193</v>
      </c>
      <c r="AZ71" s="15">
        <v>3.06</v>
      </c>
      <c r="BA71" s="15" t="s">
        <v>193</v>
      </c>
    </row>
    <row r="72" spans="47:53" x14ac:dyDescent="0.3">
      <c r="AU72" s="15">
        <v>15</v>
      </c>
      <c r="AV72" s="15" t="s">
        <v>212</v>
      </c>
      <c r="AW72" s="15">
        <v>0.57999999999999996</v>
      </c>
      <c r="AX72" s="15">
        <v>0.52</v>
      </c>
      <c r="AY72" s="15">
        <v>3.81</v>
      </c>
      <c r="AZ72" s="15">
        <v>3.31</v>
      </c>
      <c r="BA72" s="15">
        <v>3.81</v>
      </c>
    </row>
    <row r="73" spans="47:53" x14ac:dyDescent="0.3">
      <c r="AU73" s="15">
        <v>16</v>
      </c>
      <c r="AV73" s="15" t="s">
        <v>213</v>
      </c>
      <c r="AW73" s="15" t="s">
        <v>193</v>
      </c>
      <c r="AX73" s="15">
        <v>0.5</v>
      </c>
      <c r="AY73" s="15" t="s">
        <v>193</v>
      </c>
      <c r="AZ73" s="15">
        <v>3.19</v>
      </c>
      <c r="BA73" s="15" t="s">
        <v>193</v>
      </c>
    </row>
    <row r="74" spans="47:53" x14ac:dyDescent="0.3">
      <c r="AU74" s="15">
        <v>17</v>
      </c>
      <c r="AV74" s="15" t="s">
        <v>214</v>
      </c>
      <c r="AW74" s="15">
        <v>0.89</v>
      </c>
      <c r="AX74" s="15">
        <v>0.44</v>
      </c>
      <c r="AY74" s="15">
        <v>7.69</v>
      </c>
      <c r="AZ74" s="15">
        <v>2.76</v>
      </c>
      <c r="BA74" s="15">
        <v>7.69</v>
      </c>
    </row>
    <row r="75" spans="47:53" x14ac:dyDescent="0.3">
      <c r="AU75" s="15">
        <v>18</v>
      </c>
      <c r="AV75" s="15" t="s">
        <v>215</v>
      </c>
      <c r="AW75" s="15">
        <v>0.89</v>
      </c>
      <c r="AX75" s="15">
        <v>0.54</v>
      </c>
      <c r="AY75" s="15">
        <v>7.73</v>
      </c>
      <c r="AZ75" s="15">
        <v>3.48</v>
      </c>
      <c r="BA75" s="15">
        <v>7.73</v>
      </c>
    </row>
    <row r="76" spans="47:53" x14ac:dyDescent="0.3">
      <c r="AU76" s="15">
        <v>19</v>
      </c>
      <c r="AV76" s="15" t="s">
        <v>216</v>
      </c>
      <c r="AW76" s="15" t="s">
        <v>193</v>
      </c>
      <c r="AX76" s="15">
        <v>0.62</v>
      </c>
      <c r="AY76" s="15" t="s">
        <v>193</v>
      </c>
      <c r="AZ76" s="15">
        <v>4.13</v>
      </c>
      <c r="BA76" s="15" t="s">
        <v>193</v>
      </c>
    </row>
    <row r="77" spans="47:53" x14ac:dyDescent="0.3">
      <c r="AU77" s="15">
        <v>20</v>
      </c>
      <c r="AV77" s="15" t="s">
        <v>217</v>
      </c>
      <c r="AW77" s="15" t="s">
        <v>193</v>
      </c>
      <c r="AX77" s="15">
        <v>0.61</v>
      </c>
      <c r="AY77" s="15" t="s">
        <v>193</v>
      </c>
      <c r="AZ77" s="15">
        <v>4.0999999999999996</v>
      </c>
      <c r="BA77" s="15" t="s">
        <v>193</v>
      </c>
    </row>
    <row r="78" spans="47:53" x14ac:dyDescent="0.3">
      <c r="AU78" s="15">
        <v>21</v>
      </c>
      <c r="AV78" s="15" t="s">
        <v>218</v>
      </c>
      <c r="AW78" s="15" t="s">
        <v>193</v>
      </c>
      <c r="AX78" s="15">
        <v>0.59</v>
      </c>
      <c r="AY78" s="15" t="s">
        <v>193</v>
      </c>
      <c r="AZ78" s="15">
        <v>3.92</v>
      </c>
      <c r="BA78" s="15" t="s">
        <v>193</v>
      </c>
    </row>
    <row r="79" spans="47:53" x14ac:dyDescent="0.3">
      <c r="AU79" s="15">
        <v>22</v>
      </c>
      <c r="AV79" s="15" t="s">
        <v>219</v>
      </c>
      <c r="AW79" s="15" t="s">
        <v>193</v>
      </c>
      <c r="AX79" s="15">
        <v>0.5</v>
      </c>
      <c r="AY79" s="15" t="s">
        <v>193</v>
      </c>
      <c r="AZ79" s="15">
        <v>3.18</v>
      </c>
      <c r="BA79" s="15" t="s">
        <v>193</v>
      </c>
    </row>
    <row r="80" spans="47:53" x14ac:dyDescent="0.3">
      <c r="AU80" s="15">
        <v>23</v>
      </c>
      <c r="AV80" s="15" t="s">
        <v>220</v>
      </c>
      <c r="AW80" s="15" t="s">
        <v>193</v>
      </c>
      <c r="AX80" s="15">
        <v>0.63</v>
      </c>
      <c r="AY80" s="15" t="s">
        <v>193</v>
      </c>
      <c r="AZ80" s="15">
        <v>4.22</v>
      </c>
      <c r="BA80" s="15" t="s">
        <v>193</v>
      </c>
    </row>
    <row r="81" spans="47:53" x14ac:dyDescent="0.3">
      <c r="AU81" s="15">
        <v>24</v>
      </c>
      <c r="AV81" s="15" t="s">
        <v>221</v>
      </c>
      <c r="AW81" s="15" t="s">
        <v>193</v>
      </c>
      <c r="AX81" s="15">
        <v>0.73</v>
      </c>
      <c r="AY81" s="15" t="s">
        <v>193</v>
      </c>
      <c r="AZ81" s="15">
        <v>5.36</v>
      </c>
      <c r="BA81" s="15" t="s">
        <v>193</v>
      </c>
    </row>
    <row r="82" spans="47:53" x14ac:dyDescent="0.3">
      <c r="AU82" s="15">
        <v>25</v>
      </c>
      <c r="AV82" s="15" t="s">
        <v>222</v>
      </c>
      <c r="AW82" s="15" t="s">
        <v>193</v>
      </c>
      <c r="AX82" s="15">
        <v>0.77</v>
      </c>
      <c r="AY82" s="15" t="s">
        <v>193</v>
      </c>
      <c r="AZ82" s="15">
        <v>5.89</v>
      </c>
      <c r="BA82" s="15" t="s">
        <v>193</v>
      </c>
    </row>
    <row r="83" spans="47:53" x14ac:dyDescent="0.3">
      <c r="AU83" s="15">
        <v>26</v>
      </c>
      <c r="AV83" s="15" t="s">
        <v>223</v>
      </c>
      <c r="AW83" s="15" t="s">
        <v>193</v>
      </c>
      <c r="AX83" s="15">
        <v>0.71</v>
      </c>
      <c r="AY83" s="15" t="s">
        <v>193</v>
      </c>
      <c r="AZ83" s="15">
        <v>5.08</v>
      </c>
      <c r="BA83" s="15" t="s">
        <v>193</v>
      </c>
    </row>
    <row r="84" spans="47:53" x14ac:dyDescent="0.3">
      <c r="AU84" s="15">
        <v>27</v>
      </c>
      <c r="AV84" s="15" t="s">
        <v>224</v>
      </c>
      <c r="AW84" s="15" t="s">
        <v>193</v>
      </c>
      <c r="AX84" s="15">
        <v>0.7</v>
      </c>
      <c r="AY84" s="15" t="s">
        <v>193</v>
      </c>
      <c r="AZ84" s="15">
        <v>4.9800000000000004</v>
      </c>
      <c r="BA84" s="15" t="s">
        <v>193</v>
      </c>
    </row>
    <row r="85" spans="47:53" x14ac:dyDescent="0.3">
      <c r="AU85" s="15">
        <v>28</v>
      </c>
      <c r="AV85" s="15" t="s">
        <v>225</v>
      </c>
      <c r="AW85" s="15" t="s">
        <v>193</v>
      </c>
      <c r="AX85" s="15">
        <v>1</v>
      </c>
      <c r="AY85" s="15" t="s">
        <v>193</v>
      </c>
      <c r="AZ85" s="15">
        <v>10.11</v>
      </c>
      <c r="BA85" s="15" t="s">
        <v>193</v>
      </c>
    </row>
    <row r="86" spans="47:53" x14ac:dyDescent="0.3">
      <c r="AU86" s="15">
        <v>29</v>
      </c>
      <c r="AV86" s="15" t="s">
        <v>226</v>
      </c>
      <c r="AW86" s="15" t="s">
        <v>193</v>
      </c>
      <c r="AX86" s="15">
        <v>0.94</v>
      </c>
      <c r="AY86" s="15" t="s">
        <v>193</v>
      </c>
      <c r="AZ86" s="15">
        <v>8.8000000000000007</v>
      </c>
      <c r="BA86" s="15" t="s">
        <v>193</v>
      </c>
    </row>
    <row r="87" spans="47:53" x14ac:dyDescent="0.3">
      <c r="AU87" s="15">
        <v>30</v>
      </c>
      <c r="AV87" s="15" t="s">
        <v>227</v>
      </c>
      <c r="AW87" s="15" t="s">
        <v>193</v>
      </c>
      <c r="AX87" s="15">
        <v>0.99</v>
      </c>
      <c r="AY87" s="15" t="s">
        <v>193</v>
      </c>
      <c r="AZ87" s="15">
        <v>9.7200000000000006</v>
      </c>
      <c r="BA87" s="15" t="s">
        <v>193</v>
      </c>
    </row>
    <row r="88" spans="47:53" x14ac:dyDescent="0.3">
      <c r="AU88" s="15">
        <v>31</v>
      </c>
      <c r="AV88" s="15" t="s">
        <v>228</v>
      </c>
      <c r="AW88" s="15" t="s">
        <v>193</v>
      </c>
      <c r="AX88" s="15">
        <v>1</v>
      </c>
      <c r="AY88" s="15" t="s">
        <v>193</v>
      </c>
      <c r="AZ88" s="15">
        <v>9.98</v>
      </c>
      <c r="BA88" s="15" t="s">
        <v>193</v>
      </c>
    </row>
    <row r="89" spans="47:53" x14ac:dyDescent="0.3">
      <c r="AU89" s="15">
        <v>32</v>
      </c>
      <c r="AV89" s="15" t="s">
        <v>229</v>
      </c>
      <c r="AW89" s="15" t="s">
        <v>193</v>
      </c>
      <c r="AX89" s="15">
        <v>0.93</v>
      </c>
      <c r="AY89" s="15" t="s">
        <v>193</v>
      </c>
      <c r="AZ89" s="15">
        <v>8.6</v>
      </c>
      <c r="BA89" s="15" t="s">
        <v>193</v>
      </c>
    </row>
    <row r="90" spans="47:53" x14ac:dyDescent="0.3">
      <c r="AU90" s="15">
        <v>33</v>
      </c>
      <c r="AV90" s="15" t="s">
        <v>230</v>
      </c>
      <c r="AW90" s="15" t="s">
        <v>193</v>
      </c>
      <c r="AX90" s="15">
        <v>1.07</v>
      </c>
      <c r="AY90" s="15" t="s">
        <v>193</v>
      </c>
      <c r="AZ90" s="15">
        <v>11.88</v>
      </c>
      <c r="BA90" s="15" t="s">
        <v>193</v>
      </c>
    </row>
    <row r="91" spans="47:53" x14ac:dyDescent="0.3">
      <c r="AU91" s="15">
        <v>34</v>
      </c>
      <c r="AV91" s="15" t="s">
        <v>231</v>
      </c>
      <c r="AW91" s="15" t="s">
        <v>193</v>
      </c>
      <c r="AX91" s="15">
        <v>0.98</v>
      </c>
      <c r="AY91" s="15" t="s">
        <v>193</v>
      </c>
      <c r="AZ91" s="15">
        <v>9.6199999999999992</v>
      </c>
      <c r="BA91" s="15" t="s">
        <v>193</v>
      </c>
    </row>
    <row r="92" spans="47:53" x14ac:dyDescent="0.3">
      <c r="AU92" s="15">
        <v>35</v>
      </c>
      <c r="AV92" s="15" t="s">
        <v>232</v>
      </c>
      <c r="AW92" s="15" t="s">
        <v>193</v>
      </c>
      <c r="AX92" s="15">
        <v>1.05</v>
      </c>
      <c r="AY92" s="15" t="s">
        <v>193</v>
      </c>
      <c r="AZ92" s="15">
        <v>11.13</v>
      </c>
      <c r="BA92" s="15" t="s">
        <v>193</v>
      </c>
    </row>
    <row r="93" spans="47:53" x14ac:dyDescent="0.3">
      <c r="AU93" s="15">
        <v>36</v>
      </c>
      <c r="AV93" s="15" t="s">
        <v>233</v>
      </c>
      <c r="AW93" s="15" t="s">
        <v>193</v>
      </c>
      <c r="AX93" s="15">
        <v>1.0900000000000001</v>
      </c>
      <c r="AY93" s="15" t="s">
        <v>193</v>
      </c>
      <c r="AZ93" s="15">
        <v>12.17</v>
      </c>
      <c r="BA93" s="15" t="s">
        <v>193</v>
      </c>
    </row>
    <row r="94" spans="47:53" x14ac:dyDescent="0.3">
      <c r="AU94" s="15">
        <v>37</v>
      </c>
      <c r="AV94" s="15" t="s">
        <v>234</v>
      </c>
      <c r="AW94" s="15" t="s">
        <v>193</v>
      </c>
      <c r="AX94" s="15">
        <v>1.07</v>
      </c>
      <c r="AY94" s="15" t="s">
        <v>193</v>
      </c>
      <c r="AZ94" s="15">
        <v>11.75</v>
      </c>
      <c r="BA94" s="15" t="s">
        <v>193</v>
      </c>
    </row>
    <row r="95" spans="47:53" x14ac:dyDescent="0.3">
      <c r="AU95" s="15">
        <v>38</v>
      </c>
      <c r="AV95" s="15" t="s">
        <v>235</v>
      </c>
      <c r="AW95" s="15" t="s">
        <v>193</v>
      </c>
      <c r="AX95" s="15">
        <v>1.1499999999999999</v>
      </c>
      <c r="AY95" s="15" t="s">
        <v>193</v>
      </c>
      <c r="AZ95" s="15">
        <v>14.03</v>
      </c>
      <c r="BA95" s="15" t="s">
        <v>193</v>
      </c>
    </row>
    <row r="96" spans="47:53" x14ac:dyDescent="0.3">
      <c r="AU96" s="15">
        <v>39</v>
      </c>
      <c r="AV96" s="15" t="s">
        <v>236</v>
      </c>
      <c r="AW96" s="15" t="s">
        <v>193</v>
      </c>
      <c r="AX96" s="15">
        <v>1.1499999999999999</v>
      </c>
      <c r="AY96" s="15" t="s">
        <v>193</v>
      </c>
      <c r="AZ96" s="15">
        <v>14.06</v>
      </c>
      <c r="BA96" s="15" t="s">
        <v>193</v>
      </c>
    </row>
    <row r="97" spans="47:53" x14ac:dyDescent="0.3">
      <c r="AU97" s="15">
        <v>40</v>
      </c>
      <c r="AV97" s="15" t="s">
        <v>237</v>
      </c>
      <c r="AW97" s="15" t="s">
        <v>193</v>
      </c>
      <c r="AX97" s="15">
        <v>1.1499999999999999</v>
      </c>
      <c r="AY97" s="15" t="s">
        <v>193</v>
      </c>
      <c r="AZ97" s="15">
        <v>14.2</v>
      </c>
      <c r="BA97" s="15" t="s">
        <v>193</v>
      </c>
    </row>
    <row r="98" spans="47:53" x14ac:dyDescent="0.3">
      <c r="AU98" s="15">
        <v>41</v>
      </c>
      <c r="AV98" s="15" t="s">
        <v>238</v>
      </c>
      <c r="AW98" s="15" t="s">
        <v>193</v>
      </c>
      <c r="AX98" s="15">
        <v>1.27</v>
      </c>
      <c r="AY98" s="15" t="s">
        <v>193</v>
      </c>
      <c r="AZ98" s="15">
        <v>18.66</v>
      </c>
      <c r="BA98" s="15" t="s">
        <v>193</v>
      </c>
    </row>
    <row r="99" spans="47:53" x14ac:dyDescent="0.3">
      <c r="AU99" s="15">
        <v>42</v>
      </c>
      <c r="AV99" s="15" t="s">
        <v>239</v>
      </c>
      <c r="AW99" s="15" t="s">
        <v>193</v>
      </c>
      <c r="AX99" s="15">
        <v>1.27</v>
      </c>
      <c r="AY99" s="15" t="s">
        <v>193</v>
      </c>
      <c r="AZ99" s="15">
        <v>18.649999999999999</v>
      </c>
      <c r="BA99" s="15" t="s">
        <v>193</v>
      </c>
    </row>
    <row r="100" spans="47:53" x14ac:dyDescent="0.3">
      <c r="AU100" s="15">
        <v>43</v>
      </c>
      <c r="AV100" s="15" t="s">
        <v>240</v>
      </c>
      <c r="AW100" s="15" t="s">
        <v>193</v>
      </c>
      <c r="AX100" s="15">
        <v>1.33</v>
      </c>
      <c r="AY100" s="15" t="s">
        <v>193</v>
      </c>
      <c r="AZ100" s="15">
        <v>21.36</v>
      </c>
      <c r="BA100" s="15" t="s">
        <v>193</v>
      </c>
    </row>
    <row r="101" spans="47:53" x14ac:dyDescent="0.3">
      <c r="AU101" s="15">
        <v>44</v>
      </c>
      <c r="AV101" s="15" t="s">
        <v>241</v>
      </c>
      <c r="AW101" s="15" t="s">
        <v>193</v>
      </c>
      <c r="AX101" s="15">
        <v>1.38</v>
      </c>
      <c r="AY101" s="15" t="s">
        <v>193</v>
      </c>
      <c r="AZ101" s="15">
        <v>24.02</v>
      </c>
      <c r="BA101" s="15" t="s">
        <v>193</v>
      </c>
    </row>
  </sheetData>
  <sortState xmlns:xlrd2="http://schemas.microsoft.com/office/spreadsheetml/2017/richdata2" ref="A4:BT48">
    <sortCondition ref="R4:R48"/>
  </sortState>
  <hyperlinks>
    <hyperlink ref="AC3" r:id="rId1" xr:uid="{A77DE3EB-AC8B-453E-B74B-FBBA7910F702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VFA Alcohols - 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Huq, Nabila</dc:creator>
  <cp:lastModifiedBy>Miller, Jacob</cp:lastModifiedBy>
  <dcterms:created xsi:type="dcterms:W3CDTF">2020-02-19T20:31:01Z</dcterms:created>
  <dcterms:modified xsi:type="dcterms:W3CDTF">2021-09-23T21:41:54Z</dcterms:modified>
</cp:coreProperties>
</file>