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Week 9 Curr Liabilities and Bonds Payable\"/>
    </mc:Choice>
  </mc:AlternateContent>
  <bookViews>
    <workbookView xWindow="0" yWindow="0" windowWidth="28800" windowHeight="12210" tabRatio="500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" i="1" l="1"/>
  <c r="F18" i="1"/>
  <c r="L141" i="1"/>
  <c r="I140" i="1"/>
  <c r="K153" i="1" s="1"/>
  <c r="K154" i="1" s="1"/>
  <c r="K149" i="1"/>
  <c r="K150" i="1" s="1"/>
  <c r="K95" i="1"/>
  <c r="K77" i="1"/>
  <c r="L77" i="1" s="1"/>
  <c r="I56" i="1"/>
  <c r="J56" i="1" s="1"/>
  <c r="I50" i="1"/>
  <c r="L133" i="1"/>
  <c r="L131" i="1"/>
  <c r="L134" i="1"/>
  <c r="L135" i="1"/>
  <c r="L122" i="1"/>
  <c r="L123" i="1"/>
  <c r="L117" i="1"/>
  <c r="K106" i="1"/>
  <c r="L106" i="1" s="1"/>
  <c r="J111" i="1"/>
  <c r="H64" i="1"/>
  <c r="J92" i="1"/>
  <c r="M72" i="1"/>
  <c r="L68" i="1"/>
  <c r="M68" i="1" s="1"/>
  <c r="N68" i="1" s="1"/>
  <c r="H61" i="1"/>
  <c r="K44" i="1"/>
  <c r="K46" i="1" s="1"/>
  <c r="K48" i="1" s="1"/>
  <c r="G43" i="1"/>
  <c r="K45" i="1"/>
  <c r="G9" i="1"/>
  <c r="F10" i="1" s="1"/>
  <c r="F12" i="1" s="1"/>
  <c r="K35" i="1"/>
  <c r="K37" i="1" s="1"/>
  <c r="K38" i="1" s="1"/>
  <c r="K36" i="1"/>
  <c r="F30" i="1"/>
  <c r="F26" i="1"/>
  <c r="G27" i="1"/>
  <c r="F27" i="1"/>
  <c r="F28" i="1"/>
  <c r="F29" i="1" s="1"/>
  <c r="G30" i="1" s="1"/>
  <c r="F19" i="1"/>
  <c r="F20" i="1"/>
  <c r="G20" i="1" s="1"/>
  <c r="G21" i="1" s="1"/>
  <c r="H18" i="1"/>
  <c r="E6" i="1"/>
  <c r="F11" i="1" s="1"/>
  <c r="M106" i="1" l="1"/>
  <c r="K56" i="1"/>
  <c r="M77" i="1"/>
  <c r="K97" i="1"/>
  <c r="K99" i="1" s="1"/>
  <c r="L69" i="1"/>
  <c r="M69" i="1" s="1"/>
  <c r="N69" i="1" s="1"/>
  <c r="I142" i="1"/>
  <c r="M141" i="1"/>
  <c r="I151" i="1"/>
  <c r="I152" i="1" s="1"/>
  <c r="K155" i="1"/>
  <c r="L70" i="1" l="1"/>
  <c r="M70" i="1" s="1"/>
  <c r="N70" i="1"/>
  <c r="K78" i="1"/>
  <c r="K107" i="1"/>
  <c r="I57" i="1"/>
  <c r="N141" i="1"/>
  <c r="L107" i="1" l="1"/>
  <c r="L142" i="1"/>
  <c r="J57" i="1"/>
  <c r="L78" i="1"/>
  <c r="K57" i="1" l="1"/>
  <c r="M107" i="1"/>
  <c r="M78" i="1"/>
  <c r="M142" i="1"/>
  <c r="K108" i="1" l="1"/>
  <c r="N142" i="1"/>
  <c r="K79" i="1"/>
  <c r="I58" i="1"/>
  <c r="L79" i="1" l="1"/>
  <c r="J58" i="1"/>
  <c r="L143" i="1"/>
  <c r="L108" i="1"/>
  <c r="M143" i="1" l="1"/>
  <c r="M79" i="1"/>
  <c r="M108" i="1"/>
  <c r="K58" i="1"/>
  <c r="K109" i="1" l="1"/>
  <c r="N143" i="1"/>
  <c r="I59" i="1"/>
  <c r="K80" i="1"/>
  <c r="L144" i="1" l="1"/>
  <c r="L80" i="1"/>
  <c r="J59" i="1"/>
  <c r="L109" i="1"/>
  <c r="M80" i="1" l="1"/>
  <c r="M144" i="1"/>
  <c r="M109" i="1"/>
  <c r="K59" i="1"/>
  <c r="I60" i="1" l="1"/>
  <c r="N144" i="1"/>
  <c r="K110" i="1"/>
  <c r="K81" i="1"/>
  <c r="L110" i="1" l="1"/>
  <c r="K111" i="1"/>
  <c r="J60" i="1"/>
  <c r="I61" i="1"/>
  <c r="L81" i="1"/>
  <c r="K92" i="1"/>
  <c r="L145" i="1"/>
  <c r="L111" i="1" l="1"/>
  <c r="M110" i="1"/>
  <c r="M145" i="1"/>
  <c r="L149" i="1"/>
  <c r="L150" i="1" s="1"/>
  <c r="L92" i="1"/>
  <c r="M81" i="1"/>
  <c r="J61" i="1"/>
  <c r="N63" i="1" s="1"/>
  <c r="K60" i="1"/>
  <c r="K82" i="1" l="1"/>
  <c r="L82" i="1" s="1"/>
  <c r="M82" i="1"/>
  <c r="M149" i="1"/>
  <c r="N145" i="1"/>
  <c r="K83" i="1" l="1"/>
  <c r="L83" i="1" s="1"/>
  <c r="M83" i="1"/>
  <c r="L146" i="1"/>
  <c r="M146" i="1" s="1"/>
  <c r="N146" i="1" s="1"/>
  <c r="L147" i="1" l="1"/>
  <c r="M147" i="1" s="1"/>
  <c r="N147" i="1"/>
  <c r="M84" i="1"/>
  <c r="K84" i="1"/>
  <c r="L84" i="1" s="1"/>
  <c r="K85" i="1" l="1"/>
  <c r="L85" i="1" s="1"/>
  <c r="M85" i="1" s="1"/>
  <c r="N148" i="1"/>
  <c r="L148" i="1"/>
  <c r="M148" i="1" s="1"/>
  <c r="K86" i="1" l="1"/>
  <c r="L86" i="1" s="1"/>
  <c r="M86" i="1"/>
  <c r="K87" i="1" l="1"/>
  <c r="L87" i="1" s="1"/>
  <c r="M87" i="1" s="1"/>
  <c r="K88" i="1" l="1"/>
  <c r="L88" i="1" s="1"/>
  <c r="M88" i="1" s="1"/>
  <c r="K89" i="1" l="1"/>
  <c r="L89" i="1" s="1"/>
  <c r="M89" i="1" s="1"/>
  <c r="K90" i="1" l="1"/>
  <c r="L90" i="1" s="1"/>
  <c r="M90" i="1"/>
  <c r="K91" i="1" l="1"/>
  <c r="L91" i="1" s="1"/>
  <c r="M91" i="1"/>
</calcChain>
</file>

<file path=xl/sharedStrings.xml><?xml version="1.0" encoding="utf-8"?>
<sst xmlns="http://schemas.openxmlformats.org/spreadsheetml/2006/main" count="51" uniqueCount="24">
  <si>
    <t>What is the selling price for a bond that yields 4% interest payable annually, has a 5-year term, and has a face value of $5,000 and a stated rate of 3%?</t>
  </si>
  <si>
    <t>n=5</t>
  </si>
  <si>
    <t>5 payments of 150</t>
  </si>
  <si>
    <t>Present Value Factor</t>
  </si>
  <si>
    <t>Present Value of Principal</t>
  </si>
  <si>
    <t>Present Value of Interest</t>
  </si>
  <si>
    <t>Selling Price of Bonds</t>
  </si>
  <si>
    <t>Curtis, Inc. sold $200,000 of bonds paying interest semiannually with a 5-year term. The stated rate on the bonds is 10%, and the market rate of interest is 8%. What are the proceeds of the bond sale?</t>
  </si>
  <si>
    <t>20 Terms</t>
  </si>
  <si>
    <t>12% MV</t>
  </si>
  <si>
    <t>12% SV</t>
  </si>
  <si>
    <t>6% @ 20 Terms</t>
  </si>
  <si>
    <t>9% Stated Rate</t>
  </si>
  <si>
    <t>Market Rate 10%</t>
  </si>
  <si>
    <t>DA</t>
  </si>
  <si>
    <t>CV</t>
  </si>
  <si>
    <t>FV</t>
  </si>
  <si>
    <t>INT</t>
  </si>
  <si>
    <t>Annual</t>
  </si>
  <si>
    <t>MR</t>
  </si>
  <si>
    <t>SR</t>
  </si>
  <si>
    <t>Terms</t>
  </si>
  <si>
    <t>8 Year Semi Annual = 16 Terms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</si>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</sst>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123</xdr:row>
      <xdr:rowOff>0</xdr:rowOff>
    </xdr:from>
    <xdr:to>
      <xdr:col>24</xdr:col>
      <xdr:colOff>142875</xdr:colOff>
      <xdr:row>147</xdr:row>
      <xdr:rowOff>47625</xdr:rowOff>
    </xdr:to>
    <xdr:pic>
      <xdr:nvPicPr>
        <xdr:cNvPr id="2" name="Picture 1" descr="http://cvg.cengagenow.com/ilrn/books/pnal09h/images/ch10/pnal09h_ch09_table9_4.gif">
          <a:extLst>
            <a:ext uri="{FF2B5EF4-FFF2-40B4-BE49-F238E27FC236}">
              <a16:creationId xmlns:a16="http://schemas.microsoft.com/office/drawing/2014/main" id="{C58C94D5-FC18-42DD-8E83-AFCD403CD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24603075"/>
          <a:ext cx="6848475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148</xdr:row>
      <xdr:rowOff>0</xdr:rowOff>
    </xdr:from>
    <xdr:to>
      <xdr:col>24</xdr:col>
      <xdr:colOff>142875</xdr:colOff>
      <xdr:row>172</xdr:row>
      <xdr:rowOff>85725</xdr:rowOff>
    </xdr:to>
    <xdr:pic>
      <xdr:nvPicPr>
        <xdr:cNvPr id="3" name="Picture 2" descr="http://cvg.cengagenow.com/ilrn/books/pnal09h/images/ch10/pnal09h_ch09_table9_2.gif">
          <a:extLst>
            <a:ext uri="{FF2B5EF4-FFF2-40B4-BE49-F238E27FC236}">
              <a16:creationId xmlns:a16="http://schemas.microsoft.com/office/drawing/2014/main" id="{16491225-60B1-4CB6-9BDA-23207F476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29603700"/>
          <a:ext cx="6848475" cy="488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tabSelected="1" topLeftCell="L136" workbookViewId="0">
      <selection activeCell="Z146" sqref="Z146"/>
    </sheetView>
  </sheetViews>
  <sheetFormatPr defaultColWidth="11" defaultRowHeight="15.75" x14ac:dyDescent="0.25"/>
  <cols>
    <col min="5" max="5" width="22" bestFit="1" customWidth="1"/>
    <col min="6" max="6" width="15.125" bestFit="1" customWidth="1"/>
    <col min="7" max="7" width="12.5" bestFit="1" customWidth="1"/>
    <col min="8" max="9" width="11" bestFit="1" customWidth="1"/>
    <col min="10" max="10" width="22.125" bestFit="1" customWidth="1"/>
    <col min="11" max="11" width="14" bestFit="1" customWidth="1"/>
    <col min="12" max="12" width="13.625" customWidth="1"/>
    <col min="13" max="13" width="20.125" customWidth="1"/>
    <col min="14" max="14" width="14" bestFit="1" customWidth="1"/>
  </cols>
  <sheetData>
    <row r="1" spans="1:7" x14ac:dyDescent="0.25">
      <c r="A1" t="s">
        <v>0</v>
      </c>
    </row>
    <row r="5" spans="1:7" x14ac:dyDescent="0.25">
      <c r="E5" t="s">
        <v>1</v>
      </c>
    </row>
    <row r="6" spans="1:7" x14ac:dyDescent="0.25">
      <c r="E6">
        <f>5000*3%</f>
        <v>150</v>
      </c>
    </row>
    <row r="7" spans="1:7" x14ac:dyDescent="0.25">
      <c r="E7" t="s">
        <v>2</v>
      </c>
    </row>
    <row r="9" spans="1:7" x14ac:dyDescent="0.25">
      <c r="E9" t="s">
        <v>3</v>
      </c>
      <c r="F9">
        <v>0.82193000000000005</v>
      </c>
      <c r="G9">
        <f>5000*F9</f>
        <v>4109.6500000000005</v>
      </c>
    </row>
    <row r="10" spans="1:7" x14ac:dyDescent="0.25">
      <c r="E10" t="s">
        <v>4</v>
      </c>
      <c r="F10">
        <f>G9</f>
        <v>4109.6500000000005</v>
      </c>
    </row>
    <row r="11" spans="1:7" x14ac:dyDescent="0.25">
      <c r="E11" t="s">
        <v>5</v>
      </c>
      <c r="F11">
        <f>E6*4.45182</f>
        <v>667.77299999999991</v>
      </c>
    </row>
    <row r="12" spans="1:7" x14ac:dyDescent="0.25">
      <c r="E12" t="s">
        <v>6</v>
      </c>
      <c r="F12">
        <f>F10+F11</f>
        <v>4777.4230000000007</v>
      </c>
    </row>
    <row r="18" spans="5:8" x14ac:dyDescent="0.25">
      <c r="E18" t="s">
        <v>4</v>
      </c>
      <c r="F18" s="1">
        <f>100000*0.55839</f>
        <v>55839.000000000007</v>
      </c>
      <c r="H18">
        <f>100000*4%</f>
        <v>4000</v>
      </c>
    </row>
    <row r="19" spans="5:8" x14ac:dyDescent="0.25">
      <c r="E19" t="s">
        <v>5</v>
      </c>
      <c r="F19" s="1">
        <f>4000*7.36009</f>
        <v>29440.359999999997</v>
      </c>
    </row>
    <row r="20" spans="5:8" x14ac:dyDescent="0.25">
      <c r="E20" t="s">
        <v>6</v>
      </c>
      <c r="F20" s="1">
        <f>SUM(F18:F19)</f>
        <v>85279.360000000001</v>
      </c>
      <c r="G20" s="2">
        <f>100000-F20</f>
        <v>14720.64</v>
      </c>
    </row>
    <row r="21" spans="5:8" x14ac:dyDescent="0.25">
      <c r="G21" s="2">
        <f>G20/10</f>
        <v>1472.0639999999999</v>
      </c>
    </row>
    <row r="24" spans="5:8" x14ac:dyDescent="0.25">
      <c r="E24" t="s">
        <v>7</v>
      </c>
    </row>
    <row r="26" spans="5:8" x14ac:dyDescent="0.25">
      <c r="E26" t="s">
        <v>4</v>
      </c>
      <c r="F26">
        <f>200000*0.67556</f>
        <v>135112</v>
      </c>
    </row>
    <row r="27" spans="5:8" x14ac:dyDescent="0.25">
      <c r="E27" t="s">
        <v>5</v>
      </c>
      <c r="F27">
        <f>G27*8.1109</f>
        <v>81109.000000000015</v>
      </c>
      <c r="G27">
        <f>200000*10%/2</f>
        <v>10000</v>
      </c>
    </row>
    <row r="28" spans="5:8" x14ac:dyDescent="0.25">
      <c r="E28" t="s">
        <v>6</v>
      </c>
      <c r="F28">
        <f>SUM(F26:F27)</f>
        <v>216221</v>
      </c>
    </row>
    <row r="29" spans="5:8" x14ac:dyDescent="0.25">
      <c r="F29">
        <f>F28*4%</f>
        <v>8648.84</v>
      </c>
    </row>
    <row r="30" spans="5:8" x14ac:dyDescent="0.25">
      <c r="F30">
        <f>200000*5%</f>
        <v>10000</v>
      </c>
      <c r="G30">
        <f>F29-F30</f>
        <v>-1351.1599999999999</v>
      </c>
    </row>
    <row r="34" spans="6:11" x14ac:dyDescent="0.25">
      <c r="F34">
        <v>600000</v>
      </c>
    </row>
    <row r="35" spans="6:11" x14ac:dyDescent="0.25">
      <c r="F35" t="s">
        <v>8</v>
      </c>
      <c r="G35">
        <f>F34*6%</f>
        <v>36000</v>
      </c>
      <c r="J35" t="s">
        <v>4</v>
      </c>
      <c r="K35">
        <f>F34*H36</f>
        <v>187080</v>
      </c>
    </row>
    <row r="36" spans="6:11" x14ac:dyDescent="0.25">
      <c r="F36" t="s">
        <v>9</v>
      </c>
      <c r="G36" t="s">
        <v>11</v>
      </c>
      <c r="H36">
        <v>0.31180000000000002</v>
      </c>
      <c r="J36" t="s">
        <v>5</v>
      </c>
      <c r="K36">
        <f>G35*H37</f>
        <v>412917.12</v>
      </c>
    </row>
    <row r="37" spans="6:11" x14ac:dyDescent="0.25">
      <c r="F37" t="s">
        <v>10</v>
      </c>
      <c r="G37" t="s">
        <v>11</v>
      </c>
      <c r="H37">
        <v>11.46992</v>
      </c>
      <c r="J37" t="s">
        <v>6</v>
      </c>
      <c r="K37">
        <f>SUM(K35:K36)</f>
        <v>599997.12</v>
      </c>
    </row>
    <row r="38" spans="6:11" x14ac:dyDescent="0.25">
      <c r="K38">
        <f>K37*6%</f>
        <v>35999.8272</v>
      </c>
    </row>
    <row r="39" spans="6:11" x14ac:dyDescent="0.25">
      <c r="K39">
        <v>-36000</v>
      </c>
    </row>
    <row r="43" spans="6:11" x14ac:dyDescent="0.25">
      <c r="F43">
        <v>100000</v>
      </c>
      <c r="G43">
        <f>F43*9%</f>
        <v>9000</v>
      </c>
    </row>
    <row r="44" spans="6:11" x14ac:dyDescent="0.25">
      <c r="F44" t="s">
        <v>12</v>
      </c>
      <c r="I44" t="s">
        <v>4</v>
      </c>
      <c r="K44">
        <f>10000*G45</f>
        <v>1486.3999999999999</v>
      </c>
    </row>
    <row r="45" spans="6:11" x14ac:dyDescent="0.25">
      <c r="F45" t="s">
        <v>13</v>
      </c>
      <c r="G45">
        <v>0.14863999999999999</v>
      </c>
      <c r="I45" t="s">
        <v>5</v>
      </c>
      <c r="K45">
        <f>G43*8.51356</f>
        <v>76622.039999999994</v>
      </c>
    </row>
    <row r="46" spans="6:11" x14ac:dyDescent="0.25">
      <c r="F46" t="s">
        <v>8</v>
      </c>
      <c r="I46" t="s">
        <v>6</v>
      </c>
      <c r="K46">
        <f>SUM(K44:K45)</f>
        <v>78108.439999999988</v>
      </c>
    </row>
    <row r="47" spans="6:11" x14ac:dyDescent="0.25">
      <c r="K47">
        <v>93590</v>
      </c>
    </row>
    <row r="48" spans="6:11" x14ac:dyDescent="0.25">
      <c r="K48">
        <f>K47-K46</f>
        <v>15481.560000000012</v>
      </c>
    </row>
    <row r="49" spans="6:14" x14ac:dyDescent="0.25">
      <c r="K49">
        <v>9378</v>
      </c>
    </row>
    <row r="50" spans="6:14" x14ac:dyDescent="0.25">
      <c r="I50">
        <f>600000*6%</f>
        <v>36000</v>
      </c>
    </row>
    <row r="54" spans="6:14" x14ac:dyDescent="0.25">
      <c r="H54" s="4">
        <v>7.0000000000000007E-2</v>
      </c>
      <c r="I54" s="4">
        <v>0.09</v>
      </c>
      <c r="J54" t="s">
        <v>14</v>
      </c>
      <c r="K54" t="s">
        <v>15</v>
      </c>
    </row>
    <row r="55" spans="6:14" x14ac:dyDescent="0.25">
      <c r="G55" s="3">
        <v>41640</v>
      </c>
      <c r="H55" s="1"/>
      <c r="I55" s="1"/>
      <c r="J55" s="1"/>
      <c r="K55" s="1">
        <v>14755</v>
      </c>
      <c r="L55" s="1"/>
    </row>
    <row r="56" spans="6:14" x14ac:dyDescent="0.25">
      <c r="G56" s="3">
        <v>42004</v>
      </c>
      <c r="H56" s="1">
        <v>1120</v>
      </c>
      <c r="I56" s="1">
        <f>ROUND(K55*9%,0)</f>
        <v>1328</v>
      </c>
      <c r="J56" s="1">
        <f>I56-H56</f>
        <v>208</v>
      </c>
      <c r="K56" s="1">
        <f>K55+J56</f>
        <v>14963</v>
      </c>
      <c r="L56" s="1"/>
    </row>
    <row r="57" spans="6:14" x14ac:dyDescent="0.25">
      <c r="G57" s="3">
        <v>42369</v>
      </c>
      <c r="H57" s="1">
        <v>1120</v>
      </c>
      <c r="I57" s="1">
        <f>ROUND(K56*9%,0)</f>
        <v>1347</v>
      </c>
      <c r="J57" s="1">
        <f>I57-H57</f>
        <v>227</v>
      </c>
      <c r="K57" s="1">
        <f>K56+J57</f>
        <v>15190</v>
      </c>
      <c r="L57" s="1"/>
    </row>
    <row r="58" spans="6:14" x14ac:dyDescent="0.25">
      <c r="G58" s="3">
        <v>42735</v>
      </c>
      <c r="H58" s="1">
        <v>1120</v>
      </c>
      <c r="I58" s="1">
        <f>ROUND(K57*9%,0)</f>
        <v>1367</v>
      </c>
      <c r="J58" s="1">
        <f t="shared" ref="J58:J59" si="0">I58-H58</f>
        <v>247</v>
      </c>
      <c r="K58" s="1">
        <f t="shared" ref="K58:K59" si="1">K57+J58</f>
        <v>15437</v>
      </c>
      <c r="L58" s="1"/>
    </row>
    <row r="59" spans="6:14" x14ac:dyDescent="0.25">
      <c r="G59" s="3">
        <v>43100</v>
      </c>
      <c r="H59" s="1">
        <v>1120</v>
      </c>
      <c r="I59" s="1">
        <f>ROUND(K58*9%,0)</f>
        <v>1389</v>
      </c>
      <c r="J59" s="1">
        <f t="shared" si="0"/>
        <v>269</v>
      </c>
      <c r="K59" s="1">
        <f t="shared" si="1"/>
        <v>15706</v>
      </c>
      <c r="L59" s="1"/>
    </row>
    <row r="60" spans="6:14" x14ac:dyDescent="0.25">
      <c r="G60" s="3">
        <v>43465</v>
      </c>
      <c r="H60" s="1">
        <v>1120</v>
      </c>
      <c r="I60" s="1">
        <f>ROUND(K59*9%,0)</f>
        <v>1414</v>
      </c>
      <c r="J60" s="1">
        <f t="shared" ref="J60" si="2">I60-H60</f>
        <v>294</v>
      </c>
      <c r="K60" s="1">
        <f t="shared" ref="K60" si="3">K59+J60</f>
        <v>16000</v>
      </c>
      <c r="L60" s="1"/>
    </row>
    <row r="61" spans="6:14" x14ac:dyDescent="0.25">
      <c r="H61" s="1">
        <f>SUM(H56:H60)</f>
        <v>5600</v>
      </c>
      <c r="I61" s="1">
        <f>SUM(I56:I60)</f>
        <v>6845</v>
      </c>
      <c r="J61" s="1">
        <f>SUM(J56:J60)</f>
        <v>1245</v>
      </c>
      <c r="K61" s="1"/>
      <c r="L61" s="1"/>
    </row>
    <row r="62" spans="6:14" x14ac:dyDescent="0.25">
      <c r="F62" t="s">
        <v>16</v>
      </c>
      <c r="G62" s="5">
        <v>16000</v>
      </c>
    </row>
    <row r="63" spans="6:14" x14ac:dyDescent="0.25">
      <c r="F63" t="s">
        <v>17</v>
      </c>
      <c r="G63" t="s">
        <v>18</v>
      </c>
      <c r="N63" s="2">
        <f>J61-M72</f>
        <v>611</v>
      </c>
    </row>
    <row r="64" spans="6:14" x14ac:dyDescent="0.25">
      <c r="F64" t="s">
        <v>19</v>
      </c>
      <c r="G64" s="4">
        <v>0.09</v>
      </c>
      <c r="H64">
        <f>16000*G65</f>
        <v>1120</v>
      </c>
    </row>
    <row r="65" spans="6:14" x14ac:dyDescent="0.25">
      <c r="F65" t="s">
        <v>20</v>
      </c>
      <c r="G65" s="4">
        <v>7.0000000000000007E-2</v>
      </c>
    </row>
    <row r="66" spans="6:14" x14ac:dyDescent="0.25">
      <c r="F66" t="s">
        <v>21</v>
      </c>
      <c r="G66">
        <v>5</v>
      </c>
      <c r="K66" s="4">
        <v>7.0000000000000007E-2</v>
      </c>
      <c r="L66" s="4">
        <v>0.09</v>
      </c>
      <c r="M66" t="s">
        <v>14</v>
      </c>
      <c r="N66" t="s">
        <v>15</v>
      </c>
    </row>
    <row r="67" spans="6:14" x14ac:dyDescent="0.25">
      <c r="J67" s="3">
        <v>41640</v>
      </c>
      <c r="K67" s="1"/>
      <c r="L67" s="1"/>
      <c r="M67" s="1"/>
      <c r="N67" s="1">
        <v>14755</v>
      </c>
    </row>
    <row r="68" spans="6:14" x14ac:dyDescent="0.25">
      <c r="J68" s="3">
        <v>42004</v>
      </c>
      <c r="K68" s="1">
        <v>1120</v>
      </c>
      <c r="L68" s="1">
        <f>ROUND(N67*9%,0)</f>
        <v>1328</v>
      </c>
      <c r="M68" s="1">
        <f>L68-K68</f>
        <v>208</v>
      </c>
      <c r="N68" s="1">
        <f>N67+M68</f>
        <v>14963</v>
      </c>
    </row>
    <row r="69" spans="6:14" x14ac:dyDescent="0.25">
      <c r="J69" s="3">
        <v>42369</v>
      </c>
      <c r="K69" s="1">
        <v>1120</v>
      </c>
      <c r="L69" s="1">
        <f>ROUND(N68*9%,0)</f>
        <v>1347</v>
      </c>
      <c r="M69" s="1">
        <f>L69-K69</f>
        <v>227</v>
      </c>
      <c r="N69" s="1">
        <f>N68+M69</f>
        <v>15190</v>
      </c>
    </row>
    <row r="70" spans="6:14" x14ac:dyDescent="0.25">
      <c r="J70" s="3">
        <v>42735</v>
      </c>
      <c r="K70" s="1">
        <v>1120</v>
      </c>
      <c r="L70" s="1">
        <f>ROUND(N69*9%,0)</f>
        <v>1367</v>
      </c>
      <c r="M70" s="1">
        <f t="shared" ref="M70" si="4">L70-K70</f>
        <v>247</v>
      </c>
      <c r="N70" s="1">
        <f t="shared" ref="N70" si="5">N69+M70</f>
        <v>15437</v>
      </c>
    </row>
    <row r="71" spans="6:14" x14ac:dyDescent="0.25">
      <c r="J71" s="3"/>
      <c r="K71" s="1"/>
      <c r="L71" s="1"/>
      <c r="M71" s="1"/>
      <c r="N71" s="1"/>
    </row>
    <row r="72" spans="6:14" x14ac:dyDescent="0.25">
      <c r="J72" s="3"/>
      <c r="K72" s="1"/>
      <c r="L72" s="1"/>
      <c r="M72" s="1">
        <f>137+150+165+182</f>
        <v>634</v>
      </c>
      <c r="N72" s="1"/>
    </row>
    <row r="75" spans="6:14" x14ac:dyDescent="0.25">
      <c r="J75" s="4">
        <v>7.0000000000000007E-2</v>
      </c>
      <c r="K75" s="4">
        <v>0.09</v>
      </c>
      <c r="L75" t="s">
        <v>14</v>
      </c>
      <c r="M75" t="s">
        <v>15</v>
      </c>
    </row>
    <row r="76" spans="6:14" x14ac:dyDescent="0.25">
      <c r="I76" s="3">
        <v>41640</v>
      </c>
      <c r="J76" s="1"/>
      <c r="K76" s="1"/>
      <c r="L76" s="1"/>
      <c r="M76" s="1">
        <v>93590</v>
      </c>
    </row>
    <row r="77" spans="6:14" x14ac:dyDescent="0.25">
      <c r="I77" s="3">
        <v>42004</v>
      </c>
      <c r="J77" s="1">
        <v>9000</v>
      </c>
      <c r="K77" s="1">
        <f>ROUND(M76*10%,0)</f>
        <v>9359</v>
      </c>
      <c r="L77" s="1">
        <f>K77-J77</f>
        <v>359</v>
      </c>
      <c r="M77" s="1">
        <f>M76+L77</f>
        <v>93949</v>
      </c>
    </row>
    <row r="78" spans="6:14" x14ac:dyDescent="0.25">
      <c r="I78" s="3">
        <v>42369</v>
      </c>
      <c r="J78" s="1">
        <v>9000</v>
      </c>
      <c r="K78" s="1">
        <f t="shared" ref="K78:K81" si="6">ROUND(M77*10%,0)</f>
        <v>9395</v>
      </c>
      <c r="L78" s="1">
        <f>K78-J78</f>
        <v>395</v>
      </c>
      <c r="M78" s="1">
        <f>M77+L78</f>
        <v>94344</v>
      </c>
    </row>
    <row r="79" spans="6:14" x14ac:dyDescent="0.25">
      <c r="I79" s="3">
        <v>42735</v>
      </c>
      <c r="J79" s="1">
        <v>9000</v>
      </c>
      <c r="K79" s="1">
        <f t="shared" si="6"/>
        <v>9434</v>
      </c>
      <c r="L79" s="1">
        <f t="shared" ref="L79:L81" si="7">K79-J79</f>
        <v>434</v>
      </c>
      <c r="M79" s="1">
        <f t="shared" ref="M79:M81" si="8">M78+L79</f>
        <v>94778</v>
      </c>
    </row>
    <row r="80" spans="6:14" x14ac:dyDescent="0.25">
      <c r="I80" s="3">
        <v>43100</v>
      </c>
      <c r="J80" s="1">
        <v>9000</v>
      </c>
      <c r="K80" s="1">
        <f t="shared" si="6"/>
        <v>9478</v>
      </c>
      <c r="L80" s="1">
        <f t="shared" si="7"/>
        <v>478</v>
      </c>
      <c r="M80" s="1">
        <f t="shared" si="8"/>
        <v>95256</v>
      </c>
    </row>
    <row r="81" spans="9:13" x14ac:dyDescent="0.25">
      <c r="I81" s="3">
        <v>43465</v>
      </c>
      <c r="J81" s="1">
        <v>9000</v>
      </c>
      <c r="K81" s="1">
        <f t="shared" si="6"/>
        <v>9526</v>
      </c>
      <c r="L81" s="1">
        <f t="shared" si="7"/>
        <v>526</v>
      </c>
      <c r="M81" s="1">
        <f t="shared" si="8"/>
        <v>95782</v>
      </c>
    </row>
    <row r="82" spans="9:13" x14ac:dyDescent="0.25">
      <c r="I82" s="3">
        <v>43466</v>
      </c>
      <c r="J82" s="1">
        <v>9000</v>
      </c>
      <c r="K82" s="1">
        <f t="shared" ref="K82:K91" si="9">ROUND(M81*10%,0)</f>
        <v>9578</v>
      </c>
      <c r="L82" s="1">
        <f t="shared" ref="L82:L91" si="10">K82-J82</f>
        <v>578</v>
      </c>
      <c r="M82" s="1">
        <f t="shared" ref="M82:M91" si="11">M81+L82</f>
        <v>96360</v>
      </c>
    </row>
    <row r="83" spans="9:13" x14ac:dyDescent="0.25">
      <c r="I83" s="3">
        <v>43467</v>
      </c>
      <c r="J83" s="1">
        <v>9000</v>
      </c>
      <c r="K83" s="1">
        <f t="shared" si="9"/>
        <v>9636</v>
      </c>
      <c r="L83" s="1">
        <f t="shared" si="10"/>
        <v>636</v>
      </c>
      <c r="M83" s="1">
        <f t="shared" si="11"/>
        <v>96996</v>
      </c>
    </row>
    <row r="84" spans="9:13" x14ac:dyDescent="0.25">
      <c r="I84" s="3">
        <v>43468</v>
      </c>
      <c r="J84" s="1">
        <v>9000</v>
      </c>
      <c r="K84" s="1">
        <f t="shared" si="9"/>
        <v>9700</v>
      </c>
      <c r="L84" s="1">
        <f t="shared" si="10"/>
        <v>700</v>
      </c>
      <c r="M84" s="1">
        <f t="shared" si="11"/>
        <v>97696</v>
      </c>
    </row>
    <row r="85" spans="9:13" x14ac:dyDescent="0.25">
      <c r="I85" s="3">
        <v>43469</v>
      </c>
      <c r="J85" s="1">
        <v>9000</v>
      </c>
      <c r="K85" s="1">
        <f t="shared" si="9"/>
        <v>9770</v>
      </c>
      <c r="L85" s="1">
        <f t="shared" si="10"/>
        <v>770</v>
      </c>
      <c r="M85" s="1">
        <f t="shared" si="11"/>
        <v>98466</v>
      </c>
    </row>
    <row r="86" spans="9:13" x14ac:dyDescent="0.25">
      <c r="I86" s="3">
        <v>43470</v>
      </c>
      <c r="J86" s="1">
        <v>9000</v>
      </c>
      <c r="K86" s="1">
        <f t="shared" si="9"/>
        <v>9847</v>
      </c>
      <c r="L86" s="1">
        <f t="shared" si="10"/>
        <v>847</v>
      </c>
      <c r="M86" s="1">
        <f t="shared" si="11"/>
        <v>99313</v>
      </c>
    </row>
    <row r="87" spans="9:13" x14ac:dyDescent="0.25">
      <c r="I87" s="3">
        <v>43471</v>
      </c>
      <c r="J87" s="1">
        <v>9000</v>
      </c>
      <c r="K87" s="1">
        <f t="shared" si="9"/>
        <v>9931</v>
      </c>
      <c r="L87" s="1">
        <f t="shared" si="10"/>
        <v>931</v>
      </c>
      <c r="M87" s="1">
        <f t="shared" si="11"/>
        <v>100244</v>
      </c>
    </row>
    <row r="88" spans="9:13" x14ac:dyDescent="0.25">
      <c r="I88" s="3">
        <v>43472</v>
      </c>
      <c r="J88" s="1">
        <v>9000</v>
      </c>
      <c r="K88" s="1">
        <f t="shared" si="9"/>
        <v>10024</v>
      </c>
      <c r="L88" s="1">
        <f t="shared" si="10"/>
        <v>1024</v>
      </c>
      <c r="M88" s="1">
        <f t="shared" si="11"/>
        <v>101268</v>
      </c>
    </row>
    <row r="89" spans="9:13" x14ac:dyDescent="0.25">
      <c r="I89" s="3">
        <v>43473</v>
      </c>
      <c r="J89" s="1">
        <v>9000</v>
      </c>
      <c r="K89" s="1">
        <f t="shared" si="9"/>
        <v>10127</v>
      </c>
      <c r="L89" s="1">
        <f t="shared" si="10"/>
        <v>1127</v>
      </c>
      <c r="M89" s="1">
        <f t="shared" si="11"/>
        <v>102395</v>
      </c>
    </row>
    <row r="90" spans="9:13" x14ac:dyDescent="0.25">
      <c r="I90" s="3">
        <v>43474</v>
      </c>
      <c r="J90" s="1">
        <v>9000</v>
      </c>
      <c r="K90" s="1">
        <f t="shared" si="9"/>
        <v>10240</v>
      </c>
      <c r="L90" s="1">
        <f t="shared" si="10"/>
        <v>1240</v>
      </c>
      <c r="M90" s="1">
        <f t="shared" si="11"/>
        <v>103635</v>
      </c>
    </row>
    <row r="91" spans="9:13" x14ac:dyDescent="0.25">
      <c r="I91" s="3">
        <v>43475</v>
      </c>
      <c r="J91" s="1">
        <v>9000</v>
      </c>
      <c r="K91" s="1">
        <f t="shared" si="9"/>
        <v>10364</v>
      </c>
      <c r="L91" s="1">
        <f t="shared" si="10"/>
        <v>1364</v>
      </c>
      <c r="M91" s="1">
        <f t="shared" si="11"/>
        <v>104999</v>
      </c>
    </row>
    <row r="92" spans="9:13" x14ac:dyDescent="0.25">
      <c r="J92" s="1">
        <f>SUM(J77:J81)</f>
        <v>45000</v>
      </c>
      <c r="K92" s="1">
        <f>SUM(K77:K81)</f>
        <v>47192</v>
      </c>
      <c r="L92" s="1">
        <f>SUM(L77:L81)</f>
        <v>2192</v>
      </c>
      <c r="M92" s="1"/>
    </row>
    <row r="95" spans="9:13" x14ac:dyDescent="0.25">
      <c r="K95">
        <f>100000-93590</f>
        <v>6410</v>
      </c>
    </row>
    <row r="97" spans="9:13" x14ac:dyDescent="0.25">
      <c r="K97" s="2">
        <f>K95-L77</f>
        <v>6051</v>
      </c>
    </row>
    <row r="98" spans="9:13" x14ac:dyDescent="0.25">
      <c r="K98">
        <v>6251</v>
      </c>
    </row>
    <row r="99" spans="9:13" x14ac:dyDescent="0.25">
      <c r="K99" s="2">
        <f>100000-K97</f>
        <v>93949</v>
      </c>
    </row>
    <row r="104" spans="9:13" x14ac:dyDescent="0.25">
      <c r="J104" s="4">
        <v>7.0000000000000007E-2</v>
      </c>
      <c r="K104" s="4">
        <v>0.09</v>
      </c>
      <c r="L104" t="s">
        <v>14</v>
      </c>
      <c r="M104" t="s">
        <v>15</v>
      </c>
    </row>
    <row r="105" spans="9:13" x14ac:dyDescent="0.25">
      <c r="I105" s="3">
        <v>41640</v>
      </c>
      <c r="J105" s="1"/>
      <c r="K105" s="1"/>
      <c r="L105" s="1"/>
      <c r="M105" s="1">
        <v>109480</v>
      </c>
    </row>
    <row r="106" spans="9:13" x14ac:dyDescent="0.25">
      <c r="I106" s="3">
        <v>42004</v>
      </c>
      <c r="J106" s="1">
        <v>9000</v>
      </c>
      <c r="K106" s="1">
        <f>ROUND(M105*8%,0)</f>
        <v>8758</v>
      </c>
      <c r="L106" s="1">
        <f>K106-J106</f>
        <v>-242</v>
      </c>
      <c r="M106" s="1">
        <f>M105+L106</f>
        <v>109238</v>
      </c>
    </row>
    <row r="107" spans="9:13" x14ac:dyDescent="0.25">
      <c r="I107" s="3">
        <v>42369</v>
      </c>
      <c r="J107" s="1">
        <v>9000</v>
      </c>
      <c r="K107" s="1">
        <f t="shared" ref="K107:K110" si="12">ROUND(M106*8%,0)</f>
        <v>8739</v>
      </c>
      <c r="L107" s="1">
        <f>K107-J107</f>
        <v>-261</v>
      </c>
      <c r="M107" s="1">
        <f>M106+L107</f>
        <v>108977</v>
      </c>
    </row>
    <row r="108" spans="9:13" x14ac:dyDescent="0.25">
      <c r="I108" s="3">
        <v>42735</v>
      </c>
      <c r="J108" s="1">
        <v>9000</v>
      </c>
      <c r="K108" s="1">
        <f t="shared" si="12"/>
        <v>8718</v>
      </c>
      <c r="L108" s="1">
        <f t="shared" ref="L108:L110" si="13">K108-J108</f>
        <v>-282</v>
      </c>
      <c r="M108" s="1">
        <f t="shared" ref="M108:M110" si="14">M107+L108</f>
        <v>108695</v>
      </c>
    </row>
    <row r="109" spans="9:13" x14ac:dyDescent="0.25">
      <c r="I109" s="3">
        <v>43100</v>
      </c>
      <c r="J109" s="1">
        <v>9000</v>
      </c>
      <c r="K109" s="1">
        <f t="shared" si="12"/>
        <v>8696</v>
      </c>
      <c r="L109" s="1">
        <f t="shared" si="13"/>
        <v>-304</v>
      </c>
      <c r="M109" s="1">
        <f t="shared" si="14"/>
        <v>108391</v>
      </c>
    </row>
    <row r="110" spans="9:13" x14ac:dyDescent="0.25">
      <c r="I110" s="3">
        <v>43465</v>
      </c>
      <c r="J110" s="1">
        <v>9000</v>
      </c>
      <c r="K110" s="1">
        <f t="shared" si="12"/>
        <v>8671</v>
      </c>
      <c r="L110" s="1">
        <f t="shared" si="13"/>
        <v>-329</v>
      </c>
      <c r="M110" s="1">
        <f t="shared" si="14"/>
        <v>108062</v>
      </c>
    </row>
    <row r="111" spans="9:13" x14ac:dyDescent="0.25">
      <c r="J111" s="1">
        <f>SUM(J106:J110)</f>
        <v>45000</v>
      </c>
      <c r="K111" s="1">
        <f>SUM(K106:K110)</f>
        <v>43582</v>
      </c>
      <c r="L111" s="1">
        <f>SUM(L106:L110)</f>
        <v>-1418</v>
      </c>
      <c r="M111" s="1"/>
    </row>
    <row r="115" spans="10:12" x14ac:dyDescent="0.25">
      <c r="L115">
        <v>9480</v>
      </c>
    </row>
    <row r="116" spans="10:12" x14ac:dyDescent="0.25">
      <c r="L116">
        <v>242</v>
      </c>
    </row>
    <row r="117" spans="10:12" x14ac:dyDescent="0.25">
      <c r="L117">
        <f>L115-L116</f>
        <v>9238</v>
      </c>
    </row>
    <row r="118" spans="10:12" x14ac:dyDescent="0.25">
      <c r="L118">
        <v>92</v>
      </c>
    </row>
    <row r="120" spans="10:12" x14ac:dyDescent="0.25">
      <c r="L120">
        <v>1245</v>
      </c>
    </row>
    <row r="121" spans="10:12" x14ac:dyDescent="0.25">
      <c r="L121">
        <v>682</v>
      </c>
    </row>
    <row r="122" spans="10:12" x14ac:dyDescent="0.25">
      <c r="L122">
        <f>L120-L121</f>
        <v>563</v>
      </c>
    </row>
    <row r="123" spans="10:12" x14ac:dyDescent="0.25">
      <c r="L123">
        <f>16000-L122</f>
        <v>15437</v>
      </c>
    </row>
    <row r="127" spans="10:12" x14ac:dyDescent="0.25">
      <c r="J127">
        <v>1120000</v>
      </c>
    </row>
    <row r="128" spans="10:12" x14ac:dyDescent="0.25">
      <c r="J128" t="s">
        <v>22</v>
      </c>
    </row>
    <row r="129" spans="9:14" x14ac:dyDescent="0.25">
      <c r="J129" t="s">
        <v>10</v>
      </c>
    </row>
    <row r="130" spans="9:14" x14ac:dyDescent="0.25">
      <c r="J130" t="s">
        <v>9</v>
      </c>
    </row>
    <row r="131" spans="9:14" x14ac:dyDescent="0.25">
      <c r="L131">
        <f>J127*6%</f>
        <v>67200</v>
      </c>
    </row>
    <row r="132" spans="9:14" x14ac:dyDescent="0.25">
      <c r="K132" s="6"/>
    </row>
    <row r="133" spans="9:14" x14ac:dyDescent="0.25">
      <c r="J133" t="s">
        <v>4</v>
      </c>
      <c r="K133" s="6">
        <v>0.39365</v>
      </c>
      <c r="L133">
        <f>J127*K133</f>
        <v>440888</v>
      </c>
    </row>
    <row r="134" spans="9:14" x14ac:dyDescent="0.25">
      <c r="J134" t="s">
        <v>5</v>
      </c>
      <c r="K134" s="6">
        <v>10.1059</v>
      </c>
      <c r="L134">
        <f>L131*K134</f>
        <v>679116.48</v>
      </c>
    </row>
    <row r="135" spans="9:14" x14ac:dyDescent="0.25">
      <c r="J135" t="s">
        <v>6</v>
      </c>
      <c r="K135" s="7"/>
      <c r="L135">
        <f>SUM(L133:L134)</f>
        <v>1120004.48</v>
      </c>
    </row>
    <row r="136" spans="9:14" x14ac:dyDescent="0.25">
      <c r="K136" s="5"/>
    </row>
    <row r="139" spans="9:14" x14ac:dyDescent="0.25">
      <c r="K139" s="4">
        <v>7.0000000000000007E-2</v>
      </c>
      <c r="L139" s="4">
        <v>0.09</v>
      </c>
      <c r="M139" t="s">
        <v>14</v>
      </c>
      <c r="N139" t="s">
        <v>15</v>
      </c>
    </row>
    <row r="140" spans="9:14" x14ac:dyDescent="0.25">
      <c r="I140">
        <f>1120000</f>
        <v>1120000</v>
      </c>
      <c r="J140" s="3">
        <v>41640</v>
      </c>
      <c r="K140" s="1"/>
      <c r="L140" s="1"/>
      <c r="M140" s="1"/>
      <c r="N140" s="1">
        <v>1120000</v>
      </c>
    </row>
    <row r="141" spans="9:14" x14ac:dyDescent="0.25">
      <c r="I141" s="4">
        <v>0.12</v>
      </c>
      <c r="J141" s="3">
        <v>42004</v>
      </c>
      <c r="K141" s="1">
        <v>134400</v>
      </c>
      <c r="L141" s="1">
        <f>ROUND(N140*12%,0)</f>
        <v>134400</v>
      </c>
      <c r="M141" s="1">
        <f>L141-K141</f>
        <v>0</v>
      </c>
      <c r="N141" s="1">
        <f>N140+M141</f>
        <v>1120000</v>
      </c>
    </row>
    <row r="142" spans="9:14" x14ac:dyDescent="0.25">
      <c r="I142">
        <f>I140*I141</f>
        <v>134400</v>
      </c>
      <c r="J142" s="3">
        <v>42369</v>
      </c>
      <c r="K142" s="1">
        <v>134400</v>
      </c>
      <c r="L142" s="1">
        <f t="shared" ref="L142:L148" si="15">ROUND(N141*12%,0)</f>
        <v>134400</v>
      </c>
      <c r="M142" s="1">
        <f>L142-K142</f>
        <v>0</v>
      </c>
      <c r="N142" s="1">
        <f>N141+M142</f>
        <v>1120000</v>
      </c>
    </row>
    <row r="143" spans="9:14" x14ac:dyDescent="0.25">
      <c r="J143" s="3">
        <v>42735</v>
      </c>
      <c r="K143" s="1">
        <v>134400</v>
      </c>
      <c r="L143" s="1">
        <f t="shared" si="15"/>
        <v>134400</v>
      </c>
      <c r="M143" s="1">
        <f t="shared" ref="M143:M145" si="16">L143-K143</f>
        <v>0</v>
      </c>
      <c r="N143" s="1">
        <f t="shared" ref="N143:N145" si="17">N142+M143</f>
        <v>1120000</v>
      </c>
    </row>
    <row r="144" spans="9:14" x14ac:dyDescent="0.25">
      <c r="J144" s="3">
        <v>43100</v>
      </c>
      <c r="K144" s="1">
        <v>134400</v>
      </c>
      <c r="L144" s="1">
        <f t="shared" si="15"/>
        <v>134400</v>
      </c>
      <c r="M144" s="1">
        <f t="shared" si="16"/>
        <v>0</v>
      </c>
      <c r="N144" s="1">
        <f t="shared" si="17"/>
        <v>1120000</v>
      </c>
    </row>
    <row r="145" spans="9:14" x14ac:dyDescent="0.25">
      <c r="J145" s="3">
        <v>43465</v>
      </c>
      <c r="K145" s="1">
        <v>134400</v>
      </c>
      <c r="L145" s="1">
        <f t="shared" si="15"/>
        <v>134400</v>
      </c>
      <c r="M145" s="1">
        <f t="shared" si="16"/>
        <v>0</v>
      </c>
      <c r="N145" s="1">
        <f t="shared" si="17"/>
        <v>1120000</v>
      </c>
    </row>
    <row r="146" spans="9:14" x14ac:dyDescent="0.25">
      <c r="J146" s="3">
        <v>43465</v>
      </c>
      <c r="K146" s="1">
        <v>134400</v>
      </c>
      <c r="L146" s="1">
        <f t="shared" si="15"/>
        <v>134400</v>
      </c>
      <c r="M146" s="1">
        <f t="shared" ref="M146:M148" si="18">L146-K146</f>
        <v>0</v>
      </c>
      <c r="N146" s="1">
        <f t="shared" ref="N146:N148" si="19">N145+M146</f>
        <v>1120000</v>
      </c>
    </row>
    <row r="147" spans="9:14" x14ac:dyDescent="0.25">
      <c r="J147" s="3">
        <v>43465</v>
      </c>
      <c r="K147" s="1">
        <v>134400</v>
      </c>
      <c r="L147" s="1">
        <f t="shared" si="15"/>
        <v>134400</v>
      </c>
      <c r="M147" s="1">
        <f t="shared" si="18"/>
        <v>0</v>
      </c>
      <c r="N147" s="1">
        <f t="shared" si="19"/>
        <v>1120000</v>
      </c>
    </row>
    <row r="148" spans="9:14" x14ac:dyDescent="0.25">
      <c r="J148" s="3">
        <v>43465</v>
      </c>
      <c r="K148" s="1">
        <v>134400</v>
      </c>
      <c r="L148" s="1">
        <f t="shared" si="15"/>
        <v>134400</v>
      </c>
      <c r="M148" s="1">
        <f t="shared" si="18"/>
        <v>0</v>
      </c>
      <c r="N148" s="1">
        <f t="shared" si="19"/>
        <v>1120000</v>
      </c>
    </row>
    <row r="149" spans="9:14" x14ac:dyDescent="0.25">
      <c r="K149" s="1">
        <f>SUM(K141:K145)</f>
        <v>672000</v>
      </c>
      <c r="L149" s="1">
        <f>SUM(L141:L145)</f>
        <v>672000</v>
      </c>
      <c r="M149" s="1">
        <f>SUM(M141:M145)</f>
        <v>0</v>
      </c>
      <c r="N149" s="1"/>
    </row>
    <row r="150" spans="9:14" x14ac:dyDescent="0.25">
      <c r="K150" s="2">
        <f>K149*2</f>
        <v>1344000</v>
      </c>
      <c r="L150" s="2">
        <f t="shared" ref="L150" si="20">L149*2</f>
        <v>1344000</v>
      </c>
    </row>
    <row r="151" spans="9:14" x14ac:dyDescent="0.25">
      <c r="I151">
        <f>I140*12%</f>
        <v>134400</v>
      </c>
    </row>
    <row r="152" spans="9:14" x14ac:dyDescent="0.25">
      <c r="I152">
        <f>I140+I151</f>
        <v>1254400</v>
      </c>
    </row>
    <row r="153" spans="9:14" x14ac:dyDescent="0.25">
      <c r="K153">
        <f>I140*6%</f>
        <v>67200</v>
      </c>
    </row>
    <row r="154" spans="9:14" x14ac:dyDescent="0.25">
      <c r="K154">
        <f>K153*16</f>
        <v>1075200</v>
      </c>
    </row>
    <row r="155" spans="9:14" x14ac:dyDescent="0.25">
      <c r="K155">
        <f>I140+K154</f>
        <v>2195200</v>
      </c>
    </row>
    <row r="156" spans="9:14" x14ac:dyDescent="0.25">
      <c r="K156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Jake DIneen</cp:lastModifiedBy>
  <dcterms:created xsi:type="dcterms:W3CDTF">2017-05-29T03:09:52Z</dcterms:created>
  <dcterms:modified xsi:type="dcterms:W3CDTF">2017-06-02T00:47:04Z</dcterms:modified>
</cp:coreProperties>
</file>