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925" firstSheet="1"/>
  </bookViews>
  <sheets>
    <sheet name="weapon|武器" sheetId="4" r:id="rId1"/>
    <sheet name="player_weapon_index|武器挂载" sheetId="5" r:id="rId2"/>
    <sheet name="怪物武器挂载坐标辅助表" sheetId="7" r:id="rId3"/>
    <sheet name="角色武器配置辅助表" sheetId="6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0" hidden="1">'weapon|武器'!$A$4:$AL$80</definedName>
    <definedName name="_xlnm._FilterDatabase" localSheetId="2" hidden="1">怪物武器挂载坐标辅助表!$A$2:$AP$47</definedName>
    <definedName name="float_text_type">[3]配置参数!$A$169:$A$180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  <author>冷淡雾峰</author>
    <author>MLoong</author>
    <author>忘忧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1-怪物武器
2-帮派Boss武器
3-角色武器
4-召唤怪物武器
5-事件怪物武器</t>
        </r>
      </text>
    </comment>
    <comment ref="J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0 角色武器动画
1 近战不击退
2 近战击退
3 近战范围击退
4 远程不击退
5 远程击退</t>
        </r>
      </text>
    </comment>
    <comment ref="K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怪物武器：</t>
        </r>
        <r>
          <rPr>
            <sz val="9"/>
            <rFont val="宋体"/>
            <charset val="134"/>
          </rPr>
          <t xml:space="preserve">
1-原攻击类型1、2(突刺)
2-原攻击类型3(挥舞)
3-原攻击类型4、5(自身旋转)
</t>
        </r>
        <r>
          <rPr>
            <b/>
            <sz val="9"/>
            <rFont val="宋体"/>
            <charset val="134"/>
          </rPr>
          <t xml:space="preserve">角色武器：
</t>
        </r>
        <r>
          <rPr>
            <sz val="9"/>
            <rFont val="宋体"/>
            <charset val="134"/>
          </rPr>
          <t>1-突刺
2-挥舞
3-自身旋转</t>
        </r>
      </text>
    </comment>
    <comment ref="M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ms</t>
        </r>
      </text>
    </comment>
    <comment ref="P4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如果怪物没有武器则为1;0;0;0</t>
        </r>
      </text>
    </comment>
    <comment ref="Q4" authorId="2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>攻击类型1：360
攻击类型2：360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攻击类型3-角度
攻击类型4-弹幕id
攻击类型5-弹幕id
</t>
        </r>
      </text>
    </comment>
    <comment ref="R4" authorId="2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>攻击类型1
攻击类型2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攻击类型3
</t>
        </r>
        <r>
          <rPr>
            <b/>
            <sz val="9"/>
            <rFont val="宋体"/>
            <charset val="134"/>
          </rPr>
          <t xml:space="preserve">碰撞盒边缘到判定盒边缘的距离。(默认体型)
</t>
        </r>
        <r>
          <rPr>
            <sz val="9"/>
            <rFont val="宋体"/>
            <charset val="134"/>
          </rPr>
          <t>攻击类型4、5</t>
        </r>
        <r>
          <rPr>
            <b/>
            <sz val="9"/>
            <rFont val="宋体"/>
            <charset val="134"/>
          </rPr>
          <t xml:space="preserve">
碰撞盒中心检测范围。</t>
        </r>
      </text>
    </comment>
    <comment ref="S4" authorId="2">
      <text>
        <r>
          <rPr>
            <b/>
            <sz val="9"/>
            <rFont val="宋体"/>
            <charset val="134"/>
          </rPr>
          <t xml:space="preserve">蓝霸符:
</t>
        </r>
        <r>
          <rPr>
            <sz val="9"/>
            <rFont val="宋体"/>
            <charset val="134"/>
          </rPr>
          <t>攻击帧(万分比)
造成伤害的时刻</t>
        </r>
      </text>
    </comment>
    <comment ref="W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单位：ms</t>
        </r>
      </text>
    </comment>
    <comment ref="X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单位：ms
</t>
        </r>
      </text>
    </comment>
    <comment ref="Y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单位：ms
</t>
        </r>
      </text>
    </comment>
    <comment ref="Z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第1次起始到第2次起始单位：ms</t>
        </r>
      </text>
    </comment>
    <comment ref="AB4" authorId="1">
      <text>
        <r>
          <rPr>
            <b/>
            <sz val="9"/>
            <rFont val="宋体"/>
            <charset val="134"/>
          </rPr>
          <t xml:space="preserve">蓝霸符:
怪物武器：
动画类型为1时：
</t>
        </r>
        <r>
          <rPr>
            <sz val="9"/>
            <rFont val="宋体"/>
            <charset val="134"/>
          </rPr>
          <t xml:space="preserve">x1-收缩用时、
x2-突刺用时、
y-顺时针旋转角度、
s1-收缩距离、
s2-突刺距离、
x3-武器停留时间、
空
空
RevTime-复原时间。
</t>
        </r>
        <r>
          <rPr>
            <b/>
            <sz val="9"/>
            <rFont val="宋体"/>
            <charset val="134"/>
          </rPr>
          <t>动画类型为2时：</t>
        </r>
        <r>
          <rPr>
            <sz val="9"/>
            <rFont val="宋体"/>
            <charset val="134"/>
          </rPr>
          <t xml:space="preserve">
x1-举起用时、
x2-停留用时、
x3-挥舞用时、
y1-举起角度、
y3-挥舞角度
s1-举起距离、
s3-挥舞距离、
x4-武器停留时间。
RecTime-复原时间。
</t>
        </r>
        <r>
          <rPr>
            <b/>
            <sz val="9"/>
            <rFont val="宋体"/>
            <charset val="134"/>
          </rPr>
          <t xml:space="preserve">动画类型为3时：
</t>
        </r>
        <r>
          <rPr>
            <sz val="9"/>
            <rFont val="宋体"/>
            <charset val="134"/>
          </rPr>
          <t xml:space="preserve">x1-举起用时、
x2-停留时间、
x3-挥舞用时、
y1-举起角度、
y3-挥舞角度。
x4-武器停留时间、
CycTimes-循环次数、
CyCInt-循环间隔、
RevTime-复原时间。
</t>
        </r>
        <r>
          <rPr>
            <b/>
            <sz val="9"/>
            <rFont val="宋体"/>
            <charset val="134"/>
          </rPr>
          <t>角色武器：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 xml:space="preserve">
x1-收缩用时、
x2-突刺用时、
y-顺时针旋转角度、
s1-收缩距离、
s2-突刺距离、
x3-武器停留时间、
空
空
RevTime-复原时间。
</t>
        </r>
        <r>
          <rPr>
            <b/>
            <sz val="9"/>
            <rFont val="宋体"/>
            <charset val="134"/>
          </rPr>
          <t>动画类型为2时：</t>
        </r>
        <r>
          <rPr>
            <sz val="9"/>
            <rFont val="宋体"/>
            <charset val="134"/>
          </rPr>
          <t xml:space="preserve">
x1-举起用时、
x2-停留用时、
x3-挥舞用时、
y1-举起角度、
y3-挥舞角度
s1-举起距离、
s3-挥舞距离、
x4-武器停留时间。
RecTime-复原时间。
</t>
        </r>
        <r>
          <rPr>
            <b/>
            <sz val="9"/>
            <rFont val="宋体"/>
            <charset val="134"/>
          </rPr>
          <t xml:space="preserve">
动画类型为3时：
</t>
        </r>
        <r>
          <rPr>
            <sz val="9"/>
            <rFont val="宋体"/>
            <charset val="134"/>
          </rPr>
          <t>x1-举起用时、
x2-停留时间、
x3-挥舞用时、
y1-举起角度、
y3-挥舞角度。
x4-武器停留时间、
CycTimes-循环次数、
CyCInt-循环间隔、
RevTime-复原时间。</t>
        </r>
      </text>
    </comment>
    <comment ref="AC4" authorId="1">
      <text>
        <r>
          <rPr>
            <b/>
            <sz val="9"/>
            <rFont val="宋体"/>
            <charset val="134"/>
          </rPr>
          <t xml:space="preserve">蓝霸符:
普通Boss施法动画参数：
</t>
        </r>
        <r>
          <rPr>
            <sz val="9"/>
            <rFont val="宋体"/>
            <charset val="134"/>
          </rPr>
          <t>施法动画仅使用动画类型2。</t>
        </r>
        <r>
          <rPr>
            <b/>
            <sz val="9"/>
            <rFont val="宋体"/>
            <charset val="134"/>
          </rPr>
          <t xml:space="preserve">
角色死亡武器动画参数：
</t>
        </r>
        <r>
          <rPr>
            <sz val="9"/>
            <rFont val="宋体"/>
            <charset val="134"/>
          </rPr>
          <t>动画类型5
1-抛起角度
2-抛起时间
3-抛起距离
4-停留时间
5-旋转角度
6-旋转时间
7-向下位移距离</t>
        </r>
      </text>
    </comment>
    <comment ref="AD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>x1-收缩用时、</t>
        </r>
        <r>
          <rPr>
            <b/>
            <sz val="9"/>
            <rFont val="宋体"/>
            <charset val="134"/>
          </rPr>
          <t xml:space="preserve">
动画类型为2时：</t>
        </r>
        <r>
          <rPr>
            <sz val="9"/>
            <rFont val="宋体"/>
            <charset val="134"/>
          </rPr>
          <t>x1-举起用时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x1-举起用时</t>
        </r>
      </text>
    </comment>
    <comment ref="AE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>x2-突刺用时</t>
        </r>
        <r>
          <rPr>
            <b/>
            <sz val="9"/>
            <rFont val="宋体"/>
            <charset val="134"/>
          </rPr>
          <t xml:space="preserve">
动画类型为2时：</t>
        </r>
        <r>
          <rPr>
            <sz val="9"/>
            <rFont val="宋体"/>
            <charset val="134"/>
          </rPr>
          <t xml:space="preserve">x2-停留用时
</t>
        </r>
        <r>
          <rPr>
            <b/>
            <sz val="9"/>
            <rFont val="宋体"/>
            <charset val="134"/>
          </rPr>
          <t>动画类型为3时：</t>
        </r>
        <r>
          <rPr>
            <sz val="9"/>
            <rFont val="宋体"/>
            <charset val="134"/>
          </rPr>
          <t>x2-停留时间</t>
        </r>
      </text>
    </comment>
    <comment ref="AF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>y-顺时针旋转角度</t>
        </r>
        <r>
          <rPr>
            <b/>
            <sz val="9"/>
            <rFont val="宋体"/>
            <charset val="134"/>
          </rPr>
          <t xml:space="preserve">
动画类型为2时：</t>
        </r>
        <r>
          <rPr>
            <sz val="9"/>
            <rFont val="宋体"/>
            <charset val="134"/>
          </rPr>
          <t>x3-挥舞用时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x3-挥舞用时</t>
        </r>
      </text>
    </comment>
    <comment ref="AG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 xml:space="preserve">s1-收缩距离
</t>
        </r>
        <r>
          <rPr>
            <b/>
            <sz val="9"/>
            <rFont val="宋体"/>
            <charset val="134"/>
          </rPr>
          <t>动画类型为2时：</t>
        </r>
        <r>
          <rPr>
            <sz val="9"/>
            <rFont val="宋体"/>
            <charset val="134"/>
          </rPr>
          <t>y1-举起角度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y1-举起角度</t>
        </r>
      </text>
    </comment>
    <comment ref="AH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>s2-突刺距离</t>
        </r>
        <r>
          <rPr>
            <b/>
            <sz val="9"/>
            <rFont val="宋体"/>
            <charset val="134"/>
          </rPr>
          <t xml:space="preserve">
动画类型为2时：</t>
        </r>
        <r>
          <rPr>
            <sz val="9"/>
            <rFont val="宋体"/>
            <charset val="134"/>
          </rPr>
          <t>y3-挥舞角度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y3-挥舞角度</t>
        </r>
      </text>
    </comment>
    <comment ref="AI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>x4-武器停留时间</t>
        </r>
        <r>
          <rPr>
            <b/>
            <sz val="9"/>
            <rFont val="宋体"/>
            <charset val="134"/>
          </rPr>
          <t xml:space="preserve">
动画类型为2时：</t>
        </r>
        <r>
          <rPr>
            <sz val="9"/>
            <rFont val="宋体"/>
            <charset val="134"/>
          </rPr>
          <t>s1-举起距离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x4-武器停留时间</t>
        </r>
      </text>
    </comment>
    <comment ref="AJ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>空</t>
        </r>
        <r>
          <rPr>
            <b/>
            <sz val="9"/>
            <rFont val="宋体"/>
            <charset val="134"/>
          </rPr>
          <t xml:space="preserve">
动画类型为2时：</t>
        </r>
        <r>
          <rPr>
            <sz val="9"/>
            <rFont val="宋体"/>
            <charset val="134"/>
          </rPr>
          <t>s3-挥舞距离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CycTimes-循环次数</t>
        </r>
      </text>
    </comment>
    <comment ref="AK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 xml:space="preserve">空
</t>
        </r>
        <r>
          <rPr>
            <b/>
            <sz val="9"/>
            <rFont val="宋体"/>
            <charset val="134"/>
          </rPr>
          <t>动画类型为2时：</t>
        </r>
        <r>
          <rPr>
            <sz val="9"/>
            <rFont val="宋体"/>
            <charset val="134"/>
          </rPr>
          <t>x4-武器停留时间</t>
        </r>
        <r>
          <rPr>
            <b/>
            <sz val="9"/>
            <rFont val="宋体"/>
            <charset val="134"/>
          </rPr>
          <t xml:space="preserve">
动画类型为3时：</t>
        </r>
        <r>
          <rPr>
            <sz val="9"/>
            <rFont val="宋体"/>
            <charset val="134"/>
          </rPr>
          <t>CyCInt-循环间隔</t>
        </r>
      </text>
    </comment>
    <comment ref="AL4" authorId="3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动画类型为1时：</t>
        </r>
        <r>
          <rPr>
            <sz val="9"/>
            <rFont val="宋体"/>
            <charset val="134"/>
          </rPr>
          <t xml:space="preserve">RevTime-复原时间。
</t>
        </r>
        <r>
          <rPr>
            <b/>
            <sz val="9"/>
            <rFont val="宋体"/>
            <charset val="134"/>
          </rPr>
          <t>动画类型为2时：</t>
        </r>
        <r>
          <rPr>
            <sz val="9"/>
            <rFont val="宋体"/>
            <charset val="134"/>
          </rPr>
          <t xml:space="preserve">RecTime-复原时间。
</t>
        </r>
        <r>
          <rPr>
            <b/>
            <sz val="9"/>
            <rFont val="宋体"/>
            <charset val="134"/>
          </rPr>
          <t>动画类型为3时：</t>
        </r>
        <r>
          <rPr>
            <sz val="9"/>
            <rFont val="宋体"/>
            <charset val="134"/>
          </rPr>
          <t>RevTime-复原时间。</t>
        </r>
      </text>
    </comment>
    <comment ref="AM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武器中心x坐标</t>
        </r>
      </text>
    </comment>
    <comment ref="AN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武器中心y坐标</t>
        </r>
      </text>
    </comment>
    <comment ref="AO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轴点x坐标</t>
        </r>
      </text>
    </comment>
    <comment ref="AP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轴点y坐标</t>
        </r>
      </text>
    </comment>
    <comment ref="AQ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旋转时间</t>
        </r>
      </text>
    </comment>
    <comment ref="AR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向上位移距离</t>
        </r>
      </text>
    </comment>
    <comment ref="AS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向上位移时间</t>
        </r>
      </text>
    </comment>
    <comment ref="AT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停留时间</t>
        </r>
      </text>
    </comment>
    <comment ref="AU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复原时间</t>
        </r>
      </text>
    </comment>
    <comment ref="A65" authorId="1">
      <text>
        <r>
          <rPr>
            <b/>
            <sz val="9"/>
            <rFont val="宋体"/>
            <charset val="134"/>
          </rPr>
          <t>冷淡雾峰:</t>
        </r>
        <r>
          <rPr>
            <sz val="9"/>
            <rFont val="宋体"/>
            <charset val="134"/>
          </rPr>
          <t xml:space="preserve">
备份数据</t>
        </r>
      </text>
    </comment>
  </commentList>
</comments>
</file>

<file path=xl/comments2.xml><?xml version="1.0" encoding="utf-8"?>
<comments xmlns="http://schemas.openxmlformats.org/spreadsheetml/2006/main">
  <authors>
    <author>冷淡雾峰</author>
  </authors>
  <commentList>
    <comment ref="D4" authorId="0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>x坐标;y坐标;大小万分比;偏移角度
x,y坐标相对于模型中心点,单位毫米
原始大小根据美术出的而定，默认10000微调
偏移角度，相对于模型正上方逆时针的偏移角度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<sst xmlns="http://schemas.openxmlformats.org/spreadsheetml/2006/main" count="458" uniqueCount="255">
  <si>
    <t>id</t>
  </si>
  <si>
    <t>type</t>
  </si>
  <si>
    <t>name</t>
  </si>
  <si>
    <t>pic</t>
  </si>
  <si>
    <t>desc</t>
  </si>
  <si>
    <t>quality</t>
  </si>
  <si>
    <t>diamond</t>
  </si>
  <si>
    <t>model</t>
  </si>
  <si>
    <t>atk_type</t>
  </si>
  <si>
    <t>display_type</t>
  </si>
  <si>
    <t>para_atk</t>
  </si>
  <si>
    <t>para_interval</t>
  </si>
  <si>
    <t>para_force</t>
  </si>
  <si>
    <t>para_speed</t>
  </si>
  <si>
    <t>move_type</t>
  </si>
  <si>
    <t>para_1</t>
  </si>
  <si>
    <t>para_2</t>
  </si>
  <si>
    <t>para_3</t>
  </si>
  <si>
    <t>display_time</t>
  </si>
  <si>
    <t>display_para_1</t>
  </si>
  <si>
    <t>display_para_2</t>
  </si>
  <si>
    <t>int</t>
  </si>
  <si>
    <t>string</t>
  </si>
  <si>
    <t>array_int</t>
  </si>
  <si>
    <t>array1_int</t>
  </si>
  <si>
    <t>all</t>
  </si>
  <si>
    <t>client</t>
  </si>
  <si>
    <t>备注</t>
  </si>
  <si>
    <t>类型</t>
  </si>
  <si>
    <t>名称</t>
  </si>
  <si>
    <t>图片(图片资源)</t>
  </si>
  <si>
    <t>描述</t>
  </si>
  <si>
    <t>品质</t>
  </si>
  <si>
    <t>图鉴-解锁领取比特币</t>
  </si>
  <si>
    <t>模型</t>
  </si>
  <si>
    <t>攻击类型</t>
  </si>
  <si>
    <t>动画类型</t>
  </si>
  <si>
    <t>攻击力系数</t>
  </si>
  <si>
    <t>攻击间隔</t>
  </si>
  <si>
    <t>推力系数</t>
  </si>
  <si>
    <t>移动速度系数</t>
  </si>
  <si>
    <t>移动规则</t>
  </si>
  <si>
    <t>参数1</t>
  </si>
  <si>
    <t>参数2</t>
  </si>
  <si>
    <t>参数3</t>
  </si>
  <si>
    <t>特殊攻击帧</t>
  </si>
  <si>
    <t>总时间(毫秒)</t>
  </si>
  <si>
    <t>攻击动画总时间(毫秒)</t>
  </si>
  <si>
    <t>攻击前摇</t>
  </si>
  <si>
    <t>攻击持续</t>
  </si>
  <si>
    <t>攻击后摇</t>
  </si>
  <si>
    <t>基础动作cd</t>
  </si>
  <si>
    <t>死亡动画总时间(毫秒)</t>
  </si>
  <si>
    <t>武器攻击动画参数</t>
  </si>
  <si>
    <t>普通Boss施法动画参数/角色死亡武器动画参数</t>
  </si>
  <si>
    <t>攻击动画1</t>
  </si>
  <si>
    <t>攻击动画2</t>
  </si>
  <si>
    <t>攻击动画3</t>
  </si>
  <si>
    <t>攻击动画4</t>
  </si>
  <si>
    <t>攻击动画5</t>
  </si>
  <si>
    <t>攻击动画6</t>
  </si>
  <si>
    <t>攻击动画7</t>
  </si>
  <si>
    <t>攻击动画8</t>
  </si>
  <si>
    <t>攻击动画9</t>
  </si>
  <si>
    <t>施法动画1</t>
  </si>
  <si>
    <t>施法动画2</t>
  </si>
  <si>
    <t>施法动画3</t>
  </si>
  <si>
    <t>施法动画4</t>
  </si>
  <si>
    <t>施法动画5</t>
  </si>
  <si>
    <t>施法动画6</t>
  </si>
  <si>
    <t>施法动画7</t>
  </si>
  <si>
    <t>施法动画8</t>
  </si>
  <si>
    <t>施法动画9</t>
  </si>
  <si>
    <t>砍刀</t>
  </si>
  <si>
    <t>2;500;0;0</t>
  </si>
  <si>
    <t>菜刀</t>
  </si>
  <si>
    <t>太刀</t>
  </si>
  <si>
    <t>1;0;0;0</t>
  </si>
  <si>
    <t>啤酒瓶</t>
  </si>
  <si>
    <t>电击枪</t>
  </si>
  <si>
    <t>螺丝刀</t>
  </si>
  <si>
    <t>榔头</t>
  </si>
  <si>
    <t>拳套</t>
  </si>
  <si>
    <t>警棍</t>
  </si>
  <si>
    <t>指虎</t>
  </si>
  <si>
    <t>皮带</t>
  </si>
  <si>
    <t>板凳</t>
  </si>
  <si>
    <t>扳手</t>
  </si>
  <si>
    <t>棍</t>
  </si>
  <si>
    <t>钢管</t>
  </si>
  <si>
    <t>高尔夫球杆</t>
  </si>
  <si>
    <t>拖把</t>
  </si>
  <si>
    <t>铁锅</t>
  </si>
  <si>
    <t>手枪</t>
  </si>
  <si>
    <t>4;1500;40000;6000</t>
  </si>
  <si>
    <t>冲锋枪</t>
  </si>
  <si>
    <t>步枪</t>
  </si>
  <si>
    <t>4;1500;120000;6000</t>
  </si>
  <si>
    <t>狙击枪</t>
  </si>
  <si>
    <t>机枪</t>
  </si>
  <si>
    <t>4;1500;80000;6000</t>
  </si>
  <si>
    <t>燃烧瓶</t>
  </si>
  <si>
    <t>易拉罐</t>
  </si>
  <si>
    <t>灭火器</t>
  </si>
  <si>
    <t>飞镖</t>
  </si>
  <si>
    <t>吉他</t>
  </si>
  <si>
    <t>手炮</t>
  </si>
  <si>
    <t>霰弹枪</t>
  </si>
  <si>
    <t>榴弹枪</t>
  </si>
  <si>
    <t>火箭炮</t>
  </si>
  <si>
    <t>手榴弹</t>
  </si>
  <si>
    <t>板砖</t>
  </si>
  <si>
    <t>爱心拳套</t>
  </si>
  <si>
    <t>银色匕首</t>
  </si>
  <si>
    <t>炸药包</t>
  </si>
  <si>
    <t>笔记本</t>
  </si>
  <si>
    <t>武士刀</t>
  </si>
  <si>
    <t>内力</t>
  </si>
  <si>
    <t>3501待定</t>
  </si>
  <si>
    <t>3502待定</t>
  </si>
  <si>
    <t>3503待定</t>
  </si>
  <si>
    <t>贝斯</t>
  </si>
  <si>
    <t>音箱</t>
  </si>
  <si>
    <t>Uzi</t>
  </si>
  <si>
    <t>5501待定</t>
  </si>
  <si>
    <t>5502待定</t>
  </si>
  <si>
    <t>5503待定</t>
  </si>
  <si>
    <t>棒球棍</t>
  </si>
  <si>
    <t>equip_101_name</t>
  </si>
  <si>
    <t>equip_101_desc</t>
  </si>
  <si>
    <t>玩具水枪</t>
  </si>
  <si>
    <t>equip_102_name</t>
  </si>
  <si>
    <t>equip_102_desc</t>
  </si>
  <si>
    <t>equip_103_name</t>
  </si>
  <si>
    <t>equip_103_desc</t>
  </si>
  <si>
    <t>台球杆</t>
  </si>
  <si>
    <t>equip_104_name</t>
  </si>
  <si>
    <t>equip_104_desc</t>
  </si>
  <si>
    <t>平底锅</t>
  </si>
  <si>
    <t>equip_105_name</t>
  </si>
  <si>
    <t>equip_105_desc</t>
  </si>
  <si>
    <t>夺命弹弓</t>
  </si>
  <si>
    <t>equip_151_name</t>
  </si>
  <si>
    <t>equip_151_desc</t>
  </si>
  <si>
    <t>狼牙棒</t>
  </si>
  <si>
    <t>玩具水枪Pro</t>
  </si>
  <si>
    <t>电吉他</t>
  </si>
  <si>
    <t>冠军之杆</t>
  </si>
  <si>
    <t>平底锅Plus</t>
  </si>
  <si>
    <t>追击</t>
  </si>
  <si>
    <t>拉扯</t>
  </si>
  <si>
    <t>无法移动</t>
  </si>
  <si>
    <t>52;1500;40000;6000</t>
  </si>
  <si>
    <t>role_id</t>
  </si>
  <si>
    <t>weapon_id</t>
  </si>
  <si>
    <t>monster_weapon_index</t>
  </si>
  <si>
    <t>角色id</t>
  </si>
  <si>
    <t>武器id</t>
  </si>
  <si>
    <t>武器挂载坐标</t>
  </si>
  <si>
    <t>基础数据(猴子)</t>
  </si>
  <si>
    <t>spine命名</t>
  </si>
  <si>
    <r>
      <rPr>
        <b/>
        <sz val="12"/>
        <rFont val="微软雅黑"/>
        <charset val="134"/>
      </rPr>
      <t>太刀</t>
    </r>
    <r>
      <rPr>
        <b/>
        <sz val="12"/>
        <color rgb="FFFF0000"/>
        <rFont val="微软雅黑"/>
        <charset val="134"/>
      </rPr>
      <t>103</t>
    </r>
    <r>
      <rPr>
        <b/>
        <sz val="12"/>
        <rFont val="微软雅黑"/>
        <charset val="134"/>
      </rPr>
      <t>采样</t>
    </r>
  </si>
  <si>
    <t>计算相对坐标</t>
  </si>
  <si>
    <t>模型相对坐标数据</t>
  </si>
  <si>
    <t>碰撞盒数据</t>
  </si>
  <si>
    <t>属性</t>
  </si>
  <si>
    <t>x坐标</t>
  </si>
  <si>
    <t>y坐标</t>
  </si>
  <si>
    <t>相对大小</t>
  </si>
  <si>
    <t>偏移角度</t>
  </si>
  <si>
    <t>中心x</t>
  </si>
  <si>
    <t>中心y</t>
  </si>
  <si>
    <t>轴点x坐标</t>
  </si>
  <si>
    <t>轴点y坐标</t>
  </si>
  <si>
    <t>举起距离</t>
  </si>
  <si>
    <t>旋转时间</t>
  </si>
  <si>
    <t>动物种类</t>
  </si>
  <si>
    <t>模型id</t>
  </si>
  <si>
    <t>种类</t>
  </si>
  <si>
    <t>大小X</t>
  </si>
  <si>
    <t>大小Y</t>
  </si>
  <si>
    <t>渲染X</t>
  </si>
  <si>
    <t>渲染Y</t>
  </si>
  <si>
    <t>曲度</t>
  </si>
  <si>
    <t>寻路半径</t>
  </si>
  <si>
    <t>推力</t>
  </si>
  <si>
    <t>移动速度</t>
  </si>
  <si>
    <t>质量</t>
  </si>
  <si>
    <t>生命系数</t>
  </si>
  <si>
    <t>边长比例</t>
  </si>
  <si>
    <t>向上位移时间</t>
  </si>
  <si>
    <t>猴子</t>
  </si>
  <si>
    <t>monkey</t>
  </si>
  <si>
    <t>喽啰</t>
  </si>
  <si>
    <t>盒</t>
  </si>
  <si>
    <t>停留时间</t>
  </si>
  <si>
    <t>秃鹫</t>
  </si>
  <si>
    <t>vulture</t>
  </si>
  <si>
    <t>复原时间</t>
  </si>
  <si>
    <t>鳄鱼</t>
  </si>
  <si>
    <t>crocodile</t>
  </si>
  <si>
    <t>兔子</t>
  </si>
  <si>
    <t>rabbit</t>
  </si>
  <si>
    <t>老虎</t>
  </si>
  <si>
    <t>tiger</t>
  </si>
  <si>
    <t>鸭子</t>
  </si>
  <si>
    <t>duck</t>
  </si>
  <si>
    <t>榔头（重）</t>
  </si>
  <si>
    <t>孔雀</t>
  </si>
  <si>
    <t>peacock</t>
  </si>
  <si>
    <t>鹦鹉</t>
  </si>
  <si>
    <t>parrot</t>
  </si>
  <si>
    <t>蜥蜴</t>
  </si>
  <si>
    <t>lizard</t>
  </si>
  <si>
    <t>190*203</t>
  </si>
  <si>
    <t>195*221</t>
  </si>
  <si>
    <t>帮派Boss</t>
  </si>
  <si>
    <t>基础宽度</t>
  </si>
  <si>
    <t>基础高度</t>
  </si>
  <si>
    <t>最大宽度</t>
  </si>
  <si>
    <t>最大高度</t>
  </si>
  <si>
    <t>基础大小X</t>
  </si>
  <si>
    <t>基础大小Y</t>
  </si>
  <si>
    <t>基础渲染X</t>
  </si>
  <si>
    <t>基础渲染Y</t>
  </si>
  <si>
    <t>德里克</t>
  </si>
  <si>
    <t>伊莎贝拉</t>
  </si>
  <si>
    <t>拉斐尔·沃尔夫</t>
  </si>
  <si>
    <t>王三金</t>
  </si>
  <si>
    <t>前田龙太</t>
  </si>
  <si>
    <t>陈</t>
  </si>
  <si>
    <t>洛伦佐</t>
  </si>
  <si>
    <t>安娜·佩里尼</t>
  </si>
  <si>
    <t>马塞洛·佩里尼</t>
  </si>
  <si>
    <t>哈维尔</t>
  </si>
  <si>
    <t>路易斯</t>
  </si>
  <si>
    <t>雷克斯</t>
  </si>
  <si>
    <t>薇奥莱特</t>
  </si>
  <si>
    <t>西娅</t>
  </si>
  <si>
    <t>唐纳德</t>
  </si>
  <si>
    <t>基础数据(猴)</t>
  </si>
  <si>
    <t>角色武器挂载点</t>
  </si>
  <si>
    <t>棒球棍采样</t>
  </si>
  <si>
    <t>武器挂载点</t>
  </si>
  <si>
    <t>角色备注</t>
  </si>
  <si>
    <t>棒球棍-1</t>
  </si>
  <si>
    <t>棒球棍-4</t>
  </si>
  <si>
    <t>玩具水枪-1</t>
  </si>
  <si>
    <t>玩具水枪-4</t>
  </si>
  <si>
    <t>吉他-1</t>
  </si>
  <si>
    <t>吉他-4</t>
  </si>
  <si>
    <t>台球杆-1</t>
  </si>
  <si>
    <t>台球杆-4</t>
  </si>
  <si>
    <t>平底锅-1</t>
  </si>
  <si>
    <t>平底锅-4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</si>
</sst>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8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2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b/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rgb="FFFF0000"/>
      <name val="宋体"/>
      <charset val="134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176" fontId="9" fillId="8" borderId="2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2" xfId="0" applyNumberFormat="1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10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5" fillId="12" borderId="2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>
      <alignment vertical="center"/>
    </xf>
    <xf numFmtId="0" fontId="15" fillId="5" borderId="2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0" tint="-0.25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19990;&#30028;&#35266;&#21450;&#32654;&#26415;&#38656;&#2771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25968;&#2054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G\Config\3xlsx\4BattleUnit\skill_element_r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config\common\us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世界观"/>
      <sheetName val="主角"/>
      <sheetName val="背景设计"/>
      <sheetName val="怪物设计"/>
      <sheetName val="场景设计"/>
      <sheetName val="障碍物-地形设计"/>
      <sheetName val="武器设计"/>
      <sheetName val="障碍物设计"/>
      <sheetName val="碰撞盒设计"/>
      <sheetName val="地形设计"/>
      <sheetName val="道具设计"/>
      <sheetName val="科技类型图标设计"/>
      <sheetName val="障碍物设计-修改模板"/>
      <sheetName val="背景障碍物"/>
    </sheetNames>
    <sheetDataSet>
      <sheetData sheetId="0"/>
      <sheetData sheetId="1"/>
      <sheetData sheetId="2"/>
      <sheetData sheetId="3">
        <row r="14">
          <cell r="D14" t="str">
            <v>748*1277</v>
          </cell>
        </row>
        <row r="16">
          <cell r="D16" t="str">
            <v>初始尺寸</v>
          </cell>
        </row>
        <row r="17">
          <cell r="D17" t="str">
            <v>43*50</v>
          </cell>
        </row>
        <row r="41">
          <cell r="D41" t="str">
            <v>59*37</v>
          </cell>
        </row>
        <row r="45">
          <cell r="D45" t="str">
            <v>66*44</v>
          </cell>
        </row>
        <row r="76">
          <cell r="D76" t="str">
            <v>怪物ID</v>
          </cell>
        </row>
        <row r="76">
          <cell r="U76" t="str">
            <v>喽啰名称</v>
          </cell>
        </row>
        <row r="77">
          <cell r="D77">
            <v>1011</v>
          </cell>
        </row>
        <row r="77">
          <cell r="U77" t="str">
            <v>猴子1</v>
          </cell>
        </row>
        <row r="78">
          <cell r="D78">
            <v>1012</v>
          </cell>
        </row>
        <row r="78">
          <cell r="U78" t="str">
            <v>秃鹫1</v>
          </cell>
        </row>
        <row r="79">
          <cell r="D79">
            <v>1013</v>
          </cell>
        </row>
        <row r="79">
          <cell r="U79" t="str">
            <v>鳄鱼1</v>
          </cell>
        </row>
        <row r="80">
          <cell r="D80">
            <v>1021</v>
          </cell>
        </row>
        <row r="80">
          <cell r="U80" t="str">
            <v>鳄鱼2</v>
          </cell>
        </row>
        <row r="81">
          <cell r="D81">
            <v>1022</v>
          </cell>
        </row>
        <row r="81">
          <cell r="U81" t="str">
            <v>猴子2</v>
          </cell>
        </row>
        <row r="82">
          <cell r="D82">
            <v>1023</v>
          </cell>
        </row>
        <row r="82">
          <cell r="U82" t="str">
            <v>秃鹫2</v>
          </cell>
        </row>
        <row r="83">
          <cell r="D83">
            <v>1031</v>
          </cell>
        </row>
        <row r="83">
          <cell r="U83" t="str">
            <v>猴子3</v>
          </cell>
        </row>
        <row r="84">
          <cell r="D84">
            <v>1032</v>
          </cell>
        </row>
        <row r="84">
          <cell r="U84" t="str">
            <v>鳄鱼3</v>
          </cell>
        </row>
        <row r="85">
          <cell r="D85">
            <v>1033</v>
          </cell>
        </row>
        <row r="85">
          <cell r="U85" t="str">
            <v>秃鹫3</v>
          </cell>
        </row>
        <row r="86">
          <cell r="D86">
            <v>1501</v>
          </cell>
        </row>
        <row r="86">
          <cell r="U86" t="str">
            <v/>
          </cell>
        </row>
        <row r="87">
          <cell r="D87">
            <v>1502</v>
          </cell>
        </row>
        <row r="87">
          <cell r="U87" t="str">
            <v/>
          </cell>
        </row>
        <row r="88">
          <cell r="D88">
            <v>1503</v>
          </cell>
        </row>
        <row r="88">
          <cell r="U88" t="str">
            <v/>
          </cell>
        </row>
        <row r="89">
          <cell r="D89">
            <v>2011</v>
          </cell>
        </row>
        <row r="89">
          <cell r="U89" t="str">
            <v>兔子1</v>
          </cell>
        </row>
        <row r="90">
          <cell r="D90">
            <v>2012</v>
          </cell>
        </row>
        <row r="90">
          <cell r="U90" t="str">
            <v>老虎1</v>
          </cell>
        </row>
        <row r="91">
          <cell r="D91">
            <v>2013</v>
          </cell>
        </row>
        <row r="91">
          <cell r="U91" t="str">
            <v>鸭子1</v>
          </cell>
        </row>
        <row r="92">
          <cell r="D92">
            <v>2021</v>
          </cell>
        </row>
        <row r="92">
          <cell r="U92" t="str">
            <v>老虎2</v>
          </cell>
        </row>
        <row r="93">
          <cell r="D93">
            <v>2022</v>
          </cell>
        </row>
        <row r="93">
          <cell r="U93" t="str">
            <v>兔子2</v>
          </cell>
        </row>
        <row r="94">
          <cell r="D94">
            <v>2023</v>
          </cell>
        </row>
        <row r="94">
          <cell r="U94" t="str">
            <v>兔子3</v>
          </cell>
        </row>
        <row r="95">
          <cell r="D95">
            <v>2031</v>
          </cell>
        </row>
        <row r="95">
          <cell r="U95" t="str">
            <v>鸭子2</v>
          </cell>
        </row>
        <row r="96">
          <cell r="D96">
            <v>2032</v>
          </cell>
        </row>
        <row r="96">
          <cell r="U96" t="str">
            <v>老虎3</v>
          </cell>
        </row>
        <row r="97">
          <cell r="D97">
            <v>2033</v>
          </cell>
        </row>
        <row r="97">
          <cell r="U97" t="str">
            <v>鸭子3</v>
          </cell>
        </row>
        <row r="98">
          <cell r="D98">
            <v>2501</v>
          </cell>
        </row>
        <row r="98">
          <cell r="U98" t="str">
            <v>猴子4</v>
          </cell>
        </row>
        <row r="99">
          <cell r="D99">
            <v>2502</v>
          </cell>
        </row>
        <row r="99">
          <cell r="U99" t="str">
            <v/>
          </cell>
        </row>
        <row r="100">
          <cell r="D100">
            <v>2503</v>
          </cell>
        </row>
        <row r="100">
          <cell r="U100" t="str">
            <v/>
          </cell>
        </row>
        <row r="101">
          <cell r="D101">
            <v>3011</v>
          </cell>
        </row>
        <row r="101">
          <cell r="U101" t="str">
            <v/>
          </cell>
        </row>
        <row r="102">
          <cell r="D102">
            <v>3012</v>
          </cell>
        </row>
        <row r="102">
          <cell r="U102" t="str">
            <v/>
          </cell>
        </row>
        <row r="103">
          <cell r="D103">
            <v>3013</v>
          </cell>
        </row>
        <row r="103">
          <cell r="U103" t="str">
            <v/>
          </cell>
        </row>
        <row r="104">
          <cell r="D104">
            <v>3021</v>
          </cell>
        </row>
        <row r="104">
          <cell r="U104" t="str">
            <v/>
          </cell>
        </row>
        <row r="105">
          <cell r="D105">
            <v>3022</v>
          </cell>
        </row>
        <row r="105">
          <cell r="U105" t="str">
            <v/>
          </cell>
        </row>
        <row r="106">
          <cell r="D106">
            <v>3023</v>
          </cell>
        </row>
        <row r="106">
          <cell r="U106" t="str">
            <v/>
          </cell>
        </row>
        <row r="107">
          <cell r="D107">
            <v>3031</v>
          </cell>
        </row>
        <row r="107">
          <cell r="U107" t="str">
            <v/>
          </cell>
        </row>
        <row r="108">
          <cell r="D108">
            <v>3032</v>
          </cell>
        </row>
        <row r="108">
          <cell r="U108" t="str">
            <v/>
          </cell>
        </row>
        <row r="109">
          <cell r="D109">
            <v>3033</v>
          </cell>
        </row>
        <row r="109">
          <cell r="U109" t="str">
            <v/>
          </cell>
        </row>
        <row r="110">
          <cell r="D110">
            <v>3501</v>
          </cell>
        </row>
        <row r="110">
          <cell r="U110" t="str">
            <v/>
          </cell>
        </row>
        <row r="111">
          <cell r="D111">
            <v>3502</v>
          </cell>
        </row>
        <row r="111">
          <cell r="U111" t="str">
            <v>兔子4</v>
          </cell>
        </row>
        <row r="112">
          <cell r="D112">
            <v>3503</v>
          </cell>
        </row>
        <row r="112">
          <cell r="U112" t="str">
            <v/>
          </cell>
        </row>
        <row r="113">
          <cell r="D113">
            <v>4011</v>
          </cell>
        </row>
        <row r="113">
          <cell r="U113" t="str">
            <v>孔雀1</v>
          </cell>
        </row>
        <row r="114">
          <cell r="D114">
            <v>4012</v>
          </cell>
        </row>
        <row r="114">
          <cell r="U114" t="str">
            <v>孔雀2</v>
          </cell>
        </row>
        <row r="115">
          <cell r="D115">
            <v>4013</v>
          </cell>
        </row>
        <row r="115">
          <cell r="U115" t="str">
            <v>鹦鹉1</v>
          </cell>
        </row>
        <row r="116">
          <cell r="D116">
            <v>4021</v>
          </cell>
        </row>
        <row r="116">
          <cell r="U116" t="str">
            <v>鹦鹉2</v>
          </cell>
        </row>
        <row r="117">
          <cell r="D117">
            <v>4022</v>
          </cell>
        </row>
        <row r="117">
          <cell r="U117" t="str">
            <v>蜥蜴1</v>
          </cell>
        </row>
        <row r="118">
          <cell r="D118">
            <v>4023</v>
          </cell>
        </row>
        <row r="118">
          <cell r="U118" t="str">
            <v>蜥蜴2</v>
          </cell>
        </row>
        <row r="119">
          <cell r="D119">
            <v>4031</v>
          </cell>
        </row>
        <row r="119">
          <cell r="U119" t="str">
            <v>蜥蜴3</v>
          </cell>
        </row>
        <row r="120">
          <cell r="D120">
            <v>4032</v>
          </cell>
        </row>
        <row r="120">
          <cell r="U120" t="str">
            <v>孔雀3</v>
          </cell>
        </row>
        <row r="121">
          <cell r="D121">
            <v>4033</v>
          </cell>
        </row>
        <row r="121">
          <cell r="U121" t="str">
            <v>鹦鹉3</v>
          </cell>
        </row>
        <row r="122">
          <cell r="D122">
            <v>4501</v>
          </cell>
        </row>
        <row r="122">
          <cell r="U122" t="str">
            <v/>
          </cell>
        </row>
        <row r="123">
          <cell r="D123">
            <v>4502</v>
          </cell>
        </row>
        <row r="123">
          <cell r="U123" t="str">
            <v/>
          </cell>
        </row>
        <row r="124">
          <cell r="D124">
            <v>4503</v>
          </cell>
        </row>
        <row r="124">
          <cell r="U124" t="str">
            <v/>
          </cell>
        </row>
        <row r="125">
          <cell r="D125">
            <v>5011</v>
          </cell>
        </row>
        <row r="125">
          <cell r="U125" t="str">
            <v/>
          </cell>
        </row>
        <row r="126">
          <cell r="D126">
            <v>5012</v>
          </cell>
        </row>
        <row r="126">
          <cell r="U126" t="str">
            <v/>
          </cell>
        </row>
        <row r="127">
          <cell r="D127">
            <v>5013</v>
          </cell>
        </row>
        <row r="127">
          <cell r="U127" t="str">
            <v/>
          </cell>
        </row>
        <row r="128">
          <cell r="D128">
            <v>5021</v>
          </cell>
        </row>
        <row r="128">
          <cell r="U128" t="str">
            <v/>
          </cell>
        </row>
        <row r="129">
          <cell r="D129">
            <v>5022</v>
          </cell>
        </row>
        <row r="129">
          <cell r="U129" t="str">
            <v/>
          </cell>
        </row>
        <row r="130">
          <cell r="D130">
            <v>5023</v>
          </cell>
        </row>
        <row r="130">
          <cell r="U130" t="str">
            <v/>
          </cell>
        </row>
        <row r="131">
          <cell r="D131">
            <v>5031</v>
          </cell>
        </row>
        <row r="131">
          <cell r="U131" t="str">
            <v/>
          </cell>
        </row>
        <row r="132">
          <cell r="D132">
            <v>5032</v>
          </cell>
        </row>
        <row r="132">
          <cell r="U132" t="str">
            <v/>
          </cell>
        </row>
        <row r="133">
          <cell r="D133">
            <v>5033</v>
          </cell>
        </row>
        <row r="133">
          <cell r="U133" t="str">
            <v/>
          </cell>
        </row>
        <row r="134">
          <cell r="D134">
            <v>5501</v>
          </cell>
        </row>
        <row r="134">
          <cell r="U134" t="str">
            <v/>
          </cell>
        </row>
        <row r="135">
          <cell r="D135">
            <v>5502</v>
          </cell>
        </row>
        <row r="135">
          <cell r="U135" t="str">
            <v/>
          </cell>
        </row>
        <row r="136">
          <cell r="D136">
            <v>5503</v>
          </cell>
        </row>
        <row r="136">
          <cell r="U136" t="str">
            <v/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T2" t="str">
            <v>monster_weapon标准量</v>
          </cell>
        </row>
        <row r="2">
          <cell r="W2" t="str">
            <v>怪物推力=2000</v>
          </cell>
        </row>
        <row r="2">
          <cell r="AI2" t="str">
            <v>攻击类型123</v>
          </cell>
        </row>
        <row r="2">
          <cell r="AK2" t="str">
            <v>攻击类型45</v>
          </cell>
        </row>
        <row r="3">
          <cell r="B3" t="str">
            <v>编号</v>
          </cell>
        </row>
        <row r="3">
          <cell r="J3" t="str">
            <v>攻击力</v>
          </cell>
          <cell r="K3" t="str">
            <v>攻击速度</v>
          </cell>
          <cell r="L3" t="str">
            <v>推力</v>
          </cell>
        </row>
        <row r="3">
          <cell r="N3" t="str">
            <v>范围</v>
          </cell>
        </row>
        <row r="3">
          <cell r="P3" t="str">
            <v>移动速度</v>
          </cell>
        </row>
        <row r="3">
          <cell r="T3" t="str">
            <v>攻击类型</v>
          </cell>
          <cell r="U3" t="str">
            <v>攻击力系数</v>
          </cell>
          <cell r="V3" t="str">
            <v>攻击间隔</v>
          </cell>
          <cell r="W3" t="str">
            <v>推力系数</v>
          </cell>
          <cell r="X3" t="str">
            <v>移动速度系数</v>
          </cell>
          <cell r="Y3" t="str">
            <v>参数2</v>
          </cell>
        </row>
        <row r="3">
          <cell r="AA3" t="str">
            <v>攻击力</v>
          </cell>
          <cell r="AB3" t="str">
            <v>攻击力系数</v>
          </cell>
          <cell r="AC3" t="str">
            <v>攻击速度</v>
          </cell>
          <cell r="AD3" t="str">
            <v>攻击间隔</v>
          </cell>
          <cell r="AE3" t="str">
            <v>推力</v>
          </cell>
          <cell r="AF3" t="str">
            <v>推力系数</v>
          </cell>
          <cell r="AG3" t="str">
            <v>移动速度</v>
          </cell>
          <cell r="AH3" t="str">
            <v>移动速度系数</v>
          </cell>
          <cell r="AI3" t="str">
            <v>范围</v>
          </cell>
          <cell r="AJ3" t="str">
            <v>参数2</v>
          </cell>
          <cell r="AK3" t="str">
            <v>范围</v>
          </cell>
          <cell r="AL3" t="str">
            <v>参数2</v>
          </cell>
        </row>
        <row r="4">
          <cell r="B4">
            <v>101</v>
          </cell>
        </row>
        <row r="4">
          <cell r="J4">
            <v>3</v>
          </cell>
          <cell r="K4">
            <v>2</v>
          </cell>
          <cell r="L4">
            <v>0</v>
          </cell>
        </row>
        <row r="4">
          <cell r="N4">
            <v>2</v>
          </cell>
        </row>
        <row r="4">
          <cell r="P4">
            <v>3</v>
          </cell>
        </row>
        <row r="4">
          <cell r="T4">
            <v>1</v>
          </cell>
          <cell r="U4">
            <v>10000</v>
          </cell>
          <cell r="V4">
            <v>5000</v>
          </cell>
          <cell r="W4">
            <v>0</v>
          </cell>
          <cell r="X4">
            <v>12000</v>
          </cell>
          <cell r="Y4">
            <v>730</v>
          </cell>
        </row>
        <row r="4">
          <cell r="AA4">
            <v>1</v>
          </cell>
          <cell r="AB4">
            <v>0.4</v>
          </cell>
          <cell r="AC4">
            <v>1</v>
          </cell>
          <cell r="AD4">
            <v>1</v>
          </cell>
          <cell r="AE4">
            <v>0</v>
          </cell>
          <cell r="AF4">
            <v>0</v>
          </cell>
          <cell r="AG4">
            <v>1</v>
          </cell>
          <cell r="AH4">
            <v>0.6</v>
          </cell>
          <cell r="AI4">
            <v>1</v>
          </cell>
          <cell r="AJ4">
            <v>11</v>
          </cell>
          <cell r="AK4">
            <v>1</v>
          </cell>
          <cell r="AL4">
            <v>1</v>
          </cell>
        </row>
        <row r="5">
          <cell r="B5">
            <v>102</v>
          </cell>
        </row>
        <row r="5">
          <cell r="J5">
            <v>2</v>
          </cell>
          <cell r="K5">
            <v>3</v>
          </cell>
          <cell r="L5">
            <v>0</v>
          </cell>
        </row>
        <row r="5">
          <cell r="N5">
            <v>1</v>
          </cell>
        </row>
        <row r="5">
          <cell r="P5">
            <v>3</v>
          </cell>
        </row>
        <row r="5">
          <cell r="T5">
            <v>2</v>
          </cell>
          <cell r="U5">
            <v>10000</v>
          </cell>
          <cell r="V5">
            <v>5000</v>
          </cell>
          <cell r="W5">
            <v>7500</v>
          </cell>
          <cell r="X5">
            <v>12000</v>
          </cell>
          <cell r="Y5">
            <v>730</v>
          </cell>
        </row>
        <row r="5">
          <cell r="AA5">
            <v>2</v>
          </cell>
          <cell r="AB5">
            <v>0.8</v>
          </cell>
          <cell r="AC5">
            <v>2</v>
          </cell>
          <cell r="AD5">
            <v>0.8</v>
          </cell>
          <cell r="AE5">
            <v>1</v>
          </cell>
          <cell r="AF5">
            <v>0.8</v>
          </cell>
          <cell r="AG5">
            <v>2</v>
          </cell>
          <cell r="AH5">
            <v>0.8</v>
          </cell>
          <cell r="AI5">
            <v>2</v>
          </cell>
          <cell r="AJ5">
            <v>14</v>
          </cell>
          <cell r="AK5">
            <v>2</v>
          </cell>
          <cell r="AL5">
            <v>2</v>
          </cell>
        </row>
        <row r="6">
          <cell r="B6">
            <v>103</v>
          </cell>
        </row>
        <row r="6">
          <cell r="J6">
            <v>4</v>
          </cell>
          <cell r="K6">
            <v>2</v>
          </cell>
          <cell r="L6">
            <v>0</v>
          </cell>
        </row>
        <row r="6">
          <cell r="N6">
            <v>3</v>
          </cell>
        </row>
        <row r="6">
          <cell r="P6">
            <v>2</v>
          </cell>
        </row>
        <row r="6">
          <cell r="T6">
            <v>3</v>
          </cell>
          <cell r="U6">
            <v>10000</v>
          </cell>
          <cell r="V6">
            <v>5000</v>
          </cell>
          <cell r="W6">
            <v>7500</v>
          </cell>
          <cell r="X6">
            <v>10000</v>
          </cell>
          <cell r="Y6">
            <v>730</v>
          </cell>
        </row>
        <row r="6">
          <cell r="AA6">
            <v>3</v>
          </cell>
          <cell r="AB6">
            <v>1</v>
          </cell>
          <cell r="AC6">
            <v>3</v>
          </cell>
          <cell r="AD6">
            <v>0.6</v>
          </cell>
          <cell r="AE6">
            <v>2</v>
          </cell>
          <cell r="AF6">
            <v>1</v>
          </cell>
          <cell r="AG6">
            <v>3</v>
          </cell>
          <cell r="AH6">
            <v>1</v>
          </cell>
          <cell r="AI6">
            <v>3</v>
          </cell>
          <cell r="AJ6">
            <v>17</v>
          </cell>
          <cell r="AK6">
            <v>3</v>
          </cell>
          <cell r="AL6">
            <v>3</v>
          </cell>
        </row>
        <row r="7">
          <cell r="B7">
            <v>104</v>
          </cell>
        </row>
        <row r="7">
          <cell r="J7">
            <v>2</v>
          </cell>
          <cell r="K7">
            <v>3</v>
          </cell>
          <cell r="L7">
            <v>0</v>
          </cell>
        </row>
        <row r="7">
          <cell r="N7">
            <v>1</v>
          </cell>
        </row>
        <row r="7">
          <cell r="P7">
            <v>3</v>
          </cell>
        </row>
        <row r="7">
          <cell r="T7">
            <v>4</v>
          </cell>
          <cell r="U7">
            <v>12000</v>
          </cell>
          <cell r="V7">
            <v>5000</v>
          </cell>
          <cell r="W7">
            <v>0</v>
          </cell>
          <cell r="X7">
            <v>8500</v>
          </cell>
          <cell r="Y7">
            <v>40000</v>
          </cell>
        </row>
        <row r="7">
          <cell r="AA7">
            <v>4</v>
          </cell>
          <cell r="AB7">
            <v>1.5</v>
          </cell>
          <cell r="AC7">
            <v>4</v>
          </cell>
          <cell r="AD7">
            <v>0.4</v>
          </cell>
          <cell r="AE7">
            <v>3</v>
          </cell>
          <cell r="AF7">
            <v>1.2</v>
          </cell>
          <cell r="AG7">
            <v>4</v>
          </cell>
          <cell r="AH7">
            <v>1.2</v>
          </cell>
        </row>
        <row r="8">
          <cell r="B8">
            <v>105</v>
          </cell>
        </row>
        <row r="8">
          <cell r="J8">
            <v>5</v>
          </cell>
          <cell r="K8">
            <v>1</v>
          </cell>
          <cell r="L8">
            <v>0</v>
          </cell>
        </row>
        <row r="8">
          <cell r="N8">
            <v>2</v>
          </cell>
        </row>
        <row r="8">
          <cell r="P8">
            <v>4</v>
          </cell>
        </row>
        <row r="8">
          <cell r="T8">
            <v>5</v>
          </cell>
          <cell r="U8">
            <v>10000</v>
          </cell>
          <cell r="V8">
            <v>5000</v>
          </cell>
          <cell r="W8">
            <v>6250</v>
          </cell>
          <cell r="X8">
            <v>8500</v>
          </cell>
          <cell r="Y8">
            <v>40000</v>
          </cell>
        </row>
        <row r="8">
          <cell r="AA8">
            <v>5</v>
          </cell>
          <cell r="AB8">
            <v>2</v>
          </cell>
          <cell r="AC8">
            <v>5</v>
          </cell>
          <cell r="AD8">
            <v>0.2</v>
          </cell>
        </row>
        <row r="8">
          <cell r="AG8">
            <v>5</v>
          </cell>
          <cell r="AH8">
            <v>1.4</v>
          </cell>
        </row>
        <row r="9">
          <cell r="B9">
            <v>106</v>
          </cell>
        </row>
        <row r="9">
          <cell r="J9">
            <v>1</v>
          </cell>
          <cell r="K9">
            <v>5</v>
          </cell>
          <cell r="L9">
            <v>0</v>
          </cell>
        </row>
        <row r="9">
          <cell r="N9">
            <v>1</v>
          </cell>
        </row>
        <row r="9">
          <cell r="P9">
            <v>5</v>
          </cell>
        </row>
        <row r="10">
          <cell r="B10">
            <v>201</v>
          </cell>
        </row>
        <row r="10">
          <cell r="J10">
            <v>4</v>
          </cell>
          <cell r="K10">
            <v>1</v>
          </cell>
          <cell r="L10">
            <v>2</v>
          </cell>
        </row>
        <row r="10">
          <cell r="N10">
            <v>2</v>
          </cell>
        </row>
        <row r="10">
          <cell r="P10">
            <v>2</v>
          </cell>
        </row>
        <row r="11">
          <cell r="B11">
            <v>202</v>
          </cell>
        </row>
        <row r="11">
          <cell r="J11">
            <v>2</v>
          </cell>
          <cell r="K11">
            <v>5</v>
          </cell>
          <cell r="L11">
            <v>2</v>
          </cell>
        </row>
        <row r="11">
          <cell r="N11">
            <v>2</v>
          </cell>
        </row>
        <row r="11">
          <cell r="P11">
            <v>5</v>
          </cell>
        </row>
        <row r="12">
          <cell r="B12">
            <v>203</v>
          </cell>
        </row>
        <row r="12">
          <cell r="J12">
            <v>3</v>
          </cell>
          <cell r="K12">
            <v>2</v>
          </cell>
          <cell r="L12">
            <v>2</v>
          </cell>
        </row>
        <row r="12">
          <cell r="N12">
            <v>2</v>
          </cell>
        </row>
        <row r="12">
          <cell r="P12">
            <v>3</v>
          </cell>
        </row>
        <row r="13">
          <cell r="B13">
            <v>204</v>
          </cell>
        </row>
        <row r="13">
          <cell r="J13">
            <v>3</v>
          </cell>
          <cell r="K13">
            <v>4</v>
          </cell>
          <cell r="L13">
            <v>1</v>
          </cell>
        </row>
        <row r="13">
          <cell r="N13">
            <v>1</v>
          </cell>
        </row>
        <row r="13">
          <cell r="P13">
            <v>4</v>
          </cell>
        </row>
        <row r="14">
          <cell r="B14">
            <v>205</v>
          </cell>
        </row>
        <row r="14">
          <cell r="J14">
            <v>2</v>
          </cell>
          <cell r="K14">
            <v>5</v>
          </cell>
          <cell r="L14">
            <v>1</v>
          </cell>
        </row>
        <row r="14">
          <cell r="N14">
            <v>2</v>
          </cell>
        </row>
        <row r="14">
          <cell r="P14">
            <v>4</v>
          </cell>
        </row>
        <row r="15">
          <cell r="B15">
            <v>206</v>
          </cell>
        </row>
        <row r="15">
          <cell r="J15">
            <v>3</v>
          </cell>
          <cell r="K15">
            <v>1</v>
          </cell>
          <cell r="L15">
            <v>3</v>
          </cell>
        </row>
        <row r="15">
          <cell r="N15">
            <v>3</v>
          </cell>
        </row>
        <row r="15">
          <cell r="P15">
            <v>2</v>
          </cell>
        </row>
        <row r="16">
          <cell r="B16">
            <v>207</v>
          </cell>
        </row>
        <row r="16">
          <cell r="J16">
            <v>2</v>
          </cell>
          <cell r="K16">
            <v>3</v>
          </cell>
          <cell r="L16">
            <v>2</v>
          </cell>
        </row>
        <row r="16">
          <cell r="N16">
            <v>1</v>
          </cell>
        </row>
        <row r="16">
          <cell r="P16">
            <v>3</v>
          </cell>
        </row>
        <row r="17">
          <cell r="B17">
            <v>301</v>
          </cell>
        </row>
        <row r="17">
          <cell r="J17">
            <v>2</v>
          </cell>
          <cell r="K17">
            <v>4</v>
          </cell>
          <cell r="L17">
            <v>2</v>
          </cell>
        </row>
        <row r="17">
          <cell r="N17">
            <v>2</v>
          </cell>
        </row>
        <row r="17">
          <cell r="P17">
            <v>3</v>
          </cell>
        </row>
        <row r="18">
          <cell r="B18">
            <v>302</v>
          </cell>
        </row>
        <row r="18">
          <cell r="J18">
            <v>3</v>
          </cell>
          <cell r="K18">
            <v>2</v>
          </cell>
          <cell r="L18">
            <v>1</v>
          </cell>
        </row>
        <row r="18">
          <cell r="N18">
            <v>2</v>
          </cell>
        </row>
        <row r="18">
          <cell r="P18">
            <v>3</v>
          </cell>
        </row>
        <row r="19">
          <cell r="B19">
            <v>303</v>
          </cell>
        </row>
        <row r="19">
          <cell r="J19">
            <v>4</v>
          </cell>
          <cell r="K19">
            <v>1</v>
          </cell>
          <cell r="L19">
            <v>3</v>
          </cell>
        </row>
        <row r="19">
          <cell r="N19">
            <v>2</v>
          </cell>
        </row>
        <row r="19">
          <cell r="P19">
            <v>2</v>
          </cell>
        </row>
        <row r="20">
          <cell r="B20">
            <v>304</v>
          </cell>
        </row>
        <row r="20">
          <cell r="J20">
            <v>2</v>
          </cell>
          <cell r="K20">
            <v>3</v>
          </cell>
          <cell r="L20">
            <v>2</v>
          </cell>
        </row>
        <row r="20">
          <cell r="N20">
            <v>3</v>
          </cell>
        </row>
        <row r="20">
          <cell r="P20">
            <v>3</v>
          </cell>
        </row>
        <row r="21">
          <cell r="B21">
            <v>305</v>
          </cell>
        </row>
        <row r="21">
          <cell r="J21">
            <v>3</v>
          </cell>
          <cell r="K21">
            <v>4</v>
          </cell>
          <cell r="L21">
            <v>2</v>
          </cell>
        </row>
        <row r="21">
          <cell r="N21">
            <v>1</v>
          </cell>
        </row>
        <row r="21">
          <cell r="P21">
            <v>1</v>
          </cell>
        </row>
        <row r="22">
          <cell r="B22">
            <v>401</v>
          </cell>
        </row>
        <row r="22">
          <cell r="J22">
            <v>1</v>
          </cell>
          <cell r="K22">
            <v>2</v>
          </cell>
          <cell r="L22">
            <v>0</v>
          </cell>
        </row>
        <row r="22">
          <cell r="N22">
            <v>1</v>
          </cell>
        </row>
        <row r="22">
          <cell r="P22">
            <v>4</v>
          </cell>
        </row>
        <row r="23">
          <cell r="B23">
            <v>402</v>
          </cell>
        </row>
        <row r="23">
          <cell r="J23">
            <v>2</v>
          </cell>
          <cell r="K23">
            <v>5</v>
          </cell>
          <cell r="L23">
            <v>0</v>
          </cell>
        </row>
        <row r="23">
          <cell r="N23">
            <v>1</v>
          </cell>
        </row>
        <row r="23">
          <cell r="P23">
            <v>3</v>
          </cell>
        </row>
        <row r="24">
          <cell r="B24">
            <v>403</v>
          </cell>
        </row>
        <row r="24">
          <cell r="J24">
            <v>4</v>
          </cell>
          <cell r="K24">
            <v>3</v>
          </cell>
          <cell r="L24">
            <v>0</v>
          </cell>
        </row>
        <row r="24">
          <cell r="N24">
            <v>3</v>
          </cell>
        </row>
        <row r="24">
          <cell r="P24">
            <v>2</v>
          </cell>
        </row>
        <row r="25">
          <cell r="B25">
            <v>404</v>
          </cell>
        </row>
        <row r="25">
          <cell r="J25">
            <v>5</v>
          </cell>
          <cell r="K25">
            <v>1</v>
          </cell>
          <cell r="L25">
            <v>0</v>
          </cell>
        </row>
        <row r="25">
          <cell r="N25">
            <v>3</v>
          </cell>
        </row>
        <row r="25">
          <cell r="P25">
            <v>1</v>
          </cell>
        </row>
        <row r="26">
          <cell r="B26">
            <v>405</v>
          </cell>
        </row>
        <row r="26">
          <cell r="J26">
            <v>1</v>
          </cell>
          <cell r="K26">
            <v>5</v>
          </cell>
          <cell r="L26">
            <v>0</v>
          </cell>
        </row>
        <row r="26">
          <cell r="N26">
            <v>2</v>
          </cell>
        </row>
        <row r="26">
          <cell r="P26">
            <v>1</v>
          </cell>
        </row>
        <row r="27">
          <cell r="B27">
            <v>406</v>
          </cell>
        </row>
        <row r="27">
          <cell r="J27">
            <v>3</v>
          </cell>
          <cell r="K27">
            <v>1</v>
          </cell>
          <cell r="L27">
            <v>0</v>
          </cell>
        </row>
        <row r="27">
          <cell r="N27">
            <v>2</v>
          </cell>
        </row>
        <row r="27">
          <cell r="P27">
            <v>3</v>
          </cell>
        </row>
        <row r="28">
          <cell r="B28">
            <v>407</v>
          </cell>
        </row>
        <row r="28">
          <cell r="J28">
            <v>2</v>
          </cell>
          <cell r="K28">
            <v>3</v>
          </cell>
          <cell r="L28">
            <v>0</v>
          </cell>
        </row>
        <row r="28">
          <cell r="N28">
            <v>2</v>
          </cell>
        </row>
        <row r="28">
          <cell r="P28">
            <v>4</v>
          </cell>
        </row>
        <row r="29">
          <cell r="B29">
            <v>408</v>
          </cell>
        </row>
        <row r="29">
          <cell r="J29">
            <v>2</v>
          </cell>
          <cell r="K29">
            <v>2</v>
          </cell>
          <cell r="L29">
            <v>0</v>
          </cell>
        </row>
        <row r="29">
          <cell r="N29">
            <v>1</v>
          </cell>
        </row>
        <row r="29">
          <cell r="P29">
            <v>1</v>
          </cell>
        </row>
        <row r="30">
          <cell r="B30">
            <v>409</v>
          </cell>
        </row>
        <row r="30">
          <cell r="J30">
            <v>3</v>
          </cell>
          <cell r="K30">
            <v>3</v>
          </cell>
          <cell r="L30">
            <v>0</v>
          </cell>
        </row>
        <row r="30">
          <cell r="N30">
            <v>3</v>
          </cell>
        </row>
        <row r="30">
          <cell r="P30">
            <v>5</v>
          </cell>
        </row>
        <row r="31">
          <cell r="B31">
            <v>501</v>
          </cell>
        </row>
        <row r="31">
          <cell r="J31">
            <v>1</v>
          </cell>
          <cell r="K31">
            <v>5</v>
          </cell>
          <cell r="L31">
            <v>1</v>
          </cell>
        </row>
        <row r="31">
          <cell r="N31">
            <v>3</v>
          </cell>
        </row>
        <row r="31">
          <cell r="P31">
            <v>3</v>
          </cell>
        </row>
        <row r="32">
          <cell r="B32">
            <v>502</v>
          </cell>
        </row>
        <row r="32">
          <cell r="J32">
            <v>3</v>
          </cell>
          <cell r="K32">
            <v>2</v>
          </cell>
          <cell r="L32">
            <v>1</v>
          </cell>
        </row>
        <row r="32">
          <cell r="N32">
            <v>1</v>
          </cell>
        </row>
        <row r="32">
          <cell r="P32">
            <v>4</v>
          </cell>
        </row>
        <row r="33">
          <cell r="B33">
            <v>503</v>
          </cell>
        </row>
        <row r="33">
          <cell r="J33">
            <v>4</v>
          </cell>
          <cell r="K33">
            <v>2</v>
          </cell>
          <cell r="L33">
            <v>1</v>
          </cell>
        </row>
        <row r="33">
          <cell r="N33">
            <v>1</v>
          </cell>
        </row>
        <row r="33">
          <cell r="P33">
            <v>3</v>
          </cell>
        </row>
        <row r="34">
          <cell r="B34">
            <v>504</v>
          </cell>
        </row>
        <row r="34">
          <cell r="J34">
            <v>3</v>
          </cell>
          <cell r="K34">
            <v>1</v>
          </cell>
          <cell r="L34">
            <v>2</v>
          </cell>
        </row>
        <row r="34">
          <cell r="N34">
            <v>3</v>
          </cell>
        </row>
        <row r="34">
          <cell r="P34">
            <v>2</v>
          </cell>
        </row>
        <row r="35">
          <cell r="B35">
            <v>505</v>
          </cell>
        </row>
        <row r="35">
          <cell r="J35">
            <v>5</v>
          </cell>
          <cell r="K35">
            <v>1</v>
          </cell>
          <cell r="L35">
            <v>2</v>
          </cell>
        </row>
        <row r="35">
          <cell r="N35">
            <v>3</v>
          </cell>
        </row>
        <row r="35">
          <cell r="P35">
            <v>1</v>
          </cell>
        </row>
        <row r="36">
          <cell r="B36">
            <v>506</v>
          </cell>
        </row>
        <row r="36">
          <cell r="J36">
            <v>3</v>
          </cell>
          <cell r="K36">
            <v>2</v>
          </cell>
          <cell r="L36">
            <v>2</v>
          </cell>
        </row>
        <row r="36">
          <cell r="N36">
            <v>2</v>
          </cell>
        </row>
        <row r="36">
          <cell r="P36">
            <v>4</v>
          </cell>
        </row>
        <row r="37">
          <cell r="B37">
            <v>507</v>
          </cell>
        </row>
        <row r="37">
          <cell r="J37">
            <v>3</v>
          </cell>
          <cell r="K37">
            <v>2</v>
          </cell>
          <cell r="L37">
            <v>2</v>
          </cell>
        </row>
        <row r="37">
          <cell r="N37">
            <v>2</v>
          </cell>
        </row>
        <row r="37">
          <cell r="P37">
            <v>4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←导出中转←"/>
      <sheetName val="←策划配置"/>
      <sheetName val="元素参数"/>
      <sheetName val="配置参数"/>
      <sheetName val="属性枚举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ser_avatar|玩家名片"/>
      <sheetName val="user_variable|玩家属性"/>
      <sheetName val="user_level|玩家等级"/>
      <sheetName val="player_role|玩家角色"/>
    </sheetNames>
    <sheetDataSet>
      <sheetData sheetId="0"/>
      <sheetData sheetId="1"/>
      <sheetData sheetId="2"/>
      <sheetData sheetId="3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角色id</v>
          </cell>
          <cell r="B4" t="str">
            <v>角色备注</v>
          </cell>
        </row>
        <row r="5">
          <cell r="A5">
            <v>1</v>
          </cell>
          <cell r="B5" t="str">
            <v>猴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0"/>
  <sheetViews>
    <sheetView tabSelected="1" zoomScale="145" zoomScaleNormal="145" workbookViewId="0">
      <pane xSplit="2" ySplit="4" topLeftCell="I63" activePane="bottomRight" state="frozen"/>
      <selection/>
      <selection pane="topRight"/>
      <selection pane="bottomLeft"/>
      <selection pane="bottomRight" activeCell="P80" sqref="P80"/>
    </sheetView>
  </sheetViews>
  <sheetFormatPr defaultColWidth="9" defaultRowHeight="14.25"/>
  <cols>
    <col min="1" max="1" width="10.625" style="31" customWidth="1"/>
    <col min="2" max="2" width="20.6" style="31" customWidth="1"/>
    <col min="3" max="3" width="10.625" style="31" customWidth="1"/>
    <col min="4" max="4" width="23.475" style="31" customWidth="1"/>
    <col min="5" max="5" width="33.6916666666667" style="31" customWidth="1"/>
    <col min="6" max="6" width="25.7583333333333" style="31" customWidth="1"/>
    <col min="7" max="8" width="10.625" style="31" customWidth="1"/>
    <col min="9" max="9" width="27.3833333333333" style="31" customWidth="1"/>
    <col min="10" max="11" width="10.625" style="31" customWidth="1"/>
    <col min="12" max="17" width="10.625" style="32" customWidth="1"/>
    <col min="18" max="27" width="10.625" style="31" customWidth="1"/>
    <col min="28" max="29" width="30.625" style="31" customWidth="1"/>
    <col min="30" max="38" width="6.625" style="31" customWidth="1"/>
    <col min="39" max="47" width="6.625" style="33" customWidth="1"/>
    <col min="48" max="16384" width="9" style="33"/>
  </cols>
  <sheetData>
    <row r="1" s="29" customFormat="1" spans="1:47">
      <c r="A1" s="24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/>
      <c r="U1" s="24" t="s">
        <v>18</v>
      </c>
      <c r="V1" s="24"/>
      <c r="W1" s="24"/>
      <c r="X1" s="24"/>
      <c r="Y1" s="24"/>
      <c r="Z1" s="24"/>
      <c r="AA1" s="24"/>
      <c r="AB1" s="24" t="s">
        <v>19</v>
      </c>
      <c r="AC1" s="24" t="s">
        <v>20</v>
      </c>
      <c r="AD1" s="37"/>
      <c r="AE1" s="37"/>
      <c r="AF1" s="37"/>
      <c r="AG1" s="37"/>
      <c r="AH1" s="37"/>
      <c r="AI1" s="37"/>
      <c r="AJ1" s="37"/>
      <c r="AK1" s="37"/>
      <c r="AL1" s="37"/>
      <c r="AM1" s="40"/>
      <c r="AN1" s="40"/>
      <c r="AO1" s="40"/>
      <c r="AP1" s="40"/>
      <c r="AQ1" s="40"/>
      <c r="AR1" s="40"/>
      <c r="AS1" s="40"/>
      <c r="AT1" s="40"/>
      <c r="AU1" s="40"/>
    </row>
    <row r="2" spans="1:47">
      <c r="A2" s="24" t="s">
        <v>21</v>
      </c>
      <c r="B2" s="24"/>
      <c r="C2" s="24" t="s">
        <v>21</v>
      </c>
      <c r="D2" s="24" t="s">
        <v>22</v>
      </c>
      <c r="E2" s="24" t="s">
        <v>22</v>
      </c>
      <c r="F2" s="24" t="s">
        <v>22</v>
      </c>
      <c r="G2" s="24" t="s">
        <v>21</v>
      </c>
      <c r="H2" s="24" t="s">
        <v>21</v>
      </c>
      <c r="I2" s="24" t="s">
        <v>22</v>
      </c>
      <c r="J2" s="24" t="s">
        <v>21</v>
      </c>
      <c r="K2" s="24" t="s">
        <v>21</v>
      </c>
      <c r="L2" s="24" t="s">
        <v>21</v>
      </c>
      <c r="M2" s="24" t="s">
        <v>21</v>
      </c>
      <c r="N2" s="24" t="s">
        <v>21</v>
      </c>
      <c r="O2" s="24" t="s">
        <v>21</v>
      </c>
      <c r="P2" s="24" t="s">
        <v>23</v>
      </c>
      <c r="Q2" s="24" t="s">
        <v>21</v>
      </c>
      <c r="R2" s="24" t="s">
        <v>21</v>
      </c>
      <c r="S2" s="24" t="s">
        <v>21</v>
      </c>
      <c r="T2" s="24"/>
      <c r="U2" s="24" t="s">
        <v>21</v>
      </c>
      <c r="V2" s="24"/>
      <c r="W2" s="24"/>
      <c r="X2" s="24"/>
      <c r="Y2" s="24"/>
      <c r="Z2" s="24"/>
      <c r="AA2" s="24"/>
      <c r="AB2" s="24" t="s">
        <v>24</v>
      </c>
      <c r="AC2" s="24" t="s">
        <v>24</v>
      </c>
      <c r="AD2" s="37"/>
      <c r="AE2" s="37"/>
      <c r="AF2" s="37"/>
      <c r="AG2" s="37"/>
      <c r="AH2" s="37"/>
      <c r="AI2" s="37"/>
      <c r="AJ2" s="37"/>
      <c r="AK2" s="37"/>
      <c r="AL2" s="37"/>
      <c r="AM2" s="41"/>
      <c r="AN2" s="41"/>
      <c r="AO2" s="41"/>
      <c r="AP2" s="41"/>
      <c r="AQ2" s="41"/>
      <c r="AR2" s="41"/>
      <c r="AS2" s="41"/>
      <c r="AT2" s="41"/>
      <c r="AU2" s="41"/>
    </row>
    <row r="3" spans="1:47">
      <c r="A3" s="24" t="s">
        <v>25</v>
      </c>
      <c r="B3" s="24"/>
      <c r="C3" s="24" t="s">
        <v>25</v>
      </c>
      <c r="D3" s="24" t="s">
        <v>26</v>
      </c>
      <c r="E3" s="24" t="s">
        <v>26</v>
      </c>
      <c r="F3" s="24" t="s">
        <v>26</v>
      </c>
      <c r="G3" s="24" t="s">
        <v>26</v>
      </c>
      <c r="H3" s="24" t="s">
        <v>25</v>
      </c>
      <c r="I3" s="24" t="s">
        <v>26</v>
      </c>
      <c r="J3" s="24" t="s">
        <v>26</v>
      </c>
      <c r="K3" s="24" t="s">
        <v>26</v>
      </c>
      <c r="L3" s="24" t="s">
        <v>26</v>
      </c>
      <c r="M3" s="24" t="s">
        <v>26</v>
      </c>
      <c r="N3" s="24" t="s">
        <v>26</v>
      </c>
      <c r="O3" s="24" t="s">
        <v>26</v>
      </c>
      <c r="P3" s="24" t="s">
        <v>26</v>
      </c>
      <c r="Q3" s="24" t="s">
        <v>26</v>
      </c>
      <c r="R3" s="24" t="s">
        <v>26</v>
      </c>
      <c r="S3" s="24" t="s">
        <v>26</v>
      </c>
      <c r="T3" s="24"/>
      <c r="U3" s="24" t="s">
        <v>26</v>
      </c>
      <c r="V3" s="24"/>
      <c r="W3" s="24"/>
      <c r="X3" s="24"/>
      <c r="Y3" s="24"/>
      <c r="Z3" s="24"/>
      <c r="AA3" s="24"/>
      <c r="AB3" s="24" t="s">
        <v>26</v>
      </c>
      <c r="AC3" s="24" t="s">
        <v>26</v>
      </c>
      <c r="AD3" s="37"/>
      <c r="AE3" s="37"/>
      <c r="AF3" s="37"/>
      <c r="AG3" s="37"/>
      <c r="AH3" s="37"/>
      <c r="AI3" s="37"/>
      <c r="AJ3" s="37"/>
      <c r="AK3" s="37"/>
      <c r="AL3" s="37"/>
      <c r="AM3" s="41"/>
      <c r="AN3" s="41"/>
      <c r="AO3" s="41"/>
      <c r="AP3" s="41"/>
      <c r="AQ3" s="41"/>
      <c r="AR3" s="41"/>
      <c r="AS3" s="41"/>
      <c r="AT3" s="41"/>
      <c r="AU3" s="41"/>
    </row>
    <row r="4" s="30" customFormat="1" ht="28.5" customHeight="1" spans="1:47">
      <c r="A4" s="34" t="s">
        <v>0</v>
      </c>
      <c r="B4" s="34" t="s">
        <v>27</v>
      </c>
      <c r="C4" s="34" t="s">
        <v>28</v>
      </c>
      <c r="D4" s="34" t="s">
        <v>29</v>
      </c>
      <c r="E4" s="34" t="s">
        <v>30</v>
      </c>
      <c r="F4" s="34" t="s">
        <v>31</v>
      </c>
      <c r="G4" s="34" t="s">
        <v>32</v>
      </c>
      <c r="H4" s="26" t="s">
        <v>33</v>
      </c>
      <c r="I4" s="34" t="s">
        <v>34</v>
      </c>
      <c r="J4" s="34" t="s">
        <v>35</v>
      </c>
      <c r="K4" s="34" t="s">
        <v>36</v>
      </c>
      <c r="L4" s="34" t="s">
        <v>37</v>
      </c>
      <c r="M4" s="34" t="s">
        <v>38</v>
      </c>
      <c r="N4" s="34" t="s">
        <v>39</v>
      </c>
      <c r="O4" s="34" t="s">
        <v>40</v>
      </c>
      <c r="P4" s="34" t="s">
        <v>41</v>
      </c>
      <c r="Q4" s="34" t="s">
        <v>42</v>
      </c>
      <c r="R4" s="34" t="s">
        <v>43</v>
      </c>
      <c r="S4" s="34" t="s">
        <v>44</v>
      </c>
      <c r="T4" s="34" t="s">
        <v>45</v>
      </c>
      <c r="U4" s="34" t="s">
        <v>46</v>
      </c>
      <c r="V4" s="34" t="s">
        <v>47</v>
      </c>
      <c r="W4" s="34" t="s">
        <v>48</v>
      </c>
      <c r="X4" s="34" t="s">
        <v>49</v>
      </c>
      <c r="Y4" s="34" t="s">
        <v>50</v>
      </c>
      <c r="Z4" s="34" t="s">
        <v>51</v>
      </c>
      <c r="AA4" s="34" t="s">
        <v>52</v>
      </c>
      <c r="AB4" s="34" t="s">
        <v>53</v>
      </c>
      <c r="AC4" s="34" t="s">
        <v>54</v>
      </c>
      <c r="AD4" s="38" t="s">
        <v>55</v>
      </c>
      <c r="AE4" s="38" t="s">
        <v>56</v>
      </c>
      <c r="AF4" s="38" t="s">
        <v>57</v>
      </c>
      <c r="AG4" s="38" t="s">
        <v>58</v>
      </c>
      <c r="AH4" s="38" t="s">
        <v>59</v>
      </c>
      <c r="AI4" s="38" t="s">
        <v>60</v>
      </c>
      <c r="AJ4" s="38" t="s">
        <v>61</v>
      </c>
      <c r="AK4" s="38" t="s">
        <v>62</v>
      </c>
      <c r="AL4" s="38" t="s">
        <v>63</v>
      </c>
      <c r="AM4" s="42" t="s">
        <v>64</v>
      </c>
      <c r="AN4" s="42" t="s">
        <v>65</v>
      </c>
      <c r="AO4" s="42" t="s">
        <v>66</v>
      </c>
      <c r="AP4" s="42" t="s">
        <v>67</v>
      </c>
      <c r="AQ4" s="42" t="s">
        <v>68</v>
      </c>
      <c r="AR4" s="42" t="s">
        <v>69</v>
      </c>
      <c r="AS4" s="42" t="s">
        <v>70</v>
      </c>
      <c r="AT4" s="42" t="s">
        <v>71</v>
      </c>
      <c r="AU4" s="42" t="s">
        <v>72</v>
      </c>
    </row>
    <row r="5" spans="1:47">
      <c r="A5" s="31">
        <v>101</v>
      </c>
      <c r="B5" s="31" t="s">
        <v>73</v>
      </c>
      <c r="C5" s="31">
        <v>1</v>
      </c>
      <c r="D5" s="31" t="str" cm="1">
        <f t="array" ref="D5">_xlfn.IFS(C5&lt;3,CONCATENATE("monster_weapon_",A5,"_name"),C5=3,CONCATENATE("player_weapon_",A5,"_name"))</f>
        <v>monster_weapon_101_name</v>
      </c>
      <c r="E5" s="31" t="str" cm="1">
        <f t="array" ref="E5">_xlfn.IFS(C5&lt;3,CONCATENATE("pic_monster_weapon_",A5),C5=3,CONCATENATE("pic_player_weapon_",A5,"_name"))</f>
        <v>pic_monster_weapon_101</v>
      </c>
      <c r="F5" s="31" t="str" cm="1">
        <f t="array" ref="F5">_xlfn.IFS(C5&lt;3,CONCATENATE("monster_weapon_",A5,"_desc"),C5=3,CONCATENATE("player_weapon_",A5,"_desc"))</f>
        <v>monster_weapon_101_desc</v>
      </c>
      <c r="G5" s="31">
        <v>1</v>
      </c>
      <c r="H5" s="31" cm="1">
        <f t="array" ref="H5">_xlfn.IFS(G5=1,40,G5=2,60,G5=3,100)</f>
        <v>40</v>
      </c>
      <c r="I5" s="31" t="str" cm="1">
        <f t="array" ref="I5">_xlfn.IFS(C5&lt;3,CONCATENATE("model_monster_weapon_",A5),C5=3,CONCATENATE("model_player_weapon_",A5,"_name"))</f>
        <v>model_monster_weapon_101</v>
      </c>
      <c r="J5" s="31">
        <f t="shared" ref="J5:J21" si="0">INT(A5/100)</f>
        <v>1</v>
      </c>
      <c r="K5" s="31">
        <v>2</v>
      </c>
      <c r="L5" s="31">
        <f>_xlfn.XLOOKUP(_xlfn.XLOOKUP(A5,[2]怪物武器!$B:$B,[2]怪物武器!$J:$J),[2]怪物武器!$AA:$AA,[2]怪物武器!$AB:$AB)*_xlfn.XLOOKUP(J5,[2]怪物武器!$T:$T,[2]怪物武器!$U:$U)</f>
        <v>10000</v>
      </c>
      <c r="M5" s="31">
        <f>_xlfn.XLOOKUP(_xlfn.XLOOKUP(A5,[2]怪物武器!$B:$B,[2]怪物武器!$K:$K),[2]怪物武器!$AC:$AC,[2]怪物武器!$AD:$AD)*_xlfn.XLOOKUP(J5,[2]怪物武器!$T:$T,[2]怪物武器!$V:$V)</f>
        <v>4000</v>
      </c>
      <c r="N5" s="31">
        <f>_xlfn.XLOOKUP(_xlfn.XLOOKUP(A5,[2]怪物武器!$B:$B,[2]怪物武器!$L:$L),[2]怪物武器!$AE:$AE,[2]怪物武器!$AF:$AF)*_xlfn.XLOOKUP(J5,[2]怪物武器!$T:$T,[2]怪物武器!$W:$W)</f>
        <v>0</v>
      </c>
      <c r="O5" s="31">
        <f>_xlfn.XLOOKUP(_xlfn.XLOOKUP(A5,[2]怪物武器!$B:$B,[2]怪物武器!$P:$P),[2]怪物武器!$AG:$AG,[2]怪物武器!$AH:$AH)*_xlfn.XLOOKUP(J5,[2]怪物武器!$T:$T,[2]怪物武器!$X:$X)</f>
        <v>12000</v>
      </c>
      <c r="P5" s="31" t="s">
        <v>74</v>
      </c>
      <c r="Q5" s="31">
        <v>360</v>
      </c>
      <c r="R5" s="36">
        <f>IF(J5&lt;4,_xlfn.XLOOKUP(_xlfn.XLOOKUP(A5,[2]怪物武器!$B:$B,[2]怪物武器!$N:$N),[2]怪物武器!$AI:$AI,[2]怪物武器!$AJ:$AJ),_xlfn.XLOOKUP(_xlfn.XLOOKUP(A5,[2]怪物武器!$B:$B,[2]怪物武器!$N:$N),[2]怪物武器!$AK:$AK,[2]怪物武器!$AL:$AL))*_xlfn.XLOOKUP(J5,[2]怪物武器!$T:$T,[2]怪物武器!$Y:$Y)</f>
        <v>10220</v>
      </c>
      <c r="S5" s="31" cm="1">
        <f t="array" ref="S5">IF(ISNUMBER(T5),T5,ROUNDDOWN(_xlfn.IFS(K5=1,(AD5+AE5)/U5,K5=2,(AD5+AE5+AF5*0.5)/U5,K5=3,AD5*0.5/U5),3)*10000)</f>
        <v>5000</v>
      </c>
      <c r="U5" s="31">
        <f t="shared" ref="U5:U38" si="1">_xlfn.IFS(K5=1,AD5+AE5+AI5+AL5,K5=2,AD5+AE5+AF5+AK5+AL5,K5=3,(AD5+AE5+AF5+AI5+AL5)*AJ5+(AJ5-1)*AK5)</f>
        <v>1460</v>
      </c>
      <c r="AB5" s="31" t="str">
        <f t="shared" ref="AB5:AB38" si="2">CONCATENATE(IF(ISNUMBER(AD5),CONCATENATE(AD5,";"),CONCATENATE("0;")),IF(ISNUMBER(AE5),CONCATENATE(AE5,";"),CONCATENATE("0;")),IF(ISNUMBER(AF5),CONCATENATE(AF5,";"),CONCATENATE("0;")),IF(ISNUMBER(AG5),CONCATENATE(AG5,";"),CONCATENATE("0;")),IF(ISNUMBER(AH5),CONCATENATE(AH5,";"),CONCATENATE("0;")),IF(ISNUMBER(AI5),CONCATENATE(AI5,";"),CONCATENATE("0;")),IF(ISNUMBER(AJ5),CONCATENATE(AJ5,";"),CONCATENATE("0;")),IF(ISNUMBER(AK5),CONCATENATE(AK5,";"),CONCATENATE("0;")),IF(ISNUMBER(AL5),AL5,"0"))</f>
        <v>500;200;60;40;-95;400;320;200;500</v>
      </c>
      <c r="AC5" s="31" t="str">
        <f t="shared" ref="AC5:AC38" si="3">CONCATENATE(IF(ISNUMBER(AM5),CONCATENATE(AM5,";"),CONCATENATE("0;")),IF(ISNUMBER(AN5),CONCATENATE(AN5,";"),CONCATENATE("0;")),IF(ISNUMBER(AO5),CONCATENATE(AO5,";"),CONCATENATE("0;")),IF(ISNUMBER(AP5),CONCATENATE(AP5,";"),CONCATENATE("0;")),IF(ISNUMBER(AQ5),CONCATENATE(AQ5,";"),CONCATENATE("0;")),IF(ISNUMBER(AR5),CONCATENATE(AR5,";"),CONCATENATE("0;")),IF(ISNUMBER(AS5),CONCATENATE(AS5,";"),CONCATENATE("0;")),IF(ISNUMBER(AT5),CONCATENATE(AT5,";"),CONCATENATE("0;")),IF(ISNUMBER(AU5),AU5,"0"))</f>
        <v>30;-10;565;-209;600;125;300;1400;500</v>
      </c>
      <c r="AD5" s="39">
        <v>500</v>
      </c>
      <c r="AE5" s="39">
        <v>200</v>
      </c>
      <c r="AF5" s="39">
        <v>60</v>
      </c>
      <c r="AG5" s="39">
        <v>40</v>
      </c>
      <c r="AH5" s="39">
        <v>-95</v>
      </c>
      <c r="AI5" s="39">
        <v>400</v>
      </c>
      <c r="AJ5" s="39">
        <v>320</v>
      </c>
      <c r="AK5" s="39">
        <v>200</v>
      </c>
      <c r="AL5" s="39">
        <v>500</v>
      </c>
      <c r="AM5" s="43">
        <f>_xlfn.XLOOKUP(A5,怪物武器挂载坐标辅助表!$A:$A,怪物武器挂载坐标辅助表!G:G)</f>
        <v>30</v>
      </c>
      <c r="AN5" s="43">
        <f>_xlfn.XLOOKUP(A5,怪物武器挂载坐标辅助表!$A:$A,怪物武器挂载坐标辅助表!H:H)</f>
        <v>-10</v>
      </c>
      <c r="AO5" s="43">
        <f>_xlfn.XLOOKUP(A5,怪物武器挂载坐标辅助表!$A:$A,怪物武器挂载坐标辅助表!I:I)</f>
        <v>565</v>
      </c>
      <c r="AP5" s="43">
        <f>_xlfn.XLOOKUP(A5,怪物武器挂载坐标辅助表!$A:$A,怪物武器挂载坐标辅助表!J:J)</f>
        <v>-209</v>
      </c>
      <c r="AQ5" s="43">
        <f>怪物武器挂载坐标辅助表!$M$2</f>
        <v>600</v>
      </c>
      <c r="AR5" s="43">
        <f>_xlfn.XLOOKUP(A5,怪物武器挂载坐标辅助表!$A:$A,怪物武器挂载坐标辅助表!K:K)</f>
        <v>125</v>
      </c>
      <c r="AS5" s="43">
        <f>怪物武器挂载坐标辅助表!$M$3</f>
        <v>300</v>
      </c>
      <c r="AT5" s="43">
        <f>怪物武器挂载坐标辅助表!$M$4</f>
        <v>1400</v>
      </c>
      <c r="AU5" s="43">
        <f>怪物武器挂载坐标辅助表!$M$5</f>
        <v>500</v>
      </c>
    </row>
    <row r="6" spans="1:47">
      <c r="A6" s="31">
        <v>102</v>
      </c>
      <c r="B6" s="31" t="s">
        <v>75</v>
      </c>
      <c r="C6" s="31">
        <v>1</v>
      </c>
      <c r="D6" s="31" t="str" cm="1">
        <f t="array" ref="D6">_xlfn.IFS(C6&lt;3,CONCATENATE("monster_weapon_",A6,"_name"),C6=3,CONCATENATE("player_weapon_",A6,"_name"))</f>
        <v>monster_weapon_102_name</v>
      </c>
      <c r="E6" s="31" t="str" cm="1">
        <f t="array" ref="E6">_xlfn.IFS(C6&lt;3,CONCATENATE("pic_monster_weapon_",A6),C6=3,CONCATENATE("pic_player_weapon_",A6,"_name"))</f>
        <v>pic_monster_weapon_102</v>
      </c>
      <c r="F6" s="31" t="str" cm="1">
        <f t="array" ref="F6">_xlfn.IFS(C6&lt;3,CONCATENATE("monster_weapon_",A6,"_desc"),C6=3,CONCATENATE("player_weapon_",A6,"_desc"))</f>
        <v>monster_weapon_102_desc</v>
      </c>
      <c r="G6" s="31">
        <v>1</v>
      </c>
      <c r="H6" s="31" cm="1">
        <f t="array" ref="H6">_xlfn.IFS(G6=1,40,G6=2,60,G6=3,100)</f>
        <v>40</v>
      </c>
      <c r="I6" s="31" t="str" cm="1">
        <f t="array" ref="I6">_xlfn.IFS(C6&lt;3,CONCATENATE("model_monster_weapon_",A6),C6=3,CONCATENATE("model_player_weapon_",A6,"_name"))</f>
        <v>model_monster_weapon_102</v>
      </c>
      <c r="J6" s="31">
        <f t="shared" si="0"/>
        <v>1</v>
      </c>
      <c r="K6" s="31">
        <v>2</v>
      </c>
      <c r="L6" s="31">
        <f>_xlfn.XLOOKUP(_xlfn.XLOOKUP(A6,[2]怪物武器!$B:$B,[2]怪物武器!$J:$J),[2]怪物武器!$AA:$AA,[2]怪物武器!$AB:$AB)*_xlfn.XLOOKUP(J6,[2]怪物武器!$T:$T,[2]怪物武器!$U:$U)</f>
        <v>8000</v>
      </c>
      <c r="M6" s="31">
        <f>_xlfn.XLOOKUP(_xlfn.XLOOKUP(A6,[2]怪物武器!$B:$B,[2]怪物武器!$K:$K),[2]怪物武器!$AC:$AC,[2]怪物武器!$AD:$AD)*_xlfn.XLOOKUP(J6,[2]怪物武器!$T:$T,[2]怪物武器!$V:$V)</f>
        <v>3000</v>
      </c>
      <c r="N6" s="31">
        <f>_xlfn.XLOOKUP(_xlfn.XLOOKUP(A6,[2]怪物武器!$B:$B,[2]怪物武器!$L:$L),[2]怪物武器!$AE:$AE,[2]怪物武器!$AF:$AF)*_xlfn.XLOOKUP(J6,[2]怪物武器!$T:$T,[2]怪物武器!$W:$W)</f>
        <v>0</v>
      </c>
      <c r="O6" s="31">
        <f>_xlfn.XLOOKUP(_xlfn.XLOOKUP(A6,[2]怪物武器!$B:$B,[2]怪物武器!$P:$P),[2]怪物武器!$AG:$AG,[2]怪物武器!$AH:$AH)*_xlfn.XLOOKUP(J6,[2]怪物武器!$T:$T,[2]怪物武器!$X:$X)</f>
        <v>12000</v>
      </c>
      <c r="P6" s="31" t="s">
        <v>74</v>
      </c>
      <c r="Q6" s="31">
        <v>360</v>
      </c>
      <c r="R6" s="36">
        <f>IF(J6&lt;4,_xlfn.XLOOKUP(_xlfn.XLOOKUP(A6,[2]怪物武器!$B:$B,[2]怪物武器!$N:$N),[2]怪物武器!$AI:$AI,[2]怪物武器!$AJ:$AJ),_xlfn.XLOOKUP(_xlfn.XLOOKUP(A6,[2]怪物武器!$B:$B,[2]怪物武器!$N:$N),[2]怪物武器!$AK:$AK,[2]怪物武器!$AL:$AL))*_xlfn.XLOOKUP(J6,[2]怪物武器!$T:$T,[2]怪物武器!$Y:$Y)</f>
        <v>8030</v>
      </c>
      <c r="S6" s="31">
        <f t="shared" ref="S6:S38" si="4">IF(ISNUMBER(T6),T6,ROUNDDOWN(_xlfn.IFS(K6=1,(AD6+AE6)/U6,K6=2,(AD6+AE6+AF6*0.5)/U6,K6=3,AD6*0.5/U6),3)*10000)</f>
        <v>5000</v>
      </c>
      <c r="U6" s="31">
        <f t="shared" si="1"/>
        <v>1320</v>
      </c>
      <c r="AB6" s="31" t="str">
        <f t="shared" si="2"/>
        <v>450;180;60;30;-90;500;400;180;450</v>
      </c>
      <c r="AC6" s="31" t="str">
        <f t="shared" si="3"/>
        <v>50;-13;400;-270;600;140;300;1400;500</v>
      </c>
      <c r="AD6" s="39">
        <v>450</v>
      </c>
      <c r="AE6" s="39">
        <v>180</v>
      </c>
      <c r="AF6" s="39">
        <v>60</v>
      </c>
      <c r="AG6" s="39">
        <v>30</v>
      </c>
      <c r="AH6" s="39">
        <v>-90</v>
      </c>
      <c r="AI6" s="39">
        <v>500</v>
      </c>
      <c r="AJ6" s="39">
        <v>400</v>
      </c>
      <c r="AK6" s="39">
        <v>180</v>
      </c>
      <c r="AL6" s="39">
        <v>450</v>
      </c>
      <c r="AM6" s="43">
        <f>_xlfn.XLOOKUP(A6,怪物武器挂载坐标辅助表!$A:$A,怪物武器挂载坐标辅助表!G:G)</f>
        <v>50</v>
      </c>
      <c r="AN6" s="43">
        <f>_xlfn.XLOOKUP(A6,怪物武器挂载坐标辅助表!$A:$A,怪物武器挂载坐标辅助表!H:H)</f>
        <v>-13</v>
      </c>
      <c r="AO6" s="43">
        <f>_xlfn.XLOOKUP(A6,怪物武器挂载坐标辅助表!$A:$A,怪物武器挂载坐标辅助表!I:I)</f>
        <v>400</v>
      </c>
      <c r="AP6" s="43">
        <f>_xlfn.XLOOKUP(A6,怪物武器挂载坐标辅助表!$A:$A,怪物武器挂载坐标辅助表!J:J)</f>
        <v>-270</v>
      </c>
      <c r="AQ6" s="43">
        <f>怪物武器挂载坐标辅助表!$M$2</f>
        <v>600</v>
      </c>
      <c r="AR6" s="43">
        <f>_xlfn.XLOOKUP(A6,怪物武器挂载坐标辅助表!$A:$A,怪物武器挂载坐标辅助表!K:K)</f>
        <v>140</v>
      </c>
      <c r="AS6" s="43">
        <f>怪物武器挂载坐标辅助表!$M$3</f>
        <v>300</v>
      </c>
      <c r="AT6" s="43">
        <f>怪物武器挂载坐标辅助表!$M$4</f>
        <v>1400</v>
      </c>
      <c r="AU6" s="43">
        <f>怪物武器挂载坐标辅助表!$M$5</f>
        <v>500</v>
      </c>
    </row>
    <row r="7" spans="1:47">
      <c r="A7" s="31">
        <v>103</v>
      </c>
      <c r="B7" s="31" t="s">
        <v>76</v>
      </c>
      <c r="C7" s="31">
        <v>1</v>
      </c>
      <c r="D7" s="31" t="str" cm="1">
        <f t="array" ref="D7">_xlfn.IFS(C7&lt;3,CONCATENATE("monster_weapon_",A7,"_name"),C7=3,CONCATENATE("player_weapon_",A7,"_name"))</f>
        <v>monster_weapon_103_name</v>
      </c>
      <c r="E7" s="31" t="str" cm="1">
        <f t="array" ref="E7">_xlfn.IFS(C7&lt;3,CONCATENATE("pic_monster_weapon_",A7),C7=3,CONCATENATE("pic_player_weapon_",A7,"_name"))</f>
        <v>pic_monster_weapon_103</v>
      </c>
      <c r="F7" s="31" t="str" cm="1">
        <f t="array" ref="F7">_xlfn.IFS(C7&lt;3,CONCATENATE("monster_weapon_",A7,"_desc"),C7=3,CONCATENATE("player_weapon_",A7,"_desc"))</f>
        <v>monster_weapon_103_desc</v>
      </c>
      <c r="G7" s="31">
        <v>2</v>
      </c>
      <c r="H7" s="31" cm="1">
        <f t="array" ref="H7">_xlfn.IFS(G7=1,40,G7=2,60,G7=3,100)</f>
        <v>60</v>
      </c>
      <c r="I7" s="31" t="str" cm="1">
        <f t="array" ref="I7">_xlfn.IFS(C7&lt;3,CONCATENATE("model_monster_weapon_",A7),C7=3,CONCATENATE("model_player_weapon_",A7,"_name"))</f>
        <v>model_monster_weapon_103</v>
      </c>
      <c r="J7" s="31">
        <f t="shared" si="0"/>
        <v>1</v>
      </c>
      <c r="K7" s="31">
        <v>1</v>
      </c>
      <c r="L7" s="31">
        <f>_xlfn.XLOOKUP(_xlfn.XLOOKUP(A7,[2]怪物武器!$B:$B,[2]怪物武器!$J:$J),[2]怪物武器!$AA:$AA,[2]怪物武器!$AB:$AB)*_xlfn.XLOOKUP(J7,[2]怪物武器!$T:$T,[2]怪物武器!$U:$U)</f>
        <v>15000</v>
      </c>
      <c r="M7" s="31">
        <f>_xlfn.XLOOKUP(_xlfn.XLOOKUP(A7,[2]怪物武器!$B:$B,[2]怪物武器!$K:$K),[2]怪物武器!$AC:$AC,[2]怪物武器!$AD:$AD)*_xlfn.XLOOKUP(J7,[2]怪物武器!$T:$T,[2]怪物武器!$V:$V)</f>
        <v>4000</v>
      </c>
      <c r="N7" s="31">
        <f>_xlfn.XLOOKUP(_xlfn.XLOOKUP(A7,[2]怪物武器!$B:$B,[2]怪物武器!$L:$L),[2]怪物武器!$AE:$AE,[2]怪物武器!$AF:$AF)*_xlfn.XLOOKUP(J7,[2]怪物武器!$T:$T,[2]怪物武器!$W:$W)</f>
        <v>0</v>
      </c>
      <c r="O7" s="31">
        <f>_xlfn.XLOOKUP(_xlfn.XLOOKUP(A7,[2]怪物武器!$B:$B,[2]怪物武器!$P:$P),[2]怪物武器!$AG:$AG,[2]怪物武器!$AH:$AH)*_xlfn.XLOOKUP(J7,[2]怪物武器!$T:$T,[2]怪物武器!$X:$X)</f>
        <v>9600</v>
      </c>
      <c r="P7" s="31" t="s">
        <v>77</v>
      </c>
      <c r="Q7" s="31">
        <v>360</v>
      </c>
      <c r="R7" s="36">
        <f>IF(J7&lt;4,_xlfn.XLOOKUP(_xlfn.XLOOKUP(A7,[2]怪物武器!$B:$B,[2]怪物武器!$N:$N),[2]怪物武器!$AI:$AI,[2]怪物武器!$AJ:$AJ),_xlfn.XLOOKUP(_xlfn.XLOOKUP(A7,[2]怪物武器!$B:$B,[2]怪物武器!$N:$N),[2]怪物武器!$AK:$AK,[2]怪物武器!$AL:$AL))*_xlfn.XLOOKUP(J7,[2]怪物武器!$T:$T,[2]怪物武器!$Y:$Y)</f>
        <v>12410</v>
      </c>
      <c r="S7" s="31">
        <f t="shared" si="4"/>
        <v>5000</v>
      </c>
      <c r="U7" s="31">
        <f t="shared" si="1"/>
        <v>1000</v>
      </c>
      <c r="AB7" s="31" t="str">
        <f t="shared" si="2"/>
        <v>450;50;8;60;90;200;0;0;300</v>
      </c>
      <c r="AC7" s="31" t="str">
        <f t="shared" si="3"/>
        <v>76;105;693;-7;600;115;300;1400;500</v>
      </c>
      <c r="AD7" s="39">
        <v>450</v>
      </c>
      <c r="AE7" s="39">
        <v>50</v>
      </c>
      <c r="AF7" s="39">
        <v>8</v>
      </c>
      <c r="AG7" s="39">
        <v>60</v>
      </c>
      <c r="AH7" s="39">
        <v>90</v>
      </c>
      <c r="AI7" s="39">
        <v>200</v>
      </c>
      <c r="AJ7" s="39">
        <v>0</v>
      </c>
      <c r="AK7" s="39">
        <v>0</v>
      </c>
      <c r="AL7" s="39">
        <v>300</v>
      </c>
      <c r="AM7" s="43">
        <f>_xlfn.XLOOKUP(A7,怪物武器挂载坐标辅助表!$A:$A,怪物武器挂载坐标辅助表!G:G)</f>
        <v>76</v>
      </c>
      <c r="AN7" s="43">
        <f>_xlfn.XLOOKUP(A7,怪物武器挂载坐标辅助表!$A:$A,怪物武器挂载坐标辅助表!H:H)</f>
        <v>105</v>
      </c>
      <c r="AO7" s="43">
        <f>_xlfn.XLOOKUP(A7,怪物武器挂载坐标辅助表!$A:$A,怪物武器挂载坐标辅助表!I:I)</f>
        <v>693</v>
      </c>
      <c r="AP7" s="43">
        <f>_xlfn.XLOOKUP(A7,怪物武器挂载坐标辅助表!$A:$A,怪物武器挂载坐标辅助表!J:J)</f>
        <v>-7</v>
      </c>
      <c r="AQ7" s="43">
        <f>怪物武器挂载坐标辅助表!$M$2</f>
        <v>600</v>
      </c>
      <c r="AR7" s="43">
        <f>_xlfn.XLOOKUP(A7,怪物武器挂载坐标辅助表!$A:$A,怪物武器挂载坐标辅助表!K:K)</f>
        <v>115</v>
      </c>
      <c r="AS7" s="43">
        <f>怪物武器挂载坐标辅助表!$M$3</f>
        <v>300</v>
      </c>
      <c r="AT7" s="43">
        <f>怪物武器挂载坐标辅助表!$M$4</f>
        <v>1400</v>
      </c>
      <c r="AU7" s="43">
        <f>怪物武器挂载坐标辅助表!$M$5</f>
        <v>500</v>
      </c>
    </row>
    <row r="8" spans="1:47">
      <c r="A8" s="31">
        <v>104</v>
      </c>
      <c r="B8" s="31" t="s">
        <v>78</v>
      </c>
      <c r="C8" s="31">
        <v>1</v>
      </c>
      <c r="D8" s="31" t="str" cm="1">
        <f t="array" ref="D8">_xlfn.IFS(C8&lt;3,CONCATENATE("monster_weapon_",A8,"_name"),C8=3,CONCATENATE("player_weapon_",A8,"_name"))</f>
        <v>monster_weapon_104_name</v>
      </c>
      <c r="E8" s="31" t="str" cm="1">
        <f t="array" ref="E8">_xlfn.IFS(C8&lt;3,CONCATENATE("pic_monster_weapon_",A8),C8=3,CONCATENATE("pic_player_weapon_",A8,"_name"))</f>
        <v>pic_monster_weapon_104</v>
      </c>
      <c r="F8" s="31" t="str" cm="1">
        <f t="array" ref="F8">_xlfn.IFS(C8&lt;3,CONCATENATE("monster_weapon_",A8,"_desc"),C8=3,CONCATENATE("player_weapon_",A8,"_desc"))</f>
        <v>monster_weapon_104_desc</v>
      </c>
      <c r="G8" s="31">
        <v>1</v>
      </c>
      <c r="H8" s="31" cm="1">
        <f t="array" ref="H8">_xlfn.IFS(G8=1,40,G8=2,60,G8=3,100)</f>
        <v>40</v>
      </c>
      <c r="I8" s="31" t="str" cm="1">
        <f t="array" ref="I8">_xlfn.IFS(C8&lt;3,CONCATENATE("model_monster_weapon_",A8),C8=3,CONCATENATE("model_player_weapon_",A8,"_name"))</f>
        <v>model_monster_weapon_104</v>
      </c>
      <c r="J8" s="31">
        <f t="shared" si="0"/>
        <v>1</v>
      </c>
      <c r="K8" s="31">
        <v>2</v>
      </c>
      <c r="L8" s="31">
        <f>_xlfn.XLOOKUP(_xlfn.XLOOKUP(A8,[2]怪物武器!$B:$B,[2]怪物武器!$J:$J),[2]怪物武器!$AA:$AA,[2]怪物武器!$AB:$AB)*_xlfn.XLOOKUP(J8,[2]怪物武器!$T:$T,[2]怪物武器!$U:$U)</f>
        <v>8000</v>
      </c>
      <c r="M8" s="31">
        <f>_xlfn.XLOOKUP(_xlfn.XLOOKUP(A8,[2]怪物武器!$B:$B,[2]怪物武器!$K:$K),[2]怪物武器!$AC:$AC,[2]怪物武器!$AD:$AD)*_xlfn.XLOOKUP(J8,[2]怪物武器!$T:$T,[2]怪物武器!$V:$V)</f>
        <v>3000</v>
      </c>
      <c r="N8" s="31">
        <f>_xlfn.XLOOKUP(_xlfn.XLOOKUP(A8,[2]怪物武器!$B:$B,[2]怪物武器!$L:$L),[2]怪物武器!$AE:$AE,[2]怪物武器!$AF:$AF)*_xlfn.XLOOKUP(J8,[2]怪物武器!$T:$T,[2]怪物武器!$W:$W)</f>
        <v>0</v>
      </c>
      <c r="O8" s="31">
        <f>_xlfn.XLOOKUP(_xlfn.XLOOKUP(A8,[2]怪物武器!$B:$B,[2]怪物武器!$P:$P),[2]怪物武器!$AG:$AG,[2]怪物武器!$AH:$AH)*_xlfn.XLOOKUP(J8,[2]怪物武器!$T:$T,[2]怪物武器!$X:$X)</f>
        <v>12000</v>
      </c>
      <c r="P8" s="31" t="s">
        <v>74</v>
      </c>
      <c r="Q8" s="31">
        <v>360</v>
      </c>
      <c r="R8" s="36">
        <f>IF(J8&lt;4,_xlfn.XLOOKUP(_xlfn.XLOOKUP(A8,[2]怪物武器!$B:$B,[2]怪物武器!$N:$N),[2]怪物武器!$AI:$AI,[2]怪物武器!$AJ:$AJ),_xlfn.XLOOKUP(_xlfn.XLOOKUP(A8,[2]怪物武器!$B:$B,[2]怪物武器!$N:$N),[2]怪物武器!$AK:$AK,[2]怪物武器!$AL:$AL))*_xlfn.XLOOKUP(J8,[2]怪物武器!$T:$T,[2]怪物武器!$Y:$Y)</f>
        <v>8030</v>
      </c>
      <c r="S8" s="31">
        <f t="shared" si="4"/>
        <v>5000</v>
      </c>
      <c r="U8" s="31">
        <f t="shared" si="1"/>
        <v>1320</v>
      </c>
      <c r="AB8" s="31" t="str">
        <f t="shared" si="2"/>
        <v>450;180;60;40;-95;400;320;180;450</v>
      </c>
      <c r="AC8" s="31" t="str">
        <f t="shared" si="3"/>
        <v>-19;50;568;-206;600;125;300;1400;500</v>
      </c>
      <c r="AD8" s="39">
        <v>450</v>
      </c>
      <c r="AE8" s="39">
        <v>180</v>
      </c>
      <c r="AF8" s="39">
        <v>60</v>
      </c>
      <c r="AG8" s="39">
        <v>40</v>
      </c>
      <c r="AH8" s="39">
        <v>-95</v>
      </c>
      <c r="AI8" s="39">
        <v>400</v>
      </c>
      <c r="AJ8" s="39">
        <v>320</v>
      </c>
      <c r="AK8" s="39">
        <v>180</v>
      </c>
      <c r="AL8" s="39">
        <v>450</v>
      </c>
      <c r="AM8" s="43">
        <f>_xlfn.XLOOKUP(A8,怪物武器挂载坐标辅助表!$A:$A,怪物武器挂载坐标辅助表!G:G)</f>
        <v>-19</v>
      </c>
      <c r="AN8" s="43">
        <f>_xlfn.XLOOKUP(A8,怪物武器挂载坐标辅助表!$A:$A,怪物武器挂载坐标辅助表!H:H)</f>
        <v>50</v>
      </c>
      <c r="AO8" s="43">
        <f>_xlfn.XLOOKUP(A8,怪物武器挂载坐标辅助表!$A:$A,怪物武器挂载坐标辅助表!I:I)</f>
        <v>568</v>
      </c>
      <c r="AP8" s="43">
        <f>_xlfn.XLOOKUP(A8,怪物武器挂载坐标辅助表!$A:$A,怪物武器挂载坐标辅助表!J:J)</f>
        <v>-206</v>
      </c>
      <c r="AQ8" s="43">
        <f>怪物武器挂载坐标辅助表!$M$2</f>
        <v>600</v>
      </c>
      <c r="AR8" s="43">
        <f>_xlfn.XLOOKUP(A8,怪物武器挂载坐标辅助表!$A:$A,怪物武器挂载坐标辅助表!K:K)</f>
        <v>125</v>
      </c>
      <c r="AS8" s="43">
        <f>怪物武器挂载坐标辅助表!$M$3</f>
        <v>300</v>
      </c>
      <c r="AT8" s="43">
        <f>怪物武器挂载坐标辅助表!$M$4</f>
        <v>1400</v>
      </c>
      <c r="AU8" s="43">
        <f>怪物武器挂载坐标辅助表!$M$5</f>
        <v>500</v>
      </c>
    </row>
    <row r="9" spans="1:47">
      <c r="A9" s="31">
        <v>105</v>
      </c>
      <c r="B9" s="31" t="s">
        <v>79</v>
      </c>
      <c r="C9" s="31">
        <v>1</v>
      </c>
      <c r="D9" s="31" t="str" cm="1">
        <f t="array" ref="D9">_xlfn.IFS(C9&lt;3,CONCATENATE("monster_weapon_",A9,"_name"),C9=3,CONCATENATE("player_weapon_",A9,"_name"))</f>
        <v>monster_weapon_105_name</v>
      </c>
      <c r="E9" s="31" t="str" cm="1">
        <f t="array" ref="E9">_xlfn.IFS(C9&lt;3,CONCATENATE("pic_monster_weapon_",A9),C9=3,CONCATENATE("pic_player_weapon_",A9,"_name"))</f>
        <v>pic_monster_weapon_105</v>
      </c>
      <c r="F9" s="31" t="str" cm="1">
        <f t="array" ref="F9">_xlfn.IFS(C9&lt;3,CONCATENATE("monster_weapon_",A9,"_desc"),C9=3,CONCATENATE("player_weapon_",A9,"_desc"))</f>
        <v>monster_weapon_105_desc</v>
      </c>
      <c r="G9" s="31">
        <v>2</v>
      </c>
      <c r="H9" s="31" cm="1">
        <f t="array" ref="H9">_xlfn.IFS(G9=1,40,G9=2,60,G9=3,100)</f>
        <v>60</v>
      </c>
      <c r="I9" s="31" t="str" cm="1">
        <f t="array" ref="I9">_xlfn.IFS(C9&lt;3,CONCATENATE("model_monster_weapon_",A9),C9=3,CONCATENATE("model_player_weapon_",A9,"_name"))</f>
        <v>model_monster_weapon_105</v>
      </c>
      <c r="J9" s="31">
        <f t="shared" si="0"/>
        <v>1</v>
      </c>
      <c r="K9" s="31">
        <v>3</v>
      </c>
      <c r="L9" s="31">
        <f>_xlfn.XLOOKUP(_xlfn.XLOOKUP(A9,[2]怪物武器!$B:$B,[2]怪物武器!$J:$J),[2]怪物武器!$AA:$AA,[2]怪物武器!$AB:$AB)*_xlfn.XLOOKUP(J9,[2]怪物武器!$T:$T,[2]怪物武器!$U:$U)</f>
        <v>20000</v>
      </c>
      <c r="M9" s="31">
        <f>_xlfn.XLOOKUP(_xlfn.XLOOKUP(A9,[2]怪物武器!$B:$B,[2]怪物武器!$K:$K),[2]怪物武器!$AC:$AC,[2]怪物武器!$AD:$AD)*_xlfn.XLOOKUP(J9,[2]怪物武器!$T:$T,[2]怪物武器!$V:$V)</f>
        <v>5000</v>
      </c>
      <c r="N9" s="31">
        <f>_xlfn.XLOOKUP(_xlfn.XLOOKUP(A9,[2]怪物武器!$B:$B,[2]怪物武器!$L:$L),[2]怪物武器!$AE:$AE,[2]怪物武器!$AF:$AF)*_xlfn.XLOOKUP(J9,[2]怪物武器!$T:$T,[2]怪物武器!$W:$W)</f>
        <v>0</v>
      </c>
      <c r="O9" s="31">
        <f>_xlfn.XLOOKUP(_xlfn.XLOOKUP(A9,[2]怪物武器!$B:$B,[2]怪物武器!$P:$P),[2]怪物武器!$AG:$AG,[2]怪物武器!$AH:$AH)*_xlfn.XLOOKUP(J9,[2]怪物武器!$T:$T,[2]怪物武器!$X:$X)</f>
        <v>14400</v>
      </c>
      <c r="P9" s="31" t="s">
        <v>77</v>
      </c>
      <c r="Q9" s="31">
        <v>360</v>
      </c>
      <c r="R9" s="36">
        <f>IF(J9&lt;4,_xlfn.XLOOKUP(_xlfn.XLOOKUP(A9,[2]怪物武器!$B:$B,[2]怪物武器!$N:$N),[2]怪物武器!$AI:$AI,[2]怪物武器!$AJ:$AJ),_xlfn.XLOOKUP(_xlfn.XLOOKUP(A9,[2]怪物武器!$B:$B,[2]怪物武器!$N:$N),[2]怪物武器!$AK:$AK,[2]怪物武器!$AL:$AL))*_xlfn.XLOOKUP(J9,[2]怪物武器!$T:$T,[2]怪物武器!$Y:$Y)</f>
        <v>10220</v>
      </c>
      <c r="S9" s="31">
        <f t="shared" si="4"/>
        <v>1210</v>
      </c>
      <c r="U9" s="31">
        <f t="shared" si="1"/>
        <v>410</v>
      </c>
      <c r="AB9" s="31" t="str">
        <f t="shared" si="2"/>
        <v>100;20;150;25;-30;40;1;0;100</v>
      </c>
      <c r="AC9" s="31" t="str">
        <f t="shared" si="3"/>
        <v>25;-67;526;-198;600;120;300;1400;500</v>
      </c>
      <c r="AD9" s="39">
        <v>100</v>
      </c>
      <c r="AE9" s="39">
        <v>20</v>
      </c>
      <c r="AF9" s="39">
        <v>150</v>
      </c>
      <c r="AG9" s="39">
        <v>25</v>
      </c>
      <c r="AH9" s="39">
        <v>-30</v>
      </c>
      <c r="AI9" s="39">
        <v>40</v>
      </c>
      <c r="AJ9" s="39">
        <v>1</v>
      </c>
      <c r="AK9" s="39">
        <v>0</v>
      </c>
      <c r="AL9" s="39">
        <v>100</v>
      </c>
      <c r="AM9" s="43">
        <f>_xlfn.XLOOKUP(A9,怪物武器挂载坐标辅助表!$A:$A,怪物武器挂载坐标辅助表!G:G)</f>
        <v>25</v>
      </c>
      <c r="AN9" s="43">
        <f>_xlfn.XLOOKUP(A9,怪物武器挂载坐标辅助表!$A:$A,怪物武器挂载坐标辅助表!H:H)</f>
        <v>-67</v>
      </c>
      <c r="AO9" s="43">
        <f>_xlfn.XLOOKUP(A9,怪物武器挂载坐标辅助表!$A:$A,怪物武器挂载坐标辅助表!I:I)</f>
        <v>526</v>
      </c>
      <c r="AP9" s="43">
        <f>_xlfn.XLOOKUP(A9,怪物武器挂载坐标辅助表!$A:$A,怪物武器挂载坐标辅助表!J:J)</f>
        <v>-198</v>
      </c>
      <c r="AQ9" s="43">
        <f>怪物武器挂载坐标辅助表!$M$2</f>
        <v>600</v>
      </c>
      <c r="AR9" s="43">
        <f>_xlfn.XLOOKUP(A9,怪物武器挂载坐标辅助表!$A:$A,怪物武器挂载坐标辅助表!K:K)</f>
        <v>120</v>
      </c>
      <c r="AS9" s="43">
        <f>怪物武器挂载坐标辅助表!$M$3</f>
        <v>300</v>
      </c>
      <c r="AT9" s="43">
        <f>怪物武器挂载坐标辅助表!$M$4</f>
        <v>1400</v>
      </c>
      <c r="AU9" s="43">
        <f>怪物武器挂载坐标辅助表!$M$5</f>
        <v>500</v>
      </c>
    </row>
    <row r="10" spans="1:47">
      <c r="A10" s="31">
        <v>106</v>
      </c>
      <c r="B10" s="31" t="s">
        <v>80</v>
      </c>
      <c r="C10" s="31">
        <v>1</v>
      </c>
      <c r="D10" s="31" t="str" cm="1">
        <f t="array" ref="D10">_xlfn.IFS(C10&lt;3,CONCATENATE("monster_weapon_",A10,"_name"),C10=3,CONCATENATE("player_weapon_",A10,"_name"))</f>
        <v>monster_weapon_106_name</v>
      </c>
      <c r="E10" s="31" t="str" cm="1">
        <f t="array" ref="E10">_xlfn.IFS(C10&lt;3,CONCATENATE("pic_monster_weapon_",A10),C10=3,CONCATENATE("pic_player_weapon_",A10,"_name"))</f>
        <v>pic_monster_weapon_106</v>
      </c>
      <c r="F10" s="31" t="str" cm="1">
        <f t="array" ref="F10">_xlfn.IFS(C10&lt;3,CONCATENATE("monster_weapon_",A10,"_desc"),C10=3,CONCATENATE("player_weapon_",A10,"_desc"))</f>
        <v>monster_weapon_106_desc</v>
      </c>
      <c r="G10" s="31">
        <v>1</v>
      </c>
      <c r="H10" s="31" cm="1">
        <f t="array" ref="H10">_xlfn.IFS(G10=1,40,G10=2,60,G10=3,100)</f>
        <v>40</v>
      </c>
      <c r="I10" s="31" t="str" cm="1">
        <f t="array" ref="I10">_xlfn.IFS(C10&lt;3,CONCATENATE("model_monster_weapon_",A10),C10=3,CONCATENATE("model_player_weapon_",A10,"_name"))</f>
        <v>model_monster_weapon_106</v>
      </c>
      <c r="J10" s="31">
        <f t="shared" si="0"/>
        <v>1</v>
      </c>
      <c r="K10" s="31">
        <v>1</v>
      </c>
      <c r="L10" s="31">
        <f>_xlfn.XLOOKUP(_xlfn.XLOOKUP(A10,[2]怪物武器!$B:$B,[2]怪物武器!$J:$J),[2]怪物武器!$AA:$AA,[2]怪物武器!$AB:$AB)*_xlfn.XLOOKUP(J10,[2]怪物武器!$T:$T,[2]怪物武器!$U:$U)</f>
        <v>4000</v>
      </c>
      <c r="M10" s="31">
        <f>_xlfn.XLOOKUP(_xlfn.XLOOKUP(A10,[2]怪物武器!$B:$B,[2]怪物武器!$K:$K),[2]怪物武器!$AC:$AC,[2]怪物武器!$AD:$AD)*_xlfn.XLOOKUP(J10,[2]怪物武器!$T:$T,[2]怪物武器!$V:$V)</f>
        <v>1000</v>
      </c>
      <c r="N10" s="31">
        <f>_xlfn.XLOOKUP(_xlfn.XLOOKUP(A10,[2]怪物武器!$B:$B,[2]怪物武器!$L:$L),[2]怪物武器!$AE:$AE,[2]怪物武器!$AF:$AF)*_xlfn.XLOOKUP(J10,[2]怪物武器!$T:$T,[2]怪物武器!$W:$W)</f>
        <v>0</v>
      </c>
      <c r="O10" s="31">
        <f>_xlfn.XLOOKUP(_xlfn.XLOOKUP(A10,[2]怪物武器!$B:$B,[2]怪物武器!$P:$P),[2]怪物武器!$AG:$AG,[2]怪物武器!$AH:$AH)*_xlfn.XLOOKUP(J10,[2]怪物武器!$T:$T,[2]怪物武器!$X:$X)</f>
        <v>16800</v>
      </c>
      <c r="P10" s="31" t="s">
        <v>77</v>
      </c>
      <c r="Q10" s="31">
        <v>360</v>
      </c>
      <c r="R10" s="36">
        <f>IF(J10&lt;4,_xlfn.XLOOKUP(_xlfn.XLOOKUP(A10,[2]怪物武器!$B:$B,[2]怪物武器!$N:$N),[2]怪物武器!$AI:$AI,[2]怪物武器!$AJ:$AJ),_xlfn.XLOOKUP(_xlfn.XLOOKUP(A10,[2]怪物武器!$B:$B,[2]怪物武器!$N:$N),[2]怪物武器!$AK:$AK,[2]怪物武器!$AL:$AL))*_xlfn.XLOOKUP(J10,[2]怪物武器!$T:$T,[2]怪物武器!$Y:$Y)</f>
        <v>8030</v>
      </c>
      <c r="S10" s="31">
        <f t="shared" si="4"/>
        <v>5260</v>
      </c>
      <c r="U10" s="31">
        <f t="shared" si="1"/>
        <v>950</v>
      </c>
      <c r="AB10" s="31" t="str">
        <f t="shared" si="2"/>
        <v>450;50;5;70;90;200;0;0;250</v>
      </c>
      <c r="AC10" s="31" t="str">
        <f t="shared" si="3"/>
        <v>44;-83;560;-176;600;120;300;1400;500</v>
      </c>
      <c r="AD10" s="39">
        <v>450</v>
      </c>
      <c r="AE10" s="39">
        <v>50</v>
      </c>
      <c r="AF10" s="39">
        <v>5</v>
      </c>
      <c r="AG10" s="39">
        <v>70</v>
      </c>
      <c r="AH10" s="39">
        <v>90</v>
      </c>
      <c r="AI10" s="39">
        <v>200</v>
      </c>
      <c r="AJ10" s="39">
        <v>0</v>
      </c>
      <c r="AK10" s="39">
        <v>0</v>
      </c>
      <c r="AL10" s="39">
        <v>250</v>
      </c>
      <c r="AM10" s="43">
        <f>_xlfn.XLOOKUP(A10,怪物武器挂载坐标辅助表!$A:$A,怪物武器挂载坐标辅助表!G:G)</f>
        <v>44</v>
      </c>
      <c r="AN10" s="43">
        <f>_xlfn.XLOOKUP(A10,怪物武器挂载坐标辅助表!$A:$A,怪物武器挂载坐标辅助表!H:H)</f>
        <v>-83</v>
      </c>
      <c r="AO10" s="43">
        <f>_xlfn.XLOOKUP(A10,怪物武器挂载坐标辅助表!$A:$A,怪物武器挂载坐标辅助表!I:I)</f>
        <v>560</v>
      </c>
      <c r="AP10" s="43">
        <f>_xlfn.XLOOKUP(A10,怪物武器挂载坐标辅助表!$A:$A,怪物武器挂载坐标辅助表!J:J)</f>
        <v>-176</v>
      </c>
      <c r="AQ10" s="43">
        <f>怪物武器挂载坐标辅助表!$M$2</f>
        <v>600</v>
      </c>
      <c r="AR10" s="43">
        <f>_xlfn.XLOOKUP(A10,怪物武器挂载坐标辅助表!$A:$A,怪物武器挂载坐标辅助表!K:K)</f>
        <v>120</v>
      </c>
      <c r="AS10" s="43">
        <f>怪物武器挂载坐标辅助表!$M$3</f>
        <v>300</v>
      </c>
      <c r="AT10" s="43">
        <f>怪物武器挂载坐标辅助表!$M$4</f>
        <v>1400</v>
      </c>
      <c r="AU10" s="43">
        <f>怪物武器挂载坐标辅助表!$M$5</f>
        <v>500</v>
      </c>
    </row>
    <row r="11" spans="1:47">
      <c r="A11" s="31">
        <v>201</v>
      </c>
      <c r="B11" s="31" t="s">
        <v>81</v>
      </c>
      <c r="C11" s="31">
        <v>1</v>
      </c>
      <c r="D11" s="31" t="str" cm="1">
        <f t="array" ref="D11">_xlfn.IFS(C11&lt;3,CONCATENATE("monster_weapon_",A11,"_name"),C11=3,CONCATENATE("player_weapon_",A11,"_name"))</f>
        <v>monster_weapon_201_name</v>
      </c>
      <c r="E11" s="31" t="str" cm="1">
        <f t="array" ref="E11">_xlfn.IFS(C11&lt;3,CONCATENATE("pic_monster_weapon_",A11),C11=3,CONCATENATE("pic_player_weapon_",A11,"_name"))</f>
        <v>pic_monster_weapon_201</v>
      </c>
      <c r="F11" s="31" t="str" cm="1">
        <f t="array" ref="F11">_xlfn.IFS(C11&lt;3,CONCATENATE("monster_weapon_",A11,"_desc"),C11=3,CONCATENATE("player_weapon_",A11,"_desc"))</f>
        <v>monster_weapon_201_desc</v>
      </c>
      <c r="G11" s="31">
        <v>1</v>
      </c>
      <c r="H11" s="31" cm="1">
        <f t="array" ref="H11">_xlfn.IFS(G11=1,40,G11=2,60,G11=3,100)</f>
        <v>40</v>
      </c>
      <c r="I11" s="31" t="str" cm="1">
        <f t="array" ref="I11">_xlfn.IFS(C11&lt;3,CONCATENATE("model_monster_weapon_",A11),C11=3,CONCATENATE("model_player_weapon_",A11,"_name"))</f>
        <v>model_monster_weapon_201</v>
      </c>
      <c r="J11" s="31">
        <f t="shared" si="0"/>
        <v>2</v>
      </c>
      <c r="K11" s="31">
        <v>2</v>
      </c>
      <c r="L11" s="31">
        <f>_xlfn.XLOOKUP(_xlfn.XLOOKUP(A11,[2]怪物武器!$B:$B,[2]怪物武器!$J:$J),[2]怪物武器!$AA:$AA,[2]怪物武器!$AB:$AB)*_xlfn.XLOOKUP(J11,[2]怪物武器!$T:$T,[2]怪物武器!$U:$U)</f>
        <v>15000</v>
      </c>
      <c r="M11" s="31">
        <f>_xlfn.XLOOKUP(_xlfn.XLOOKUP(A11,[2]怪物武器!$B:$B,[2]怪物武器!$K:$K),[2]怪物武器!$AC:$AC,[2]怪物武器!$AD:$AD)*_xlfn.XLOOKUP(J11,[2]怪物武器!$T:$T,[2]怪物武器!$V:$V)</f>
        <v>5000</v>
      </c>
      <c r="N11" s="31">
        <f>_xlfn.XLOOKUP(_xlfn.XLOOKUP(A11,[2]怪物武器!$B:$B,[2]怪物武器!$L:$L),[2]怪物武器!$AE:$AE,[2]怪物武器!$AF:$AF)*_xlfn.XLOOKUP(J11,[2]怪物武器!$T:$T,[2]怪物武器!$W:$W)</f>
        <v>7500</v>
      </c>
      <c r="O11" s="31">
        <f>_xlfn.XLOOKUP(_xlfn.XLOOKUP(A11,[2]怪物武器!$B:$B,[2]怪物武器!$P:$P),[2]怪物武器!$AG:$AG,[2]怪物武器!$AH:$AH)*_xlfn.XLOOKUP(J11,[2]怪物武器!$T:$T,[2]怪物武器!$X:$X)</f>
        <v>9600</v>
      </c>
      <c r="P11" s="31" t="s">
        <v>74</v>
      </c>
      <c r="Q11" s="31">
        <v>360</v>
      </c>
      <c r="R11" s="36">
        <f>IF(J11&lt;4,_xlfn.XLOOKUP(_xlfn.XLOOKUP(A11,[2]怪物武器!$B:$B,[2]怪物武器!$N:$N),[2]怪物武器!$AI:$AI,[2]怪物武器!$AJ:$AJ),_xlfn.XLOOKUP(_xlfn.XLOOKUP(A11,[2]怪物武器!$B:$B,[2]怪物武器!$N:$N),[2]怪物武器!$AK:$AK,[2]怪物武器!$AL:$AL))*_xlfn.XLOOKUP(J11,[2]怪物武器!$T:$T,[2]怪物武器!$Y:$Y)</f>
        <v>10220</v>
      </c>
      <c r="S11" s="31">
        <f t="shared" si="4"/>
        <v>5000</v>
      </c>
      <c r="U11" s="31">
        <f t="shared" si="1"/>
        <v>1480</v>
      </c>
      <c r="AB11" s="31" t="str">
        <f t="shared" si="2"/>
        <v>500;200;80;20;-50;350;450;200;500</v>
      </c>
      <c r="AC11" s="31" t="str">
        <f t="shared" si="3"/>
        <v>-23;-113;400;-300;600;125;300;1400;500</v>
      </c>
      <c r="AD11" s="39">
        <v>500</v>
      </c>
      <c r="AE11" s="39">
        <v>200</v>
      </c>
      <c r="AF11" s="39">
        <v>80</v>
      </c>
      <c r="AG11" s="39">
        <v>20</v>
      </c>
      <c r="AH11" s="39">
        <v>-50</v>
      </c>
      <c r="AI11" s="39">
        <v>350</v>
      </c>
      <c r="AJ11" s="39">
        <v>450</v>
      </c>
      <c r="AK11" s="39">
        <v>200</v>
      </c>
      <c r="AL11" s="39">
        <v>500</v>
      </c>
      <c r="AM11" s="43">
        <f>_xlfn.XLOOKUP(A11,怪物武器挂载坐标辅助表!$A:$A,怪物武器挂载坐标辅助表!G:G)</f>
        <v>-23</v>
      </c>
      <c r="AN11" s="43">
        <f>_xlfn.XLOOKUP(A11,怪物武器挂载坐标辅助表!$A:$A,怪物武器挂载坐标辅助表!H:H)</f>
        <v>-113</v>
      </c>
      <c r="AO11" s="43">
        <f>_xlfn.XLOOKUP(A11,怪物武器挂载坐标辅助表!$A:$A,怪物武器挂载坐标辅助表!I:I)</f>
        <v>400</v>
      </c>
      <c r="AP11" s="43">
        <f>_xlfn.XLOOKUP(A11,怪物武器挂载坐标辅助表!$A:$A,怪物武器挂载坐标辅助表!J:J)</f>
        <v>-300</v>
      </c>
      <c r="AQ11" s="43">
        <f>怪物武器挂载坐标辅助表!$M$2</f>
        <v>600</v>
      </c>
      <c r="AR11" s="43">
        <f>_xlfn.XLOOKUP(A11,怪物武器挂载坐标辅助表!$A:$A,怪物武器挂载坐标辅助表!K:K)</f>
        <v>125</v>
      </c>
      <c r="AS11" s="43">
        <f>怪物武器挂载坐标辅助表!$M$3</f>
        <v>300</v>
      </c>
      <c r="AT11" s="43">
        <f>怪物武器挂载坐标辅助表!$M$4</f>
        <v>1400</v>
      </c>
      <c r="AU11" s="43">
        <f>怪物武器挂载坐标辅助表!$M$5</f>
        <v>500</v>
      </c>
    </row>
    <row r="12" spans="1:47">
      <c r="A12" s="31">
        <v>202</v>
      </c>
      <c r="B12" s="31" t="s">
        <v>82</v>
      </c>
      <c r="C12" s="31">
        <v>1</v>
      </c>
      <c r="D12" s="31" t="str" cm="1">
        <f t="array" ref="D12">_xlfn.IFS(C12&lt;3,CONCATENATE("monster_weapon_",A12,"_name"),C12=3,CONCATENATE("player_weapon_",A12,"_name"))</f>
        <v>monster_weapon_202_name</v>
      </c>
      <c r="E12" s="31" t="str" cm="1">
        <f t="array" ref="E12">_xlfn.IFS(C12&lt;3,CONCATENATE("pic_monster_weapon_",A12),C12=3,CONCATENATE("pic_player_weapon_",A12,"_name"))</f>
        <v>pic_monster_weapon_202</v>
      </c>
      <c r="F12" s="31" t="str" cm="1">
        <f t="array" ref="F12">_xlfn.IFS(C12&lt;3,CONCATENATE("monster_weapon_",A12,"_desc"),C12=3,CONCATENATE("player_weapon_",A12,"_desc"))</f>
        <v>monster_weapon_202_desc</v>
      </c>
      <c r="G12" s="31">
        <v>1</v>
      </c>
      <c r="H12" s="31" cm="1">
        <f t="array" ref="H12">_xlfn.IFS(G12=1,40,G12=2,60,G12=3,100)</f>
        <v>40</v>
      </c>
      <c r="I12" s="31" t="str" cm="1">
        <f t="array" ref="I12">_xlfn.IFS(C12&lt;3,CONCATENATE("model_monster_weapon_",A12),C12=3,CONCATENATE("model_player_weapon_",A12,"_name"))</f>
        <v>model_monster_weapon_202</v>
      </c>
      <c r="J12" s="31">
        <f t="shared" si="0"/>
        <v>2</v>
      </c>
      <c r="K12" s="31">
        <v>1</v>
      </c>
      <c r="L12" s="31">
        <f>_xlfn.XLOOKUP(_xlfn.XLOOKUP(A12,[2]怪物武器!$B:$B,[2]怪物武器!$J:$J),[2]怪物武器!$AA:$AA,[2]怪物武器!$AB:$AB)*_xlfn.XLOOKUP(J12,[2]怪物武器!$T:$T,[2]怪物武器!$U:$U)</f>
        <v>8000</v>
      </c>
      <c r="M12" s="31">
        <f>_xlfn.XLOOKUP(_xlfn.XLOOKUP(A12,[2]怪物武器!$B:$B,[2]怪物武器!$K:$K),[2]怪物武器!$AC:$AC,[2]怪物武器!$AD:$AD)*_xlfn.XLOOKUP(J12,[2]怪物武器!$T:$T,[2]怪物武器!$V:$V)</f>
        <v>1000</v>
      </c>
      <c r="N12" s="31">
        <f>_xlfn.XLOOKUP(_xlfn.XLOOKUP(A12,[2]怪物武器!$B:$B,[2]怪物武器!$L:$L),[2]怪物武器!$AE:$AE,[2]怪物武器!$AF:$AF)*_xlfn.XLOOKUP(J12,[2]怪物武器!$T:$T,[2]怪物武器!$W:$W)</f>
        <v>7500</v>
      </c>
      <c r="O12" s="31">
        <f>_xlfn.XLOOKUP(_xlfn.XLOOKUP(A12,[2]怪物武器!$B:$B,[2]怪物武器!$P:$P),[2]怪物武器!$AG:$AG,[2]怪物武器!$AH:$AH)*_xlfn.XLOOKUP(J12,[2]怪物武器!$T:$T,[2]怪物武器!$X:$X)</f>
        <v>16800</v>
      </c>
      <c r="P12" s="31" t="s">
        <v>77</v>
      </c>
      <c r="Q12" s="31">
        <v>360</v>
      </c>
      <c r="R12" s="36">
        <f>IF(J12&lt;4,_xlfn.XLOOKUP(_xlfn.XLOOKUP(A12,[2]怪物武器!$B:$B,[2]怪物武器!$N:$N),[2]怪物武器!$AI:$AI,[2]怪物武器!$AJ:$AJ),_xlfn.XLOOKUP(_xlfn.XLOOKUP(A12,[2]怪物武器!$B:$B,[2]怪物武器!$N:$N),[2]怪物武器!$AK:$AK,[2]怪物武器!$AL:$AL))*_xlfn.XLOOKUP(J12,[2]怪物武器!$T:$T,[2]怪物武器!$Y:$Y)</f>
        <v>10220</v>
      </c>
      <c r="S12" s="31">
        <f t="shared" si="4"/>
        <v>5330</v>
      </c>
      <c r="U12" s="31">
        <f t="shared" si="1"/>
        <v>750</v>
      </c>
      <c r="AB12" s="31" t="str">
        <f t="shared" si="2"/>
        <v>350;50;8;50;75;150;0;0;200</v>
      </c>
      <c r="AC12" s="31" t="str">
        <f t="shared" si="3"/>
        <v>-162;10;450;0;600;95;300;1400;500</v>
      </c>
      <c r="AD12" s="39">
        <v>350</v>
      </c>
      <c r="AE12" s="39">
        <v>50</v>
      </c>
      <c r="AF12" s="39">
        <v>8</v>
      </c>
      <c r="AG12" s="39">
        <v>50</v>
      </c>
      <c r="AH12" s="39">
        <v>75</v>
      </c>
      <c r="AI12" s="39">
        <v>150</v>
      </c>
      <c r="AJ12" s="39">
        <v>0</v>
      </c>
      <c r="AK12" s="39">
        <v>0</v>
      </c>
      <c r="AL12" s="39">
        <v>200</v>
      </c>
      <c r="AM12" s="43">
        <f>_xlfn.XLOOKUP(A12,怪物武器挂载坐标辅助表!$A:$A,怪物武器挂载坐标辅助表!G:G)</f>
        <v>-162</v>
      </c>
      <c r="AN12" s="43">
        <f>_xlfn.XLOOKUP(A12,怪物武器挂载坐标辅助表!$A:$A,怪物武器挂载坐标辅助表!H:H)</f>
        <v>10</v>
      </c>
      <c r="AO12" s="43">
        <f>_xlfn.XLOOKUP(A12,怪物武器挂载坐标辅助表!$A:$A,怪物武器挂载坐标辅助表!I:I)</f>
        <v>450</v>
      </c>
      <c r="AP12" s="43">
        <f>_xlfn.XLOOKUP(A12,怪物武器挂载坐标辅助表!$A:$A,怪物武器挂载坐标辅助表!J:J)</f>
        <v>0</v>
      </c>
      <c r="AQ12" s="43">
        <f>怪物武器挂载坐标辅助表!$M$2</f>
        <v>600</v>
      </c>
      <c r="AR12" s="43">
        <f>_xlfn.XLOOKUP(A12,怪物武器挂载坐标辅助表!$A:$A,怪物武器挂载坐标辅助表!K:K)</f>
        <v>95</v>
      </c>
      <c r="AS12" s="43">
        <f>怪物武器挂载坐标辅助表!$M$3</f>
        <v>300</v>
      </c>
      <c r="AT12" s="43">
        <f>怪物武器挂载坐标辅助表!$M$4</f>
        <v>1400</v>
      </c>
      <c r="AU12" s="43">
        <f>怪物武器挂载坐标辅助表!$M$5</f>
        <v>500</v>
      </c>
    </row>
    <row r="13" spans="1:47">
      <c r="A13" s="31">
        <v>203</v>
      </c>
      <c r="B13" s="31" t="s">
        <v>83</v>
      </c>
      <c r="C13" s="31">
        <v>1</v>
      </c>
      <c r="D13" s="31" t="str" cm="1">
        <f t="array" ref="D13">_xlfn.IFS(C13&lt;3,CONCATENATE("monster_weapon_",A13,"_name"),C13=3,CONCATENATE("player_weapon_",A13,"_name"))</f>
        <v>monster_weapon_203_name</v>
      </c>
      <c r="E13" s="31" t="str" cm="1">
        <f t="array" ref="E13">_xlfn.IFS(C13&lt;3,CONCATENATE("pic_monster_weapon_",A13),C13=3,CONCATENATE("pic_player_weapon_",A13,"_name"))</f>
        <v>pic_monster_weapon_203</v>
      </c>
      <c r="F13" s="31" t="str" cm="1">
        <f t="array" ref="F13">_xlfn.IFS(C13&lt;3,CONCATENATE("monster_weapon_",A13,"_desc"),C13=3,CONCATENATE("player_weapon_",A13,"_desc"))</f>
        <v>monster_weapon_203_desc</v>
      </c>
      <c r="G13" s="31">
        <v>1</v>
      </c>
      <c r="H13" s="31" cm="1">
        <f t="array" ref="H13">_xlfn.IFS(G13=1,40,G13=2,60,G13=3,100)</f>
        <v>40</v>
      </c>
      <c r="I13" s="31" t="str" cm="1">
        <f t="array" ref="I13">_xlfn.IFS(C13&lt;3,CONCATENATE("model_monster_weapon_",A13),C13=3,CONCATENATE("model_player_weapon_",A13,"_name"))</f>
        <v>model_monster_weapon_203</v>
      </c>
      <c r="J13" s="31">
        <f t="shared" si="0"/>
        <v>2</v>
      </c>
      <c r="K13" s="31">
        <v>2</v>
      </c>
      <c r="L13" s="31">
        <f>_xlfn.XLOOKUP(_xlfn.XLOOKUP(A13,[2]怪物武器!$B:$B,[2]怪物武器!$J:$J),[2]怪物武器!$AA:$AA,[2]怪物武器!$AB:$AB)*_xlfn.XLOOKUP(J13,[2]怪物武器!$T:$T,[2]怪物武器!$U:$U)</f>
        <v>10000</v>
      </c>
      <c r="M13" s="31">
        <f>_xlfn.XLOOKUP(_xlfn.XLOOKUP(A13,[2]怪物武器!$B:$B,[2]怪物武器!$K:$K),[2]怪物武器!$AC:$AC,[2]怪物武器!$AD:$AD)*_xlfn.XLOOKUP(J13,[2]怪物武器!$T:$T,[2]怪物武器!$V:$V)</f>
        <v>4000</v>
      </c>
      <c r="N13" s="31">
        <f>_xlfn.XLOOKUP(_xlfn.XLOOKUP(A13,[2]怪物武器!$B:$B,[2]怪物武器!$L:$L),[2]怪物武器!$AE:$AE,[2]怪物武器!$AF:$AF)*_xlfn.XLOOKUP(J13,[2]怪物武器!$T:$T,[2]怪物武器!$W:$W)</f>
        <v>7500</v>
      </c>
      <c r="O13" s="31">
        <f>_xlfn.XLOOKUP(_xlfn.XLOOKUP(A13,[2]怪物武器!$B:$B,[2]怪物武器!$P:$P),[2]怪物武器!$AG:$AG,[2]怪物武器!$AH:$AH)*_xlfn.XLOOKUP(J13,[2]怪物武器!$T:$T,[2]怪物武器!$X:$X)</f>
        <v>12000</v>
      </c>
      <c r="P13" s="31" t="s">
        <v>74</v>
      </c>
      <c r="Q13" s="31">
        <v>360</v>
      </c>
      <c r="R13" s="36">
        <f>IF(J13&lt;4,_xlfn.XLOOKUP(_xlfn.XLOOKUP(A13,[2]怪物武器!$B:$B,[2]怪物武器!$N:$N),[2]怪物武器!$AI:$AI,[2]怪物武器!$AJ:$AJ),_xlfn.XLOOKUP(_xlfn.XLOOKUP(A13,[2]怪物武器!$B:$B,[2]怪物武器!$N:$N),[2]怪物武器!$AK:$AK,[2]怪物武器!$AL:$AL))*_xlfn.XLOOKUP(J13,[2]怪物武器!$T:$T,[2]怪物武器!$Y:$Y)</f>
        <v>10220</v>
      </c>
      <c r="S13" s="31">
        <f t="shared" si="4"/>
        <v>5000</v>
      </c>
      <c r="U13" s="31">
        <f t="shared" si="1"/>
        <v>1180</v>
      </c>
      <c r="AB13" s="31" t="str">
        <f t="shared" si="2"/>
        <v>400;160;60;15;-40;250;300;160;400</v>
      </c>
      <c r="AC13" s="31" t="str">
        <f t="shared" si="3"/>
        <v>-124;18;370;-70;600;125;300;1400;500</v>
      </c>
      <c r="AD13" s="39">
        <v>400</v>
      </c>
      <c r="AE13" s="39">
        <v>160</v>
      </c>
      <c r="AF13" s="39">
        <v>60</v>
      </c>
      <c r="AG13" s="39">
        <v>15</v>
      </c>
      <c r="AH13" s="39">
        <v>-40</v>
      </c>
      <c r="AI13" s="39">
        <v>250</v>
      </c>
      <c r="AJ13" s="39">
        <v>300</v>
      </c>
      <c r="AK13" s="39">
        <v>160</v>
      </c>
      <c r="AL13" s="39">
        <v>400</v>
      </c>
      <c r="AM13" s="43">
        <f>_xlfn.XLOOKUP(A13,怪物武器挂载坐标辅助表!$A:$A,怪物武器挂载坐标辅助表!G:G)</f>
        <v>-124</v>
      </c>
      <c r="AN13" s="43">
        <f>_xlfn.XLOOKUP(A13,怪物武器挂载坐标辅助表!$A:$A,怪物武器挂载坐标辅助表!H:H)</f>
        <v>18</v>
      </c>
      <c r="AO13" s="43">
        <f>_xlfn.XLOOKUP(A13,怪物武器挂载坐标辅助表!$A:$A,怪物武器挂载坐标辅助表!I:I)</f>
        <v>370</v>
      </c>
      <c r="AP13" s="43">
        <f>_xlfn.XLOOKUP(A13,怪物武器挂载坐标辅助表!$A:$A,怪物武器挂载坐标辅助表!J:J)</f>
        <v>-70</v>
      </c>
      <c r="AQ13" s="43">
        <f>怪物武器挂载坐标辅助表!$M$2</f>
        <v>600</v>
      </c>
      <c r="AR13" s="43">
        <f>_xlfn.XLOOKUP(A13,怪物武器挂载坐标辅助表!$A:$A,怪物武器挂载坐标辅助表!K:K)</f>
        <v>125</v>
      </c>
      <c r="AS13" s="43">
        <f>怪物武器挂载坐标辅助表!$M$3</f>
        <v>300</v>
      </c>
      <c r="AT13" s="43">
        <f>怪物武器挂载坐标辅助表!$M$4</f>
        <v>1400</v>
      </c>
      <c r="AU13" s="43">
        <f>怪物武器挂载坐标辅助表!$M$5</f>
        <v>500</v>
      </c>
    </row>
    <row r="14" spans="1:47">
      <c r="A14" s="31">
        <v>204</v>
      </c>
      <c r="B14" s="31" t="s">
        <v>84</v>
      </c>
      <c r="C14" s="31">
        <v>1</v>
      </c>
      <c r="D14" s="31" t="str" cm="1">
        <f t="array" ref="D14">_xlfn.IFS(C14&lt;3,CONCATENATE("monster_weapon_",A14,"_name"),C14=3,CONCATENATE("player_weapon_",A14,"_name"))</f>
        <v>monster_weapon_204_name</v>
      </c>
      <c r="E14" s="31" t="str" cm="1">
        <f t="array" ref="E14">_xlfn.IFS(C14&lt;3,CONCATENATE("pic_monster_weapon_",A14),C14=3,CONCATENATE("pic_player_weapon_",A14,"_name"))</f>
        <v>pic_monster_weapon_204</v>
      </c>
      <c r="F14" s="31" t="str" cm="1">
        <f t="array" ref="F14">_xlfn.IFS(C14&lt;3,CONCATENATE("monster_weapon_",A14,"_desc"),C14=3,CONCATENATE("player_weapon_",A14,"_desc"))</f>
        <v>monster_weapon_204_desc</v>
      </c>
      <c r="G14" s="31">
        <v>2</v>
      </c>
      <c r="H14" s="31" cm="1">
        <f t="array" ref="H14">_xlfn.IFS(G14=1,40,G14=2,60,G14=3,100)</f>
        <v>60</v>
      </c>
      <c r="I14" s="31" t="str" cm="1">
        <f t="array" ref="I14">_xlfn.IFS(C14&lt;3,CONCATENATE("model_monster_weapon_",A14),C14=3,CONCATENATE("model_player_weapon_",A14,"_name"))</f>
        <v>model_monster_weapon_204</v>
      </c>
      <c r="J14" s="31">
        <f t="shared" si="0"/>
        <v>2</v>
      </c>
      <c r="K14" s="31">
        <v>1</v>
      </c>
      <c r="L14" s="31">
        <f>_xlfn.XLOOKUP(_xlfn.XLOOKUP(A14,[2]怪物武器!$B:$B,[2]怪物武器!$J:$J),[2]怪物武器!$AA:$AA,[2]怪物武器!$AB:$AB)*_xlfn.XLOOKUP(J14,[2]怪物武器!$T:$T,[2]怪物武器!$U:$U)</f>
        <v>10000</v>
      </c>
      <c r="M14" s="31">
        <f>_xlfn.XLOOKUP(_xlfn.XLOOKUP(A14,[2]怪物武器!$B:$B,[2]怪物武器!$K:$K),[2]怪物武器!$AC:$AC,[2]怪物武器!$AD:$AD)*_xlfn.XLOOKUP(J14,[2]怪物武器!$T:$T,[2]怪物武器!$V:$V)</f>
        <v>2000</v>
      </c>
      <c r="N14" s="31">
        <f>_xlfn.XLOOKUP(_xlfn.XLOOKUP(A14,[2]怪物武器!$B:$B,[2]怪物武器!$L:$L),[2]怪物武器!$AE:$AE,[2]怪物武器!$AF:$AF)*_xlfn.XLOOKUP(J14,[2]怪物武器!$T:$T,[2]怪物武器!$W:$W)</f>
        <v>6000</v>
      </c>
      <c r="O14" s="31">
        <f>_xlfn.XLOOKUP(_xlfn.XLOOKUP(A14,[2]怪物武器!$B:$B,[2]怪物武器!$P:$P),[2]怪物武器!$AG:$AG,[2]怪物武器!$AH:$AH)*_xlfn.XLOOKUP(J14,[2]怪物武器!$T:$T,[2]怪物武器!$X:$X)</f>
        <v>14400</v>
      </c>
      <c r="P14" s="31" t="s">
        <v>77</v>
      </c>
      <c r="Q14" s="31">
        <v>360</v>
      </c>
      <c r="R14" s="36">
        <f>IF(J14&lt;4,_xlfn.XLOOKUP(_xlfn.XLOOKUP(A14,[2]怪物武器!$B:$B,[2]怪物武器!$N:$N),[2]怪物武器!$AI:$AI,[2]怪物武器!$AJ:$AJ),_xlfn.XLOOKUP(_xlfn.XLOOKUP(A14,[2]怪物武器!$B:$B,[2]怪物武器!$N:$N),[2]怪物武器!$AK:$AK,[2]怪物武器!$AL:$AL))*_xlfn.XLOOKUP(J14,[2]怪物武器!$T:$T,[2]怪物武器!$Y:$Y)</f>
        <v>8030</v>
      </c>
      <c r="S14" s="31">
        <f t="shared" si="4"/>
        <v>5760</v>
      </c>
      <c r="U14" s="31">
        <f t="shared" si="1"/>
        <v>590</v>
      </c>
      <c r="AB14" s="31" t="str">
        <f t="shared" si="2"/>
        <v>300;40;8;50;75;100;0;0;150</v>
      </c>
      <c r="AC14" s="31" t="str">
        <f t="shared" si="3"/>
        <v>-19;105;450;100;600;95;300;1400;500</v>
      </c>
      <c r="AD14" s="39">
        <v>300</v>
      </c>
      <c r="AE14" s="39">
        <v>40</v>
      </c>
      <c r="AF14" s="39">
        <v>8</v>
      </c>
      <c r="AG14" s="39">
        <v>50</v>
      </c>
      <c r="AH14" s="39">
        <v>75</v>
      </c>
      <c r="AI14" s="39">
        <v>100</v>
      </c>
      <c r="AJ14" s="39">
        <v>0</v>
      </c>
      <c r="AK14" s="39">
        <v>0</v>
      </c>
      <c r="AL14" s="39">
        <v>150</v>
      </c>
      <c r="AM14" s="43">
        <f>_xlfn.XLOOKUP(A14,怪物武器挂载坐标辅助表!$A:$A,怪物武器挂载坐标辅助表!G:G)</f>
        <v>-19</v>
      </c>
      <c r="AN14" s="43">
        <f>_xlfn.XLOOKUP(A14,怪物武器挂载坐标辅助表!$A:$A,怪物武器挂载坐标辅助表!H:H)</f>
        <v>105</v>
      </c>
      <c r="AO14" s="43">
        <f>_xlfn.XLOOKUP(A14,怪物武器挂载坐标辅助表!$A:$A,怪物武器挂载坐标辅助表!I:I)</f>
        <v>450</v>
      </c>
      <c r="AP14" s="43">
        <f>_xlfn.XLOOKUP(A14,怪物武器挂载坐标辅助表!$A:$A,怪物武器挂载坐标辅助表!J:J)</f>
        <v>100</v>
      </c>
      <c r="AQ14" s="43">
        <f>怪物武器挂载坐标辅助表!$M$2</f>
        <v>600</v>
      </c>
      <c r="AR14" s="43">
        <f>_xlfn.XLOOKUP(A14,怪物武器挂载坐标辅助表!$A:$A,怪物武器挂载坐标辅助表!K:K)</f>
        <v>95</v>
      </c>
      <c r="AS14" s="43">
        <f>怪物武器挂载坐标辅助表!$M$3</f>
        <v>300</v>
      </c>
      <c r="AT14" s="43">
        <f>怪物武器挂载坐标辅助表!$M$4</f>
        <v>1400</v>
      </c>
      <c r="AU14" s="43">
        <f>怪物武器挂载坐标辅助表!$M$5</f>
        <v>500</v>
      </c>
    </row>
    <row r="15" spans="1:47">
      <c r="A15" s="31">
        <v>205</v>
      </c>
      <c r="B15" s="31" t="s">
        <v>85</v>
      </c>
      <c r="C15" s="31">
        <v>1</v>
      </c>
      <c r="D15" s="31" t="str" cm="1">
        <f t="array" ref="D15">_xlfn.IFS(C15&lt;3,CONCATENATE("monster_weapon_",A15,"_name"),C15=3,CONCATENATE("player_weapon_",A15,"_name"))</f>
        <v>monster_weapon_205_name</v>
      </c>
      <c r="E15" s="31" t="str" cm="1">
        <f t="array" ref="E15">_xlfn.IFS(C15&lt;3,CONCATENATE("pic_monster_weapon_",A15),C15=3,CONCATENATE("pic_player_weapon_",A15,"_name"))</f>
        <v>pic_monster_weapon_205</v>
      </c>
      <c r="F15" s="31" t="str" cm="1">
        <f t="array" ref="F15">_xlfn.IFS(C15&lt;3,CONCATENATE("monster_weapon_",A15,"_desc"),C15=3,CONCATENATE("player_weapon_",A15,"_desc"))</f>
        <v>monster_weapon_205_desc</v>
      </c>
      <c r="G15" s="31">
        <v>1</v>
      </c>
      <c r="H15" s="31" cm="1">
        <f t="array" ref="H15">_xlfn.IFS(G15=1,40,G15=2,60,G15=3,100)</f>
        <v>40</v>
      </c>
      <c r="I15" s="31" t="str" cm="1">
        <f t="array" ref="I15">_xlfn.IFS(C15&lt;3,CONCATENATE("model_monster_weapon_",A15),C15=3,CONCATENATE("model_player_weapon_",A15,"_name"))</f>
        <v>model_monster_weapon_205</v>
      </c>
      <c r="J15" s="31">
        <f t="shared" si="0"/>
        <v>2</v>
      </c>
      <c r="K15" s="31">
        <v>2</v>
      </c>
      <c r="L15" s="31">
        <f>_xlfn.XLOOKUP(_xlfn.XLOOKUP(A15,[2]怪物武器!$B:$B,[2]怪物武器!$J:$J),[2]怪物武器!$AA:$AA,[2]怪物武器!$AB:$AB)*_xlfn.XLOOKUP(J15,[2]怪物武器!$T:$T,[2]怪物武器!$U:$U)</f>
        <v>8000</v>
      </c>
      <c r="M15" s="31">
        <f>_xlfn.XLOOKUP(_xlfn.XLOOKUP(A15,[2]怪物武器!$B:$B,[2]怪物武器!$K:$K),[2]怪物武器!$AC:$AC,[2]怪物武器!$AD:$AD)*_xlfn.XLOOKUP(J15,[2]怪物武器!$T:$T,[2]怪物武器!$V:$V)</f>
        <v>1000</v>
      </c>
      <c r="N15" s="31">
        <f>_xlfn.XLOOKUP(_xlfn.XLOOKUP(A15,[2]怪物武器!$B:$B,[2]怪物武器!$L:$L),[2]怪物武器!$AE:$AE,[2]怪物武器!$AF:$AF)*_xlfn.XLOOKUP(J15,[2]怪物武器!$T:$T,[2]怪物武器!$W:$W)</f>
        <v>6000</v>
      </c>
      <c r="O15" s="31">
        <f>_xlfn.XLOOKUP(_xlfn.XLOOKUP(A15,[2]怪物武器!$B:$B,[2]怪物武器!$P:$P),[2]怪物武器!$AG:$AG,[2]怪物武器!$AH:$AH)*_xlfn.XLOOKUP(J15,[2]怪物武器!$T:$T,[2]怪物武器!$X:$X)</f>
        <v>14400</v>
      </c>
      <c r="P15" s="31" t="s">
        <v>74</v>
      </c>
      <c r="Q15" s="31">
        <v>360</v>
      </c>
      <c r="R15" s="36">
        <f>IF(J15&lt;4,_xlfn.XLOOKUP(_xlfn.XLOOKUP(A15,[2]怪物武器!$B:$B,[2]怪物武器!$N:$N),[2]怪物武器!$AI:$AI,[2]怪物武器!$AJ:$AJ),_xlfn.XLOOKUP(_xlfn.XLOOKUP(A15,[2]怪物武器!$B:$B,[2]怪物武器!$N:$N),[2]怪物武器!$AK:$AK,[2]怪物武器!$AL:$AL))*_xlfn.XLOOKUP(J15,[2]怪物武器!$T:$T,[2]怪物武器!$Y:$Y)</f>
        <v>10220</v>
      </c>
      <c r="S15" s="31">
        <f t="shared" si="4"/>
        <v>5000</v>
      </c>
      <c r="U15" s="31">
        <f t="shared" si="1"/>
        <v>1180</v>
      </c>
      <c r="AB15" s="31" t="str">
        <f t="shared" si="2"/>
        <v>400;160;60;15;-40;250;300;160;400</v>
      </c>
      <c r="AC15" s="31" t="str">
        <f t="shared" si="3"/>
        <v>-119;-66;360;-150;600;120;300;1400;500</v>
      </c>
      <c r="AD15" s="39">
        <v>400</v>
      </c>
      <c r="AE15" s="39">
        <v>160</v>
      </c>
      <c r="AF15" s="39">
        <v>60</v>
      </c>
      <c r="AG15" s="39">
        <v>15</v>
      </c>
      <c r="AH15" s="39">
        <v>-40</v>
      </c>
      <c r="AI15" s="39">
        <v>250</v>
      </c>
      <c r="AJ15" s="39">
        <v>300</v>
      </c>
      <c r="AK15" s="39">
        <v>160</v>
      </c>
      <c r="AL15" s="39">
        <v>400</v>
      </c>
      <c r="AM15" s="43">
        <f>_xlfn.XLOOKUP(A15,怪物武器挂载坐标辅助表!$A:$A,怪物武器挂载坐标辅助表!G:G)</f>
        <v>-119</v>
      </c>
      <c r="AN15" s="43">
        <f>_xlfn.XLOOKUP(A15,怪物武器挂载坐标辅助表!$A:$A,怪物武器挂载坐标辅助表!H:H)</f>
        <v>-66</v>
      </c>
      <c r="AO15" s="43">
        <f>_xlfn.XLOOKUP(A15,怪物武器挂载坐标辅助表!$A:$A,怪物武器挂载坐标辅助表!I:I)</f>
        <v>360</v>
      </c>
      <c r="AP15" s="43">
        <f>_xlfn.XLOOKUP(A15,怪物武器挂载坐标辅助表!$A:$A,怪物武器挂载坐标辅助表!J:J)</f>
        <v>-150</v>
      </c>
      <c r="AQ15" s="43">
        <f>怪物武器挂载坐标辅助表!$M$2</f>
        <v>600</v>
      </c>
      <c r="AR15" s="43">
        <f>_xlfn.XLOOKUP(A15,怪物武器挂载坐标辅助表!$A:$A,怪物武器挂载坐标辅助表!K:K)</f>
        <v>120</v>
      </c>
      <c r="AS15" s="43">
        <f>怪物武器挂载坐标辅助表!$M$3</f>
        <v>300</v>
      </c>
      <c r="AT15" s="43">
        <f>怪物武器挂载坐标辅助表!$M$4</f>
        <v>1400</v>
      </c>
      <c r="AU15" s="43">
        <f>怪物武器挂载坐标辅助表!$M$5</f>
        <v>500</v>
      </c>
    </row>
    <row r="16" spans="1:47">
      <c r="A16" s="31">
        <v>206</v>
      </c>
      <c r="B16" s="31" t="s">
        <v>86</v>
      </c>
      <c r="C16" s="31">
        <v>1</v>
      </c>
      <c r="D16" s="31" t="str" cm="1">
        <f t="array" ref="D16">_xlfn.IFS(C16&lt;3,CONCATENATE("monster_weapon_",A16,"_name"),C16=3,CONCATENATE("player_weapon_",A16,"_name"))</f>
        <v>monster_weapon_206_name</v>
      </c>
      <c r="E16" s="31" t="str" cm="1">
        <f t="array" ref="E16">_xlfn.IFS(C16&lt;3,CONCATENATE("pic_monster_weapon_",A16),C16=3,CONCATENATE("pic_player_weapon_",A16,"_name"))</f>
        <v>pic_monster_weapon_206</v>
      </c>
      <c r="F16" s="31" t="str" cm="1">
        <f t="array" ref="F16">_xlfn.IFS(C16&lt;3,CONCATENATE("monster_weapon_",A16,"_desc"),C16=3,CONCATENATE("player_weapon_",A16,"_desc"))</f>
        <v>monster_weapon_206_desc</v>
      </c>
      <c r="G16" s="31">
        <v>1</v>
      </c>
      <c r="H16" s="31" cm="1">
        <f t="array" ref="H16">_xlfn.IFS(G16=1,40,G16=2,60,G16=3,100)</f>
        <v>40</v>
      </c>
      <c r="I16" s="31" t="str" cm="1">
        <f t="array" ref="I16">_xlfn.IFS(C16&lt;3,CONCATENATE("model_monster_weapon_",A16),C16=3,CONCATENATE("model_player_weapon_",A16,"_name"))</f>
        <v>model_monster_weapon_206</v>
      </c>
      <c r="J16" s="31">
        <f t="shared" si="0"/>
        <v>2</v>
      </c>
      <c r="K16" s="31">
        <v>2</v>
      </c>
      <c r="L16" s="31">
        <f>_xlfn.XLOOKUP(_xlfn.XLOOKUP(A16,[2]怪物武器!$B:$B,[2]怪物武器!$J:$J),[2]怪物武器!$AA:$AA,[2]怪物武器!$AB:$AB)*_xlfn.XLOOKUP(J16,[2]怪物武器!$T:$T,[2]怪物武器!$U:$U)</f>
        <v>10000</v>
      </c>
      <c r="M16" s="31">
        <f>_xlfn.XLOOKUP(_xlfn.XLOOKUP(A16,[2]怪物武器!$B:$B,[2]怪物武器!$K:$K),[2]怪物武器!$AC:$AC,[2]怪物武器!$AD:$AD)*_xlfn.XLOOKUP(J16,[2]怪物武器!$T:$T,[2]怪物武器!$V:$V)</f>
        <v>5000</v>
      </c>
      <c r="N16" s="31">
        <f>_xlfn.XLOOKUP(_xlfn.XLOOKUP(A16,[2]怪物武器!$B:$B,[2]怪物武器!$L:$L),[2]怪物武器!$AE:$AE,[2]怪物武器!$AF:$AF)*_xlfn.XLOOKUP(J16,[2]怪物武器!$T:$T,[2]怪物武器!$W:$W)</f>
        <v>9000</v>
      </c>
      <c r="O16" s="31">
        <f>_xlfn.XLOOKUP(_xlfn.XLOOKUP(A16,[2]怪物武器!$B:$B,[2]怪物武器!$P:$P),[2]怪物武器!$AG:$AG,[2]怪物武器!$AH:$AH)*_xlfn.XLOOKUP(J16,[2]怪物武器!$T:$T,[2]怪物武器!$X:$X)</f>
        <v>9600</v>
      </c>
      <c r="P16" s="31" t="s">
        <v>77</v>
      </c>
      <c r="Q16" s="31">
        <v>360</v>
      </c>
      <c r="R16" s="36">
        <f>IF(J16&lt;4,_xlfn.XLOOKUP(_xlfn.XLOOKUP(A16,[2]怪物武器!$B:$B,[2]怪物武器!$N:$N),[2]怪物武器!$AI:$AI,[2]怪物武器!$AJ:$AJ),_xlfn.XLOOKUP(_xlfn.XLOOKUP(A16,[2]怪物武器!$B:$B,[2]怪物武器!$N:$N),[2]怪物武器!$AK:$AK,[2]怪物武器!$AL:$AL))*_xlfn.XLOOKUP(J16,[2]怪物武器!$T:$T,[2]怪物武器!$Y:$Y)</f>
        <v>12410</v>
      </c>
      <c r="S16" s="31">
        <f t="shared" si="4"/>
        <v>5000</v>
      </c>
      <c r="U16" s="31">
        <f t="shared" si="1"/>
        <v>1500</v>
      </c>
      <c r="AB16" s="31" t="str">
        <f t="shared" si="2"/>
        <v>500;200;100;40;-120;-350;-500;200;500</v>
      </c>
      <c r="AC16" s="31" t="str">
        <f t="shared" si="3"/>
        <v>0;0;500;0;600;110;300;1400;500</v>
      </c>
      <c r="AD16" s="39">
        <v>500</v>
      </c>
      <c r="AE16" s="39">
        <v>200</v>
      </c>
      <c r="AF16" s="39">
        <v>100</v>
      </c>
      <c r="AG16" s="39">
        <v>40</v>
      </c>
      <c r="AH16" s="39">
        <v>-120</v>
      </c>
      <c r="AI16" s="39">
        <v>-350</v>
      </c>
      <c r="AJ16" s="39">
        <v>-500</v>
      </c>
      <c r="AK16" s="39">
        <v>200</v>
      </c>
      <c r="AL16" s="39">
        <v>500</v>
      </c>
      <c r="AM16" s="43">
        <f>_xlfn.XLOOKUP(A16,怪物武器挂载坐标辅助表!$A:$A,怪物武器挂载坐标辅助表!G:G)</f>
        <v>0</v>
      </c>
      <c r="AN16" s="43">
        <f>_xlfn.XLOOKUP(A16,怪物武器挂载坐标辅助表!$A:$A,怪物武器挂载坐标辅助表!H:H)</f>
        <v>0</v>
      </c>
      <c r="AO16" s="43">
        <f>_xlfn.XLOOKUP(A16,怪物武器挂载坐标辅助表!$A:$A,怪物武器挂载坐标辅助表!I:I)</f>
        <v>500</v>
      </c>
      <c r="AP16" s="43">
        <f>_xlfn.XLOOKUP(A16,怪物武器挂载坐标辅助表!$A:$A,怪物武器挂载坐标辅助表!J:J)</f>
        <v>0</v>
      </c>
      <c r="AQ16" s="43">
        <f>怪物武器挂载坐标辅助表!$M$2</f>
        <v>600</v>
      </c>
      <c r="AR16" s="43">
        <f>_xlfn.XLOOKUP(A16,怪物武器挂载坐标辅助表!$A:$A,怪物武器挂载坐标辅助表!K:K)</f>
        <v>110</v>
      </c>
      <c r="AS16" s="43">
        <f>怪物武器挂载坐标辅助表!$M$3</f>
        <v>300</v>
      </c>
      <c r="AT16" s="43">
        <f>怪物武器挂载坐标辅助表!$M$4</f>
        <v>1400</v>
      </c>
      <c r="AU16" s="43">
        <f>怪物武器挂载坐标辅助表!$M$5</f>
        <v>500</v>
      </c>
    </row>
    <row r="17" ht="14" customHeight="1" spans="1:47">
      <c r="A17" s="31">
        <v>207</v>
      </c>
      <c r="B17" s="31" t="s">
        <v>87</v>
      </c>
      <c r="C17" s="31">
        <v>1</v>
      </c>
      <c r="D17" s="31" t="str" cm="1">
        <f t="array" ref="D17">_xlfn.IFS(C17&lt;3,CONCATENATE("monster_weapon_",A17,"_name"),C17=3,CONCATENATE("player_weapon_",A17,"_name"))</f>
        <v>monster_weapon_207_name</v>
      </c>
      <c r="E17" s="31" t="str" cm="1">
        <f t="array" ref="E17">_xlfn.IFS(C17&lt;3,CONCATENATE("pic_monster_weapon_",A17),C17=3,CONCATENATE("pic_player_weapon_",A17,"_name"))</f>
        <v>pic_monster_weapon_207</v>
      </c>
      <c r="F17" s="31" t="str" cm="1">
        <f t="array" ref="F17">_xlfn.IFS(C17&lt;3,CONCATENATE("monster_weapon_",A17,"_desc"),C17=3,CONCATENATE("player_weapon_",A17,"_desc"))</f>
        <v>monster_weapon_207_desc</v>
      </c>
      <c r="G17" s="31">
        <v>1</v>
      </c>
      <c r="H17" s="31" cm="1">
        <f t="array" ref="H17">_xlfn.IFS(G17=1,40,G17=2,60,G17=3,100)</f>
        <v>40</v>
      </c>
      <c r="I17" s="31" t="str" cm="1">
        <f t="array" ref="I17">_xlfn.IFS(C17&lt;3,CONCATENATE("model_monster_weapon_",A17),C17=3,CONCATENATE("model_player_weapon_",A17,"_name"))</f>
        <v>model_monster_weapon_207</v>
      </c>
      <c r="J17" s="31">
        <f t="shared" si="0"/>
        <v>2</v>
      </c>
      <c r="K17" s="31">
        <v>2</v>
      </c>
      <c r="L17" s="31">
        <f>_xlfn.XLOOKUP(_xlfn.XLOOKUP(A17,[2]怪物武器!$B:$B,[2]怪物武器!$J:$J),[2]怪物武器!$AA:$AA,[2]怪物武器!$AB:$AB)*_xlfn.XLOOKUP(J17,[2]怪物武器!$T:$T,[2]怪物武器!$U:$U)</f>
        <v>8000</v>
      </c>
      <c r="M17" s="31">
        <f>_xlfn.XLOOKUP(_xlfn.XLOOKUP(A17,[2]怪物武器!$B:$B,[2]怪物武器!$K:$K),[2]怪物武器!$AC:$AC,[2]怪物武器!$AD:$AD)*_xlfn.XLOOKUP(J17,[2]怪物武器!$T:$T,[2]怪物武器!$V:$V)</f>
        <v>3000</v>
      </c>
      <c r="N17" s="31">
        <f>_xlfn.XLOOKUP(_xlfn.XLOOKUP(A17,[2]怪物武器!$B:$B,[2]怪物武器!$L:$L),[2]怪物武器!$AE:$AE,[2]怪物武器!$AF:$AF)*_xlfn.XLOOKUP(J17,[2]怪物武器!$T:$T,[2]怪物武器!$W:$W)</f>
        <v>7500</v>
      </c>
      <c r="O17" s="31">
        <f>_xlfn.XLOOKUP(_xlfn.XLOOKUP(A17,[2]怪物武器!$B:$B,[2]怪物武器!$P:$P),[2]怪物武器!$AG:$AG,[2]怪物武器!$AH:$AH)*_xlfn.XLOOKUP(J17,[2]怪物武器!$T:$T,[2]怪物武器!$X:$X)</f>
        <v>12000</v>
      </c>
      <c r="P17" s="31" t="s">
        <v>74</v>
      </c>
      <c r="Q17" s="31">
        <v>360</v>
      </c>
      <c r="R17" s="36">
        <f>IF(J17&lt;4,_xlfn.XLOOKUP(_xlfn.XLOOKUP(A17,[2]怪物武器!$B:$B,[2]怪物武器!$N:$N),[2]怪物武器!$AI:$AI,[2]怪物武器!$AJ:$AJ),_xlfn.XLOOKUP(_xlfn.XLOOKUP(A17,[2]怪物武器!$B:$B,[2]怪物武器!$N:$N),[2]怪物武器!$AK:$AK,[2]怪物武器!$AL:$AL))*_xlfn.XLOOKUP(J17,[2]怪物武器!$T:$T,[2]怪物武器!$Y:$Y)</f>
        <v>8030</v>
      </c>
      <c r="S17" s="31">
        <f t="shared" si="4"/>
        <v>5000</v>
      </c>
      <c r="U17" s="31">
        <f t="shared" si="1"/>
        <v>1180</v>
      </c>
      <c r="AB17" s="31" t="str">
        <f t="shared" si="2"/>
        <v>400;160;60;30;-45;250;300;160;400</v>
      </c>
      <c r="AC17" s="31" t="str">
        <f t="shared" si="3"/>
        <v>12;-20;570;-140;600;120;300;1400;500</v>
      </c>
      <c r="AD17" s="39">
        <v>400</v>
      </c>
      <c r="AE17" s="39">
        <v>160</v>
      </c>
      <c r="AF17" s="39">
        <v>60</v>
      </c>
      <c r="AG17" s="39">
        <v>30</v>
      </c>
      <c r="AH17" s="39">
        <v>-45</v>
      </c>
      <c r="AI17" s="39">
        <v>250</v>
      </c>
      <c r="AJ17" s="39">
        <v>300</v>
      </c>
      <c r="AK17" s="39">
        <v>160</v>
      </c>
      <c r="AL17" s="39">
        <v>400</v>
      </c>
      <c r="AM17" s="43">
        <f>_xlfn.XLOOKUP(A17,怪物武器挂载坐标辅助表!$A:$A,怪物武器挂载坐标辅助表!G:G)</f>
        <v>12</v>
      </c>
      <c r="AN17" s="43">
        <f>_xlfn.XLOOKUP(A17,怪物武器挂载坐标辅助表!$A:$A,怪物武器挂载坐标辅助表!H:H)</f>
        <v>-20</v>
      </c>
      <c r="AO17" s="43">
        <f>_xlfn.XLOOKUP(A17,怪物武器挂载坐标辅助表!$A:$A,怪物武器挂载坐标辅助表!I:I)</f>
        <v>570</v>
      </c>
      <c r="AP17" s="43">
        <f>_xlfn.XLOOKUP(A17,怪物武器挂载坐标辅助表!$A:$A,怪物武器挂载坐标辅助表!J:J)</f>
        <v>-140</v>
      </c>
      <c r="AQ17" s="43">
        <f>怪物武器挂载坐标辅助表!$M$2</f>
        <v>600</v>
      </c>
      <c r="AR17" s="43">
        <f>_xlfn.XLOOKUP(A17,怪物武器挂载坐标辅助表!$A:$A,怪物武器挂载坐标辅助表!K:K)</f>
        <v>120</v>
      </c>
      <c r="AS17" s="43">
        <f>怪物武器挂载坐标辅助表!$M$3</f>
        <v>300</v>
      </c>
      <c r="AT17" s="43">
        <f>怪物武器挂载坐标辅助表!$M$4</f>
        <v>1400</v>
      </c>
      <c r="AU17" s="43">
        <f>怪物武器挂载坐标辅助表!$M$5</f>
        <v>500</v>
      </c>
    </row>
    <row r="18" spans="1:47">
      <c r="A18" s="31">
        <v>301</v>
      </c>
      <c r="B18" s="31" t="s">
        <v>88</v>
      </c>
      <c r="C18" s="31">
        <v>1</v>
      </c>
      <c r="D18" s="31" t="str" cm="1">
        <f t="array" ref="D18">_xlfn.IFS(C18&lt;3,CONCATENATE("monster_weapon_",A18,"_name"),C18=3,CONCATENATE("player_weapon_",A18,"_name"))</f>
        <v>monster_weapon_301_name</v>
      </c>
      <c r="E18" s="31" t="str" cm="1">
        <f t="array" ref="E18">_xlfn.IFS(C18&lt;3,CONCATENATE("pic_monster_weapon_",A18),C18=3,CONCATENATE("pic_player_weapon_",A18,"_name"))</f>
        <v>pic_monster_weapon_301</v>
      </c>
      <c r="F18" s="31" t="str" cm="1">
        <f t="array" ref="F18">_xlfn.IFS(C18&lt;3,CONCATENATE("monster_weapon_",A18,"_desc"),C18=3,CONCATENATE("player_weapon_",A18,"_desc"))</f>
        <v>monster_weapon_301_desc</v>
      </c>
      <c r="G18" s="31">
        <v>1</v>
      </c>
      <c r="H18" s="31" cm="1">
        <f t="array" ref="H18">_xlfn.IFS(G18=1,40,G18=2,60,G18=3,100)</f>
        <v>40</v>
      </c>
      <c r="I18" s="31" t="str" cm="1">
        <f t="array" ref="I18">_xlfn.IFS(C18&lt;3,CONCATENATE("model_monster_weapon_",A18),C18=3,CONCATENATE("model_player_weapon_",A18,"_name"))</f>
        <v>model_monster_weapon_301</v>
      </c>
      <c r="J18" s="31">
        <f t="shared" si="0"/>
        <v>3</v>
      </c>
      <c r="K18" s="31">
        <v>2</v>
      </c>
      <c r="L18" s="31">
        <f>_xlfn.XLOOKUP(_xlfn.XLOOKUP(A18,[2]怪物武器!$B:$B,[2]怪物武器!$J:$J),[2]怪物武器!$AA:$AA,[2]怪物武器!$AB:$AB)*_xlfn.XLOOKUP(J18,[2]怪物武器!$T:$T,[2]怪物武器!$U:$U)</f>
        <v>8000</v>
      </c>
      <c r="M18" s="31">
        <f>_xlfn.XLOOKUP(_xlfn.XLOOKUP(A18,[2]怪物武器!$B:$B,[2]怪物武器!$K:$K),[2]怪物武器!$AC:$AC,[2]怪物武器!$AD:$AD)*_xlfn.XLOOKUP(J18,[2]怪物武器!$T:$T,[2]怪物武器!$V:$V)</f>
        <v>2000</v>
      </c>
      <c r="N18" s="31">
        <f>_xlfn.XLOOKUP(_xlfn.XLOOKUP(A18,[2]怪物武器!$B:$B,[2]怪物武器!$L:$L),[2]怪物武器!$AE:$AE,[2]怪物武器!$AF:$AF)*_xlfn.XLOOKUP(J18,[2]怪物武器!$T:$T,[2]怪物武器!$W:$W)</f>
        <v>7500</v>
      </c>
      <c r="O18" s="31">
        <f>_xlfn.XLOOKUP(_xlfn.XLOOKUP(A18,[2]怪物武器!$B:$B,[2]怪物武器!$P:$P),[2]怪物武器!$AG:$AG,[2]怪物武器!$AH:$AH)*_xlfn.XLOOKUP(J18,[2]怪物武器!$T:$T,[2]怪物武器!$X:$X)</f>
        <v>10000</v>
      </c>
      <c r="P18" s="31" t="s">
        <v>74</v>
      </c>
      <c r="Q18" s="31">
        <v>120</v>
      </c>
      <c r="R18" s="36">
        <f>IF(J18&lt;4,_xlfn.XLOOKUP(_xlfn.XLOOKUP(A18,[2]怪物武器!$B:$B,[2]怪物武器!$N:$N),[2]怪物武器!$AI:$AI,[2]怪物武器!$AJ:$AJ),_xlfn.XLOOKUP(_xlfn.XLOOKUP(A18,[2]怪物武器!$B:$B,[2]怪物武器!$N:$N),[2]怪物武器!$AK:$AK,[2]怪物武器!$AL:$AL))*_xlfn.XLOOKUP(J18,[2]怪物武器!$T:$T,[2]怪物武器!$Y:$Y)</f>
        <v>10220</v>
      </c>
      <c r="S18" s="31">
        <f t="shared" si="4"/>
        <v>5000</v>
      </c>
      <c r="U18" s="31">
        <f t="shared" si="1"/>
        <v>1320</v>
      </c>
      <c r="AB18" s="31" t="str">
        <f t="shared" si="2"/>
        <v>450;180;60;40;-95;400;350;180;450</v>
      </c>
      <c r="AC18" s="31" t="str">
        <f t="shared" si="3"/>
        <v>-58;-133;460;-320;600;130;300;1400;500</v>
      </c>
      <c r="AD18" s="39">
        <v>450</v>
      </c>
      <c r="AE18" s="39">
        <v>180</v>
      </c>
      <c r="AF18" s="39">
        <v>60</v>
      </c>
      <c r="AG18" s="39">
        <v>40</v>
      </c>
      <c r="AH18" s="39">
        <v>-95</v>
      </c>
      <c r="AI18" s="39">
        <v>400</v>
      </c>
      <c r="AJ18" s="39">
        <v>350</v>
      </c>
      <c r="AK18" s="39">
        <v>180</v>
      </c>
      <c r="AL18" s="39">
        <v>450</v>
      </c>
      <c r="AM18" s="43">
        <f>_xlfn.XLOOKUP(A18,怪物武器挂载坐标辅助表!$A:$A,怪物武器挂载坐标辅助表!G:G)</f>
        <v>-58</v>
      </c>
      <c r="AN18" s="43">
        <f>_xlfn.XLOOKUP(A18,怪物武器挂载坐标辅助表!$A:$A,怪物武器挂载坐标辅助表!H:H)</f>
        <v>-133</v>
      </c>
      <c r="AO18" s="43">
        <f>_xlfn.XLOOKUP(A18,怪物武器挂载坐标辅助表!$A:$A,怪物武器挂载坐标辅助表!I:I)</f>
        <v>460</v>
      </c>
      <c r="AP18" s="43">
        <f>_xlfn.XLOOKUP(A18,怪物武器挂载坐标辅助表!$A:$A,怪物武器挂载坐标辅助表!J:J)</f>
        <v>-320</v>
      </c>
      <c r="AQ18" s="43">
        <f>怪物武器挂载坐标辅助表!$M$2</f>
        <v>600</v>
      </c>
      <c r="AR18" s="43">
        <f>_xlfn.XLOOKUP(A18,怪物武器挂载坐标辅助表!$A:$A,怪物武器挂载坐标辅助表!K:K)</f>
        <v>130</v>
      </c>
      <c r="AS18" s="43">
        <f>怪物武器挂载坐标辅助表!$M$3</f>
        <v>300</v>
      </c>
      <c r="AT18" s="43">
        <f>怪物武器挂载坐标辅助表!$M$4</f>
        <v>1400</v>
      </c>
      <c r="AU18" s="43">
        <f>怪物武器挂载坐标辅助表!$M$5</f>
        <v>500</v>
      </c>
    </row>
    <row r="19" spans="1:47">
      <c r="A19" s="31">
        <v>302</v>
      </c>
      <c r="B19" s="31" t="s">
        <v>89</v>
      </c>
      <c r="C19" s="31">
        <v>1</v>
      </c>
      <c r="D19" s="31" t="str" cm="1">
        <f t="array" ref="D19">_xlfn.IFS(C19&lt;3,CONCATENATE("monster_weapon_",A19,"_name"),C19=3,CONCATENATE("player_weapon_",A19,"_name"))</f>
        <v>monster_weapon_302_name</v>
      </c>
      <c r="E19" s="31" t="str" cm="1">
        <f t="array" ref="E19">_xlfn.IFS(C19&lt;3,CONCATENATE("pic_monster_weapon_",A19),C19=3,CONCATENATE("pic_player_weapon_",A19,"_name"))</f>
        <v>pic_monster_weapon_302</v>
      </c>
      <c r="F19" s="31" t="str" cm="1">
        <f t="array" ref="F19">_xlfn.IFS(C19&lt;3,CONCATENATE("monster_weapon_",A19,"_desc"),C19=3,CONCATENATE("player_weapon_",A19,"_desc"))</f>
        <v>monster_weapon_302_desc</v>
      </c>
      <c r="G19" s="31">
        <v>1</v>
      </c>
      <c r="H19" s="31" cm="1">
        <f t="array" ref="H19">_xlfn.IFS(G19=1,40,G19=2,60,G19=3,100)</f>
        <v>40</v>
      </c>
      <c r="I19" s="31" t="str" cm="1">
        <f t="array" ref="I19">_xlfn.IFS(C19&lt;3,CONCATENATE("model_monster_weapon_",A19),C19=3,CONCATENATE("model_player_weapon_",A19,"_name"))</f>
        <v>model_monster_weapon_302</v>
      </c>
      <c r="J19" s="31">
        <f t="shared" si="0"/>
        <v>3</v>
      </c>
      <c r="K19" s="31">
        <v>2</v>
      </c>
      <c r="L19" s="31">
        <f>_xlfn.XLOOKUP(_xlfn.XLOOKUP(A19,[2]怪物武器!$B:$B,[2]怪物武器!$J:$J),[2]怪物武器!$AA:$AA,[2]怪物武器!$AB:$AB)*_xlfn.XLOOKUP(J19,[2]怪物武器!$T:$T,[2]怪物武器!$U:$U)</f>
        <v>10000</v>
      </c>
      <c r="M19" s="31">
        <f>_xlfn.XLOOKUP(_xlfn.XLOOKUP(A19,[2]怪物武器!$B:$B,[2]怪物武器!$K:$K),[2]怪物武器!$AC:$AC,[2]怪物武器!$AD:$AD)*_xlfn.XLOOKUP(J19,[2]怪物武器!$T:$T,[2]怪物武器!$V:$V)</f>
        <v>4000</v>
      </c>
      <c r="N19" s="31">
        <f>_xlfn.XLOOKUP(_xlfn.XLOOKUP(A19,[2]怪物武器!$B:$B,[2]怪物武器!$L:$L),[2]怪物武器!$AE:$AE,[2]怪物武器!$AF:$AF)*_xlfn.XLOOKUP(J19,[2]怪物武器!$T:$T,[2]怪物武器!$W:$W)</f>
        <v>6000</v>
      </c>
      <c r="O19" s="31">
        <f>_xlfn.XLOOKUP(_xlfn.XLOOKUP(A19,[2]怪物武器!$B:$B,[2]怪物武器!$P:$P),[2]怪物武器!$AG:$AG,[2]怪物武器!$AH:$AH)*_xlfn.XLOOKUP(J19,[2]怪物武器!$T:$T,[2]怪物武器!$X:$X)</f>
        <v>10000</v>
      </c>
      <c r="P19" s="31" t="s">
        <v>74</v>
      </c>
      <c r="Q19" s="31">
        <v>120</v>
      </c>
      <c r="R19" s="36">
        <f>IF(J19&lt;4,_xlfn.XLOOKUP(_xlfn.XLOOKUP(A19,[2]怪物武器!$B:$B,[2]怪物武器!$N:$N),[2]怪物武器!$AI:$AI,[2]怪物武器!$AJ:$AJ),_xlfn.XLOOKUP(_xlfn.XLOOKUP(A19,[2]怪物武器!$B:$B,[2]怪物武器!$N:$N),[2]怪物武器!$AK:$AK,[2]怪物武器!$AL:$AL))*_xlfn.XLOOKUP(J19,[2]怪物武器!$T:$T,[2]怪物武器!$Y:$Y)</f>
        <v>10220</v>
      </c>
      <c r="S19" s="31">
        <f t="shared" si="4"/>
        <v>5000</v>
      </c>
      <c r="U19" s="31">
        <f t="shared" si="1"/>
        <v>1460</v>
      </c>
      <c r="AB19" s="31" t="str">
        <f t="shared" si="2"/>
        <v>500;200;60;30;-60;400;350;200;500</v>
      </c>
      <c r="AC19" s="31" t="str">
        <f t="shared" si="3"/>
        <v>-24;-55;490;-220;600;120;300;1400;500</v>
      </c>
      <c r="AD19" s="39">
        <v>500</v>
      </c>
      <c r="AE19" s="39">
        <v>200</v>
      </c>
      <c r="AF19" s="39">
        <v>60</v>
      </c>
      <c r="AG19" s="39">
        <v>30</v>
      </c>
      <c r="AH19" s="39">
        <v>-60</v>
      </c>
      <c r="AI19" s="39">
        <v>400</v>
      </c>
      <c r="AJ19" s="39">
        <v>350</v>
      </c>
      <c r="AK19" s="39">
        <v>200</v>
      </c>
      <c r="AL19" s="39">
        <v>500</v>
      </c>
      <c r="AM19" s="43">
        <f>_xlfn.XLOOKUP(A19,怪物武器挂载坐标辅助表!$A:$A,怪物武器挂载坐标辅助表!G:G)</f>
        <v>-24</v>
      </c>
      <c r="AN19" s="43">
        <f>_xlfn.XLOOKUP(A19,怪物武器挂载坐标辅助表!$A:$A,怪物武器挂载坐标辅助表!H:H)</f>
        <v>-55</v>
      </c>
      <c r="AO19" s="43">
        <f>_xlfn.XLOOKUP(A19,怪物武器挂载坐标辅助表!$A:$A,怪物武器挂载坐标辅助表!I:I)</f>
        <v>490</v>
      </c>
      <c r="AP19" s="43">
        <f>_xlfn.XLOOKUP(A19,怪物武器挂载坐标辅助表!$A:$A,怪物武器挂载坐标辅助表!J:J)</f>
        <v>-220</v>
      </c>
      <c r="AQ19" s="43">
        <f>怪物武器挂载坐标辅助表!$M$2</f>
        <v>600</v>
      </c>
      <c r="AR19" s="43">
        <f>_xlfn.XLOOKUP(A19,怪物武器挂载坐标辅助表!$A:$A,怪物武器挂载坐标辅助表!K:K)</f>
        <v>120</v>
      </c>
      <c r="AS19" s="43">
        <f>怪物武器挂载坐标辅助表!$M$3</f>
        <v>300</v>
      </c>
      <c r="AT19" s="43">
        <f>怪物武器挂载坐标辅助表!$M$4</f>
        <v>1400</v>
      </c>
      <c r="AU19" s="43">
        <f>怪物武器挂载坐标辅助表!$M$5</f>
        <v>500</v>
      </c>
    </row>
    <row r="20" spans="1:47">
      <c r="A20" s="31">
        <v>303</v>
      </c>
      <c r="B20" s="31" t="s">
        <v>90</v>
      </c>
      <c r="C20" s="31">
        <v>1</v>
      </c>
      <c r="D20" s="31" t="str" cm="1">
        <f t="array" ref="D20">_xlfn.IFS(C20&lt;3,CONCATENATE("monster_weapon_",A20,"_name"),C20=3,CONCATENATE("player_weapon_",A20,"_name"))</f>
        <v>monster_weapon_303_name</v>
      </c>
      <c r="E20" s="31" t="str" cm="1">
        <f t="array" ref="E20">_xlfn.IFS(C20&lt;3,CONCATENATE("pic_monster_weapon_",A20),C20=3,CONCATENATE("pic_player_weapon_",A20,"_name"))</f>
        <v>pic_monster_weapon_303</v>
      </c>
      <c r="F20" s="31" t="str" cm="1">
        <f t="array" ref="F20">_xlfn.IFS(C20&lt;3,CONCATENATE("monster_weapon_",A20,"_desc"),C20=3,CONCATENATE("player_weapon_",A20,"_desc"))</f>
        <v>monster_weapon_303_desc</v>
      </c>
      <c r="G20" s="31">
        <v>2</v>
      </c>
      <c r="H20" s="31" cm="1">
        <f t="array" ref="H20">_xlfn.IFS(G20=1,40,G20=2,60,G20=3,100)</f>
        <v>60</v>
      </c>
      <c r="I20" s="31" t="str" cm="1">
        <f t="array" ref="I20">_xlfn.IFS(C20&lt;3,CONCATENATE("model_monster_weapon_",A20),C20=3,CONCATENATE("model_player_weapon_",A20,"_name"))</f>
        <v>model_monster_weapon_303</v>
      </c>
      <c r="J20" s="31">
        <f t="shared" si="0"/>
        <v>3</v>
      </c>
      <c r="K20" s="31">
        <v>2</v>
      </c>
      <c r="L20" s="31">
        <f>_xlfn.XLOOKUP(_xlfn.XLOOKUP(A20,[2]怪物武器!$B:$B,[2]怪物武器!$J:$J),[2]怪物武器!$AA:$AA,[2]怪物武器!$AB:$AB)*_xlfn.XLOOKUP(J20,[2]怪物武器!$T:$T,[2]怪物武器!$U:$U)</f>
        <v>15000</v>
      </c>
      <c r="M20" s="31">
        <f>_xlfn.XLOOKUP(_xlfn.XLOOKUP(A20,[2]怪物武器!$B:$B,[2]怪物武器!$K:$K),[2]怪物武器!$AC:$AC,[2]怪物武器!$AD:$AD)*_xlfn.XLOOKUP(J20,[2]怪物武器!$T:$T,[2]怪物武器!$V:$V)</f>
        <v>5000</v>
      </c>
      <c r="N20" s="31">
        <f>_xlfn.XLOOKUP(_xlfn.XLOOKUP(A20,[2]怪物武器!$B:$B,[2]怪物武器!$L:$L),[2]怪物武器!$AE:$AE,[2]怪物武器!$AF:$AF)*_xlfn.XLOOKUP(J20,[2]怪物武器!$T:$T,[2]怪物武器!$W:$W)</f>
        <v>9000</v>
      </c>
      <c r="O20" s="31">
        <f>_xlfn.XLOOKUP(_xlfn.XLOOKUP(A20,[2]怪物武器!$B:$B,[2]怪物武器!$P:$P),[2]怪物武器!$AG:$AG,[2]怪物武器!$AH:$AH)*_xlfn.XLOOKUP(J20,[2]怪物武器!$T:$T,[2]怪物武器!$X:$X)</f>
        <v>8000</v>
      </c>
      <c r="P20" s="31" t="s">
        <v>74</v>
      </c>
      <c r="Q20" s="31">
        <v>150</v>
      </c>
      <c r="R20" s="36">
        <f>IF(J20&lt;4,_xlfn.XLOOKUP(_xlfn.XLOOKUP(A20,[2]怪物武器!$B:$B,[2]怪物武器!$N:$N),[2]怪物武器!$AI:$AI,[2]怪物武器!$AJ:$AJ),_xlfn.XLOOKUP(_xlfn.XLOOKUP(A20,[2]怪物武器!$B:$B,[2]怪物武器!$N:$N),[2]怪物武器!$AK:$AK,[2]怪物武器!$AL:$AL))*_xlfn.XLOOKUP(J20,[2]怪物武器!$T:$T,[2]怪物武器!$Y:$Y)</f>
        <v>10220</v>
      </c>
      <c r="S20" s="31">
        <f t="shared" si="4"/>
        <v>5000</v>
      </c>
      <c r="U20" s="31">
        <f t="shared" si="1"/>
        <v>1480</v>
      </c>
      <c r="AB20" s="31" t="str">
        <f t="shared" si="2"/>
        <v>500;200;80;30;-60;400;350;200;500</v>
      </c>
      <c r="AC20" s="31" t="str">
        <f t="shared" si="3"/>
        <v>-90;-23;478;-292;600;125;300;1400;500</v>
      </c>
      <c r="AD20" s="39">
        <v>500</v>
      </c>
      <c r="AE20" s="39">
        <v>200</v>
      </c>
      <c r="AF20" s="39">
        <v>80</v>
      </c>
      <c r="AG20" s="39">
        <v>30</v>
      </c>
      <c r="AH20" s="39">
        <v>-60</v>
      </c>
      <c r="AI20" s="39">
        <v>400</v>
      </c>
      <c r="AJ20" s="39">
        <v>350</v>
      </c>
      <c r="AK20" s="39">
        <v>200</v>
      </c>
      <c r="AL20" s="39">
        <v>500</v>
      </c>
      <c r="AM20" s="43">
        <f>_xlfn.XLOOKUP(A20,怪物武器挂载坐标辅助表!$A:$A,怪物武器挂载坐标辅助表!G:G)</f>
        <v>-90</v>
      </c>
      <c r="AN20" s="43">
        <f>_xlfn.XLOOKUP(A20,怪物武器挂载坐标辅助表!$A:$A,怪物武器挂载坐标辅助表!H:H)</f>
        <v>-23</v>
      </c>
      <c r="AO20" s="43">
        <f>_xlfn.XLOOKUP(A20,怪物武器挂载坐标辅助表!$A:$A,怪物武器挂载坐标辅助表!I:I)</f>
        <v>478</v>
      </c>
      <c r="AP20" s="43">
        <f>_xlfn.XLOOKUP(A20,怪物武器挂载坐标辅助表!$A:$A,怪物武器挂载坐标辅助表!J:J)</f>
        <v>-292</v>
      </c>
      <c r="AQ20" s="43">
        <f>怪物武器挂载坐标辅助表!$M$2</f>
        <v>600</v>
      </c>
      <c r="AR20" s="43">
        <f>_xlfn.XLOOKUP(A20,怪物武器挂载坐标辅助表!$A:$A,怪物武器挂载坐标辅助表!K:K)</f>
        <v>125</v>
      </c>
      <c r="AS20" s="43">
        <f>怪物武器挂载坐标辅助表!$M$3</f>
        <v>300</v>
      </c>
      <c r="AT20" s="43">
        <f>怪物武器挂载坐标辅助表!$M$4</f>
        <v>1400</v>
      </c>
      <c r="AU20" s="43">
        <f>怪物武器挂载坐标辅助表!$M$5</f>
        <v>500</v>
      </c>
    </row>
    <row r="21" spans="1:47">
      <c r="A21" s="31">
        <v>304</v>
      </c>
      <c r="B21" s="31" t="s">
        <v>91</v>
      </c>
      <c r="C21" s="31">
        <v>1</v>
      </c>
      <c r="D21" s="31" t="str" cm="1">
        <f t="array" ref="D21">_xlfn.IFS(C21&lt;3,CONCATENATE("monster_weapon_",A21,"_name"),C21=3,CONCATENATE("player_weapon_",A21,"_name"))</f>
        <v>monster_weapon_304_name</v>
      </c>
      <c r="E21" s="31" t="str" cm="1">
        <f t="array" ref="E21">_xlfn.IFS(C21&lt;3,CONCATENATE("pic_monster_weapon_",A21),C21=3,CONCATENATE("pic_player_weapon_",A21,"_name"))</f>
        <v>pic_monster_weapon_304</v>
      </c>
      <c r="F21" s="31" t="str" cm="1">
        <f t="array" ref="F21">_xlfn.IFS(C21&lt;3,CONCATENATE("monster_weapon_",A21,"_desc"),C21=3,CONCATENATE("player_weapon_",A21,"_desc"))</f>
        <v>monster_weapon_304_desc</v>
      </c>
      <c r="G21" s="31">
        <v>1</v>
      </c>
      <c r="H21" s="31" cm="1">
        <f t="array" ref="H21">_xlfn.IFS(G21=1,40,G21=2,60,G21=3,100)</f>
        <v>40</v>
      </c>
      <c r="I21" s="31" t="str" cm="1">
        <f t="array" ref="I21">_xlfn.IFS(C21&lt;3,CONCATENATE("model_monster_weapon_",A21),C21=3,CONCATENATE("model_player_weapon_",A21,"_name"))</f>
        <v>model_monster_weapon_304</v>
      </c>
      <c r="J21" s="31">
        <f t="shared" si="0"/>
        <v>3</v>
      </c>
      <c r="K21" s="31">
        <v>2</v>
      </c>
      <c r="L21" s="31">
        <f>_xlfn.XLOOKUP(_xlfn.XLOOKUP(A21,[2]怪物武器!$B:$B,[2]怪物武器!$J:$J),[2]怪物武器!$AA:$AA,[2]怪物武器!$AB:$AB)*_xlfn.XLOOKUP(J21,[2]怪物武器!$T:$T,[2]怪物武器!$U:$U)</f>
        <v>8000</v>
      </c>
      <c r="M21" s="31">
        <f>_xlfn.XLOOKUP(_xlfn.XLOOKUP(A21,[2]怪物武器!$B:$B,[2]怪物武器!$K:$K),[2]怪物武器!$AC:$AC,[2]怪物武器!$AD:$AD)*_xlfn.XLOOKUP(J21,[2]怪物武器!$T:$T,[2]怪物武器!$V:$V)</f>
        <v>3000</v>
      </c>
      <c r="N21" s="31">
        <f>_xlfn.XLOOKUP(_xlfn.XLOOKUP(A21,[2]怪物武器!$B:$B,[2]怪物武器!$L:$L),[2]怪物武器!$AE:$AE,[2]怪物武器!$AF:$AF)*_xlfn.XLOOKUP(J21,[2]怪物武器!$T:$T,[2]怪物武器!$W:$W)</f>
        <v>7500</v>
      </c>
      <c r="O21" s="31">
        <f>_xlfn.XLOOKUP(_xlfn.XLOOKUP(A21,[2]怪物武器!$B:$B,[2]怪物武器!$P:$P),[2]怪物武器!$AG:$AG,[2]怪物武器!$AH:$AH)*_xlfn.XLOOKUP(J21,[2]怪物武器!$T:$T,[2]怪物武器!$X:$X)</f>
        <v>10000</v>
      </c>
      <c r="P21" s="31" t="s">
        <v>77</v>
      </c>
      <c r="Q21" s="31">
        <v>120</v>
      </c>
      <c r="R21" s="36">
        <f>IF(J21&lt;4,_xlfn.XLOOKUP(_xlfn.XLOOKUP(A21,[2]怪物武器!$B:$B,[2]怪物武器!$N:$N),[2]怪物武器!$AI:$AI,[2]怪物武器!$AJ:$AJ),_xlfn.XLOOKUP(_xlfn.XLOOKUP(A21,[2]怪物武器!$B:$B,[2]怪物武器!$N:$N),[2]怪物武器!$AK:$AK,[2]怪物武器!$AL:$AL))*_xlfn.XLOOKUP(J21,[2]怪物武器!$T:$T,[2]怪物武器!$Y:$Y)</f>
        <v>12410</v>
      </c>
      <c r="S21" s="31">
        <f t="shared" si="4"/>
        <v>5000</v>
      </c>
      <c r="U21" s="31">
        <f t="shared" si="1"/>
        <v>1340</v>
      </c>
      <c r="AB21" s="31" t="str">
        <f t="shared" si="2"/>
        <v>450;180;80;30;-75;400;400;180;450</v>
      </c>
      <c r="AC21" s="31" t="str">
        <f t="shared" si="3"/>
        <v>116;-65;610;-225;600;130;300;1400;500</v>
      </c>
      <c r="AD21" s="39">
        <v>450</v>
      </c>
      <c r="AE21" s="39">
        <v>180</v>
      </c>
      <c r="AF21" s="39">
        <v>80</v>
      </c>
      <c r="AG21" s="39">
        <v>30</v>
      </c>
      <c r="AH21" s="39">
        <v>-75</v>
      </c>
      <c r="AI21" s="39">
        <v>400</v>
      </c>
      <c r="AJ21" s="39">
        <v>400</v>
      </c>
      <c r="AK21" s="39">
        <v>180</v>
      </c>
      <c r="AL21" s="39">
        <v>450</v>
      </c>
      <c r="AM21" s="43">
        <f>_xlfn.XLOOKUP(A21,怪物武器挂载坐标辅助表!$A:$A,怪物武器挂载坐标辅助表!G:G)</f>
        <v>116</v>
      </c>
      <c r="AN21" s="43">
        <f>_xlfn.XLOOKUP(A21,怪物武器挂载坐标辅助表!$A:$A,怪物武器挂载坐标辅助表!H:H)</f>
        <v>-65</v>
      </c>
      <c r="AO21" s="43">
        <f>_xlfn.XLOOKUP(A21,怪物武器挂载坐标辅助表!$A:$A,怪物武器挂载坐标辅助表!I:I)</f>
        <v>610</v>
      </c>
      <c r="AP21" s="43">
        <f>_xlfn.XLOOKUP(A21,怪物武器挂载坐标辅助表!$A:$A,怪物武器挂载坐标辅助表!J:J)</f>
        <v>-225</v>
      </c>
      <c r="AQ21" s="43">
        <f>怪物武器挂载坐标辅助表!$M$2</f>
        <v>600</v>
      </c>
      <c r="AR21" s="43">
        <f>_xlfn.XLOOKUP(A21,怪物武器挂载坐标辅助表!$A:$A,怪物武器挂载坐标辅助表!K:K)</f>
        <v>130</v>
      </c>
      <c r="AS21" s="43">
        <f>怪物武器挂载坐标辅助表!$M$3</f>
        <v>300</v>
      </c>
      <c r="AT21" s="43">
        <f>怪物武器挂载坐标辅助表!$M$4</f>
        <v>1400</v>
      </c>
      <c r="AU21" s="43">
        <f>怪物武器挂载坐标辅助表!$M$5</f>
        <v>500</v>
      </c>
    </row>
    <row r="22" spans="1:47">
      <c r="A22" s="31">
        <v>305</v>
      </c>
      <c r="B22" s="31" t="s">
        <v>92</v>
      </c>
      <c r="C22" s="31">
        <v>1</v>
      </c>
      <c r="D22" s="31" t="str" cm="1">
        <f t="array" ref="D22">_xlfn.IFS(C22&lt;3,CONCATENATE("monster_weapon_",A22,"_name"),C22=3,CONCATENATE("player_weapon_",A22,"_name"))</f>
        <v>monster_weapon_305_name</v>
      </c>
      <c r="E22" s="31" t="str" cm="1">
        <f t="array" ref="E22">_xlfn.IFS(C22&lt;3,CONCATENATE("pic_monster_weapon_",A22),C22=3,CONCATENATE("pic_player_weapon_",A22,"_name"))</f>
        <v>pic_monster_weapon_305</v>
      </c>
      <c r="F22" s="31" t="str" cm="1">
        <f t="array" ref="F22">_xlfn.IFS(C22&lt;3,CONCATENATE("monster_weapon_",A22,"_desc"),C22=3,CONCATENATE("player_weapon_",A22,"_desc"))</f>
        <v>monster_weapon_305_desc</v>
      </c>
      <c r="G22" s="31">
        <v>1</v>
      </c>
      <c r="H22" s="31" cm="1">
        <f t="array" ref="H22">_xlfn.IFS(G22=1,40,G22=2,60,G22=3,100)</f>
        <v>40</v>
      </c>
      <c r="I22" s="31" t="str" cm="1">
        <f t="array" ref="I22">_xlfn.IFS(C22&lt;3,CONCATENATE("model_monster_weapon_",A22),C22=3,CONCATENATE("model_player_weapon_",A22,"_name"))</f>
        <v>model_monster_weapon_305</v>
      </c>
      <c r="J22" s="31">
        <v>3</v>
      </c>
      <c r="K22" s="31">
        <v>2</v>
      </c>
      <c r="L22" s="31">
        <f>_xlfn.XLOOKUP(_xlfn.XLOOKUP(A22,[2]怪物武器!$B:$B,[2]怪物武器!$J:$J),[2]怪物武器!$AA:$AA,[2]怪物武器!$AB:$AB)*_xlfn.XLOOKUP(J22,[2]怪物武器!$T:$T,[2]怪物武器!$U:$U)</f>
        <v>10000</v>
      </c>
      <c r="M22" s="31">
        <f>_xlfn.XLOOKUP(_xlfn.XLOOKUP(A22,[2]怪物武器!$B:$B,[2]怪物武器!$K:$K),[2]怪物武器!$AC:$AC,[2]怪物武器!$AD:$AD)*_xlfn.XLOOKUP(J22,[2]怪物武器!$T:$T,[2]怪物武器!$V:$V)</f>
        <v>2000</v>
      </c>
      <c r="N22" s="31">
        <f>_xlfn.XLOOKUP(_xlfn.XLOOKUP(A22,[2]怪物武器!$B:$B,[2]怪物武器!$L:$L),[2]怪物武器!$AE:$AE,[2]怪物武器!$AF:$AF)*_xlfn.XLOOKUP(J22,[2]怪物武器!$T:$T,[2]怪物武器!$W:$W)</f>
        <v>7500</v>
      </c>
      <c r="O22" s="31">
        <f>_xlfn.XLOOKUP(_xlfn.XLOOKUP(A22,[2]怪物武器!$B:$B,[2]怪物武器!$P:$P),[2]怪物武器!$AG:$AG,[2]怪物武器!$AH:$AH)*_xlfn.XLOOKUP(J22,[2]怪物武器!$T:$T,[2]怪物武器!$X:$X)</f>
        <v>6000</v>
      </c>
      <c r="P22" s="31" t="s">
        <v>74</v>
      </c>
      <c r="Q22" s="31">
        <v>120</v>
      </c>
      <c r="R22" s="36">
        <f>IF(J22&lt;4,_xlfn.XLOOKUP(_xlfn.XLOOKUP(A22,[2]怪物武器!$B:$B,[2]怪物武器!$N:$N),[2]怪物武器!$AI:$AI,[2]怪物武器!$AJ:$AJ),_xlfn.XLOOKUP(_xlfn.XLOOKUP(A22,[2]怪物武器!$B:$B,[2]怪物武器!$N:$N),[2]怪物武器!$AK:$AK,[2]怪物武器!$AL:$AL))*_xlfn.XLOOKUP(J22,[2]怪物武器!$T:$T,[2]怪物武器!$Y:$Y)</f>
        <v>8030</v>
      </c>
      <c r="S22" s="31">
        <f t="shared" si="4"/>
        <v>5000</v>
      </c>
      <c r="U22" s="31">
        <f t="shared" si="1"/>
        <v>1480</v>
      </c>
      <c r="AB22" s="31" t="str">
        <f t="shared" si="2"/>
        <v>500;200;80;30;-55;400;500;200;500</v>
      </c>
      <c r="AC22" s="31" t="str">
        <f t="shared" si="3"/>
        <v>25;-100;425;-200;600;150;300;1400;500</v>
      </c>
      <c r="AD22" s="39">
        <v>500</v>
      </c>
      <c r="AE22" s="39">
        <v>200</v>
      </c>
      <c r="AF22" s="39">
        <v>80</v>
      </c>
      <c r="AG22" s="39">
        <v>30</v>
      </c>
      <c r="AH22" s="39">
        <v>-55</v>
      </c>
      <c r="AI22" s="39">
        <v>400</v>
      </c>
      <c r="AJ22" s="39">
        <v>500</v>
      </c>
      <c r="AK22" s="39">
        <v>200</v>
      </c>
      <c r="AL22" s="39">
        <v>500</v>
      </c>
      <c r="AM22" s="43">
        <f>_xlfn.XLOOKUP(A22,怪物武器挂载坐标辅助表!$A:$A,怪物武器挂载坐标辅助表!G:G)</f>
        <v>25</v>
      </c>
      <c r="AN22" s="43">
        <f>_xlfn.XLOOKUP(A22,怪物武器挂载坐标辅助表!$A:$A,怪物武器挂载坐标辅助表!H:H)</f>
        <v>-100</v>
      </c>
      <c r="AO22" s="43">
        <f>_xlfn.XLOOKUP(A22,怪物武器挂载坐标辅助表!$A:$A,怪物武器挂载坐标辅助表!I:I)</f>
        <v>425</v>
      </c>
      <c r="AP22" s="43">
        <f>_xlfn.XLOOKUP(A22,怪物武器挂载坐标辅助表!$A:$A,怪物武器挂载坐标辅助表!J:J)</f>
        <v>-200</v>
      </c>
      <c r="AQ22" s="43">
        <f>怪物武器挂载坐标辅助表!$M$2</f>
        <v>600</v>
      </c>
      <c r="AR22" s="43">
        <f>_xlfn.XLOOKUP(A22,怪物武器挂载坐标辅助表!$A:$A,怪物武器挂载坐标辅助表!K:K)</f>
        <v>150</v>
      </c>
      <c r="AS22" s="43">
        <f>怪物武器挂载坐标辅助表!$M$3</f>
        <v>300</v>
      </c>
      <c r="AT22" s="43">
        <f>怪物武器挂载坐标辅助表!$M$4</f>
        <v>1400</v>
      </c>
      <c r="AU22" s="43">
        <f>怪物武器挂载坐标辅助表!$M$5</f>
        <v>500</v>
      </c>
    </row>
    <row r="23" spans="1:47">
      <c r="A23" s="31">
        <v>401</v>
      </c>
      <c r="B23" s="31" t="s">
        <v>93</v>
      </c>
      <c r="C23" s="31">
        <v>1</v>
      </c>
      <c r="D23" s="31" t="str" cm="1">
        <f t="array" ref="D23">_xlfn.IFS(C23&lt;3,CONCATENATE("monster_weapon_",A23,"_name"),C23=3,CONCATENATE("player_weapon_",A23,"_name"))</f>
        <v>monster_weapon_401_name</v>
      </c>
      <c r="E23" s="31" t="str" cm="1">
        <f t="array" ref="E23">_xlfn.IFS(C23&lt;3,CONCATENATE("pic_monster_weapon_",A23),C23=3,CONCATENATE("pic_player_weapon_",A23,"_name"))</f>
        <v>pic_monster_weapon_401</v>
      </c>
      <c r="F23" s="31" t="str" cm="1">
        <f t="array" ref="F23">_xlfn.IFS(C23&lt;3,CONCATENATE("monster_weapon_",A23,"_desc"),C23=3,CONCATENATE("player_weapon_",A23,"_desc"))</f>
        <v>monster_weapon_401_desc</v>
      </c>
      <c r="G23" s="31">
        <v>1</v>
      </c>
      <c r="H23" s="31" cm="1">
        <f t="array" ref="H23">_xlfn.IFS(G23=1,40,G23=2,60,G23=3,100)</f>
        <v>40</v>
      </c>
      <c r="I23" s="31" t="str" cm="1">
        <f t="array" ref="I23">_xlfn.IFS(C23&lt;3,CONCATENATE("model_monster_weapon_",A23),C23=3,CONCATENATE("model_player_weapon_",A23,"_name"))</f>
        <v>model_monster_weapon_401</v>
      </c>
      <c r="J23" s="31">
        <f t="shared" ref="J23:J38" si="5">INT(A23/100)</f>
        <v>4</v>
      </c>
      <c r="K23" s="31">
        <v>3</v>
      </c>
      <c r="L23" s="31">
        <f>_xlfn.XLOOKUP(_xlfn.XLOOKUP(A23,[2]怪物武器!$B:$B,[2]怪物武器!$J:$J),[2]怪物武器!$AA:$AA,[2]怪物武器!$AB:$AB)*_xlfn.XLOOKUP(J23,[2]怪物武器!$T:$T,[2]怪物武器!$U:$U)</f>
        <v>4800</v>
      </c>
      <c r="M23" s="31">
        <f>_xlfn.XLOOKUP(_xlfn.XLOOKUP(A23,[2]怪物武器!$B:$B,[2]怪物武器!$K:$K),[2]怪物武器!$AC:$AC,[2]怪物武器!$AD:$AD)*_xlfn.XLOOKUP(J23,[2]怪物武器!$T:$T,[2]怪物武器!$V:$V)</f>
        <v>4000</v>
      </c>
      <c r="N23" s="31">
        <f>_xlfn.XLOOKUP(_xlfn.XLOOKUP(A23,[2]怪物武器!$B:$B,[2]怪物武器!$L:$L),[2]怪物武器!$AE:$AE,[2]怪物武器!$AF:$AF)*_xlfn.XLOOKUP(J23,[2]怪物武器!$T:$T,[2]怪物武器!$W:$W)</f>
        <v>0</v>
      </c>
      <c r="O23" s="31">
        <f>_xlfn.XLOOKUP(_xlfn.XLOOKUP(A23,[2]怪物武器!$B:$B,[2]怪物武器!$P:$P),[2]怪物武器!$AG:$AG,[2]怪物武器!$AH:$AH)*_xlfn.XLOOKUP(J23,[2]怪物武器!$T:$T,[2]怪物武器!$X:$X)</f>
        <v>10200</v>
      </c>
      <c r="P23" s="31" t="s">
        <v>94</v>
      </c>
      <c r="Q23" s="31">
        <v>30401101</v>
      </c>
      <c r="R23" s="36">
        <f>IF(J23&lt;4,_xlfn.XLOOKUP(_xlfn.XLOOKUP(A23,[2]怪物武器!$B:$B,[2]怪物武器!$N:$N),[2]怪物武器!$AI:$AI,[2]怪物武器!$AJ:$AJ),_xlfn.XLOOKUP(_xlfn.XLOOKUP(A23,[2]怪物武器!$B:$B,[2]怪物武器!$N:$N),[2]怪物武器!$AK:$AK,[2]怪物武器!$AL:$AL))*_xlfn.XLOOKUP(J23,[2]怪物武器!$T:$T,[2]怪物武器!$Y:$Y)</f>
        <v>40000</v>
      </c>
      <c r="S23" s="31">
        <f t="shared" si="4"/>
        <v>1420</v>
      </c>
      <c r="U23" s="31">
        <f t="shared" si="1"/>
        <v>280</v>
      </c>
      <c r="AB23" s="31" t="str">
        <f t="shared" si="2"/>
        <v>80;20;80;35;-40;50;1;0;50</v>
      </c>
      <c r="AC23" s="31" t="str">
        <f t="shared" si="3"/>
        <v>-63;-49;350;-170;600;135;300;1400;500</v>
      </c>
      <c r="AD23" s="39">
        <v>80</v>
      </c>
      <c r="AE23" s="39">
        <v>20</v>
      </c>
      <c r="AF23" s="39">
        <v>80</v>
      </c>
      <c r="AG23" s="39">
        <v>35</v>
      </c>
      <c r="AH23" s="39">
        <v>-40</v>
      </c>
      <c r="AI23" s="39">
        <v>50</v>
      </c>
      <c r="AJ23" s="39">
        <v>1</v>
      </c>
      <c r="AK23" s="39">
        <v>0</v>
      </c>
      <c r="AL23" s="39">
        <v>50</v>
      </c>
      <c r="AM23" s="43">
        <f>_xlfn.XLOOKUP(A23,怪物武器挂载坐标辅助表!$A:$A,怪物武器挂载坐标辅助表!G:G)</f>
        <v>-63</v>
      </c>
      <c r="AN23" s="43">
        <f>_xlfn.XLOOKUP(A23,怪物武器挂载坐标辅助表!$A:$A,怪物武器挂载坐标辅助表!H:H)</f>
        <v>-49</v>
      </c>
      <c r="AO23" s="43">
        <f>_xlfn.XLOOKUP(A23,怪物武器挂载坐标辅助表!$A:$A,怪物武器挂载坐标辅助表!I:I)</f>
        <v>350</v>
      </c>
      <c r="AP23" s="43">
        <f>_xlfn.XLOOKUP(A23,怪物武器挂载坐标辅助表!$A:$A,怪物武器挂载坐标辅助表!J:J)</f>
        <v>-170</v>
      </c>
      <c r="AQ23" s="43">
        <f>怪物武器挂载坐标辅助表!$M$2</f>
        <v>600</v>
      </c>
      <c r="AR23" s="43">
        <f>_xlfn.XLOOKUP(A23,怪物武器挂载坐标辅助表!$A:$A,怪物武器挂载坐标辅助表!K:K)</f>
        <v>135</v>
      </c>
      <c r="AS23" s="43">
        <f>怪物武器挂载坐标辅助表!$M$3</f>
        <v>300</v>
      </c>
      <c r="AT23" s="43">
        <f>怪物武器挂载坐标辅助表!$M$4</f>
        <v>1400</v>
      </c>
      <c r="AU23" s="43">
        <f>怪物武器挂载坐标辅助表!$M$5</f>
        <v>500</v>
      </c>
    </row>
    <row r="24" spans="1:47">
      <c r="A24" s="31">
        <v>402</v>
      </c>
      <c r="B24" s="31" t="s">
        <v>95</v>
      </c>
      <c r="C24" s="31">
        <v>1</v>
      </c>
      <c r="D24" s="31" t="str" cm="1">
        <f t="array" ref="D24">_xlfn.IFS(C24&lt;3,CONCATENATE("monster_weapon_",A24,"_name"),C24=3,CONCATENATE("player_weapon_",A24,"_name"))</f>
        <v>monster_weapon_402_name</v>
      </c>
      <c r="E24" s="31" t="str" cm="1">
        <f t="array" ref="E24">_xlfn.IFS(C24&lt;3,CONCATENATE("pic_monster_weapon_",A24),C24=3,CONCATENATE("pic_player_weapon_",A24,"_name"))</f>
        <v>pic_monster_weapon_402</v>
      </c>
      <c r="F24" s="31" t="str" cm="1">
        <f t="array" ref="F24">_xlfn.IFS(C24&lt;3,CONCATENATE("monster_weapon_",A24,"_desc"),C24=3,CONCATENATE("player_weapon_",A24,"_desc"))</f>
        <v>monster_weapon_402_desc</v>
      </c>
      <c r="G24" s="31">
        <v>1</v>
      </c>
      <c r="H24" s="31" cm="1">
        <f t="array" ref="H24">_xlfn.IFS(G24=1,40,G24=2,60,G24=3,100)</f>
        <v>40</v>
      </c>
      <c r="I24" s="31" t="str" cm="1">
        <f t="array" ref="I24">_xlfn.IFS(C24&lt;3,CONCATENATE("model_monster_weapon_",A24),C24=3,CONCATENATE("model_player_weapon_",A24,"_name"))</f>
        <v>model_monster_weapon_402</v>
      </c>
      <c r="J24" s="31">
        <f t="shared" si="5"/>
        <v>4</v>
      </c>
      <c r="K24" s="31">
        <v>3</v>
      </c>
      <c r="L24" s="31">
        <f>_xlfn.XLOOKUP(_xlfn.XLOOKUP(A24,[2]怪物武器!$B:$B,[2]怪物武器!$J:$J),[2]怪物武器!$AA:$AA,[2]怪物武器!$AB:$AB)*_xlfn.XLOOKUP(J24,[2]怪物武器!$T:$T,[2]怪物武器!$U:$U)</f>
        <v>9600</v>
      </c>
      <c r="M24" s="31">
        <f>_xlfn.XLOOKUP(_xlfn.XLOOKUP(A24,[2]怪物武器!$B:$B,[2]怪物武器!$K:$K),[2]怪物武器!$AC:$AC,[2]怪物武器!$AD:$AD)*_xlfn.XLOOKUP(J24,[2]怪物武器!$T:$T,[2]怪物武器!$V:$V)</f>
        <v>1000</v>
      </c>
      <c r="N24" s="31">
        <f>_xlfn.XLOOKUP(_xlfn.XLOOKUP(A24,[2]怪物武器!$B:$B,[2]怪物武器!$L:$L),[2]怪物武器!$AE:$AE,[2]怪物武器!$AF:$AF)*_xlfn.XLOOKUP(J24,[2]怪物武器!$T:$T,[2]怪物武器!$W:$W)</f>
        <v>0</v>
      </c>
      <c r="O24" s="31">
        <f>_xlfn.XLOOKUP(_xlfn.XLOOKUP(A24,[2]怪物武器!$B:$B,[2]怪物武器!$P:$P),[2]怪物武器!$AG:$AG,[2]怪物武器!$AH:$AH)*_xlfn.XLOOKUP(J24,[2]怪物武器!$T:$T,[2]怪物武器!$X:$X)</f>
        <v>8500</v>
      </c>
      <c r="P24" s="31" t="s">
        <v>94</v>
      </c>
      <c r="Q24" s="31">
        <v>30402101</v>
      </c>
      <c r="R24" s="36">
        <f>IF(J24&lt;4,_xlfn.XLOOKUP(_xlfn.XLOOKUP(A24,[2]怪物武器!$B:$B,[2]怪物武器!$N:$N),[2]怪物武器!$AI:$AI,[2]怪物武器!$AJ:$AJ),_xlfn.XLOOKUP(_xlfn.XLOOKUP(A24,[2]怪物武器!$B:$B,[2]怪物武器!$N:$N),[2]怪物武器!$AK:$AK,[2]怪物武器!$AL:$AL))*_xlfn.XLOOKUP(J24,[2]怪物武器!$T:$T,[2]怪物武器!$Y:$Y)</f>
        <v>40000</v>
      </c>
      <c r="S24" s="31">
        <f t="shared" si="4"/>
        <v>410</v>
      </c>
      <c r="U24" s="31">
        <f t="shared" si="1"/>
        <v>480</v>
      </c>
      <c r="AB24" s="31" t="str">
        <f t="shared" si="2"/>
        <v>40;0;40;14;-16;20;4;0;20</v>
      </c>
      <c r="AC24" s="31" t="str">
        <f t="shared" si="3"/>
        <v>-67;59;420;-160;600;135;300;1400;500</v>
      </c>
      <c r="AD24" s="39">
        <v>40</v>
      </c>
      <c r="AE24" s="39">
        <v>0</v>
      </c>
      <c r="AF24" s="39">
        <v>40</v>
      </c>
      <c r="AG24" s="39">
        <v>14</v>
      </c>
      <c r="AH24" s="39">
        <v>-16</v>
      </c>
      <c r="AI24" s="39">
        <v>20</v>
      </c>
      <c r="AJ24" s="39">
        <v>4</v>
      </c>
      <c r="AK24" s="39">
        <v>0</v>
      </c>
      <c r="AL24" s="39">
        <v>20</v>
      </c>
      <c r="AM24" s="43">
        <f>_xlfn.XLOOKUP(A24,怪物武器挂载坐标辅助表!$A:$A,怪物武器挂载坐标辅助表!G:G)</f>
        <v>-67</v>
      </c>
      <c r="AN24" s="43">
        <f>_xlfn.XLOOKUP(A24,怪物武器挂载坐标辅助表!$A:$A,怪物武器挂载坐标辅助表!H:H)</f>
        <v>59</v>
      </c>
      <c r="AO24" s="43">
        <f>_xlfn.XLOOKUP(A24,怪物武器挂载坐标辅助表!$A:$A,怪物武器挂载坐标辅助表!I:I)</f>
        <v>420</v>
      </c>
      <c r="AP24" s="43">
        <f>_xlfn.XLOOKUP(A24,怪物武器挂载坐标辅助表!$A:$A,怪物武器挂载坐标辅助表!J:J)</f>
        <v>-160</v>
      </c>
      <c r="AQ24" s="43">
        <f>怪物武器挂载坐标辅助表!$M$2</f>
        <v>600</v>
      </c>
      <c r="AR24" s="43">
        <f>_xlfn.XLOOKUP(A24,怪物武器挂载坐标辅助表!$A:$A,怪物武器挂载坐标辅助表!K:K)</f>
        <v>135</v>
      </c>
      <c r="AS24" s="43">
        <f>怪物武器挂载坐标辅助表!$M$3</f>
        <v>300</v>
      </c>
      <c r="AT24" s="43">
        <f>怪物武器挂载坐标辅助表!$M$4</f>
        <v>1400</v>
      </c>
      <c r="AU24" s="43">
        <f>怪物武器挂载坐标辅助表!$M$5</f>
        <v>500</v>
      </c>
    </row>
    <row r="25" spans="1:47">
      <c r="A25" s="31">
        <v>403</v>
      </c>
      <c r="B25" s="31" t="s">
        <v>96</v>
      </c>
      <c r="C25" s="31">
        <v>1</v>
      </c>
      <c r="D25" s="31" t="str" cm="1">
        <f t="array" ref="D25">_xlfn.IFS(C25&lt;3,CONCATENATE("monster_weapon_",A25,"_name"),C25=3,CONCATENATE("player_weapon_",A25,"_name"))</f>
        <v>monster_weapon_403_name</v>
      </c>
      <c r="E25" s="31" t="str" cm="1">
        <f t="array" ref="E25">_xlfn.IFS(C25&lt;3,CONCATENATE("pic_monster_weapon_",A25),C25=3,CONCATENATE("pic_player_weapon_",A25,"_name"))</f>
        <v>pic_monster_weapon_403</v>
      </c>
      <c r="F25" s="31" t="str" cm="1">
        <f t="array" ref="F25">_xlfn.IFS(C25&lt;3,CONCATENATE("monster_weapon_",A25,"_desc"),C25=3,CONCATENATE("player_weapon_",A25,"_desc"))</f>
        <v>monster_weapon_403_desc</v>
      </c>
      <c r="G25" s="31">
        <v>2</v>
      </c>
      <c r="H25" s="31" cm="1">
        <f t="array" ref="H25">_xlfn.IFS(G25=1,40,G25=2,60,G25=3,100)</f>
        <v>60</v>
      </c>
      <c r="I25" s="31" t="str" cm="1">
        <f t="array" ref="I25">_xlfn.IFS(C25&lt;3,CONCATENATE("model_monster_weapon_",A25),C25=3,CONCATENATE("model_player_weapon_",A25,"_name"))</f>
        <v>model_monster_weapon_403</v>
      </c>
      <c r="J25" s="31">
        <f t="shared" si="5"/>
        <v>4</v>
      </c>
      <c r="K25" s="31">
        <v>3</v>
      </c>
      <c r="L25" s="31">
        <f>_xlfn.XLOOKUP(_xlfn.XLOOKUP(A25,[2]怪物武器!$B:$B,[2]怪物武器!$J:$J),[2]怪物武器!$AA:$AA,[2]怪物武器!$AB:$AB)*_xlfn.XLOOKUP(J25,[2]怪物武器!$T:$T,[2]怪物武器!$U:$U)</f>
        <v>18000</v>
      </c>
      <c r="M25" s="31">
        <f>_xlfn.XLOOKUP(_xlfn.XLOOKUP(A25,[2]怪物武器!$B:$B,[2]怪物武器!$K:$K),[2]怪物武器!$AC:$AC,[2]怪物武器!$AD:$AD)*_xlfn.XLOOKUP(J25,[2]怪物武器!$T:$T,[2]怪物武器!$V:$V)</f>
        <v>3000</v>
      </c>
      <c r="N25" s="31">
        <f>_xlfn.XLOOKUP(_xlfn.XLOOKUP(A25,[2]怪物武器!$B:$B,[2]怪物武器!$L:$L),[2]怪物武器!$AE:$AE,[2]怪物武器!$AF:$AF)*_xlfn.XLOOKUP(J25,[2]怪物武器!$T:$T,[2]怪物武器!$W:$W)</f>
        <v>0</v>
      </c>
      <c r="O25" s="31">
        <f>_xlfn.XLOOKUP(_xlfn.XLOOKUP(A25,[2]怪物武器!$B:$B,[2]怪物武器!$P:$P),[2]怪物武器!$AG:$AG,[2]怪物武器!$AH:$AH)*_xlfn.XLOOKUP(J25,[2]怪物武器!$T:$T,[2]怪物武器!$X:$X)</f>
        <v>6800</v>
      </c>
      <c r="P25" s="31" t="s">
        <v>97</v>
      </c>
      <c r="Q25" s="31">
        <v>30403101</v>
      </c>
      <c r="R25" s="36">
        <f>IF(J25&lt;4,_xlfn.XLOOKUP(_xlfn.XLOOKUP(A25,[2]怪物武器!$B:$B,[2]怪物武器!$N:$N),[2]怪物武器!$AI:$AI,[2]怪物武器!$AJ:$AJ),_xlfn.XLOOKUP(_xlfn.XLOOKUP(A25,[2]怪物武器!$B:$B,[2]怪物武器!$N:$N),[2]怪物武器!$AK:$AK,[2]怪物武器!$AL:$AL))*_xlfn.XLOOKUP(J25,[2]怪物武器!$T:$T,[2]怪物武器!$Y:$Y)</f>
        <v>120000</v>
      </c>
      <c r="S25" s="31">
        <f t="shared" si="4"/>
        <v>890</v>
      </c>
      <c r="U25" s="31">
        <f t="shared" si="1"/>
        <v>280</v>
      </c>
      <c r="AB25" s="31" t="str">
        <f t="shared" si="2"/>
        <v>50;0;50;18;-20;0;2;20;30</v>
      </c>
      <c r="AC25" s="31" t="str">
        <f t="shared" si="3"/>
        <v>-95;97;493;-122;600;140;300;1400;500</v>
      </c>
      <c r="AD25" s="39">
        <v>50</v>
      </c>
      <c r="AE25" s="39">
        <v>0</v>
      </c>
      <c r="AF25" s="39">
        <v>50</v>
      </c>
      <c r="AG25" s="39">
        <v>18</v>
      </c>
      <c r="AH25" s="39">
        <v>-20</v>
      </c>
      <c r="AI25" s="39">
        <v>0</v>
      </c>
      <c r="AJ25" s="39">
        <v>2</v>
      </c>
      <c r="AK25" s="39">
        <v>20</v>
      </c>
      <c r="AL25" s="39">
        <v>30</v>
      </c>
      <c r="AM25" s="43">
        <f>_xlfn.XLOOKUP(A25,怪物武器挂载坐标辅助表!$A:$A,怪物武器挂载坐标辅助表!G:G)</f>
        <v>-95</v>
      </c>
      <c r="AN25" s="43">
        <f>_xlfn.XLOOKUP(A25,怪物武器挂载坐标辅助表!$A:$A,怪物武器挂载坐标辅助表!H:H)</f>
        <v>97</v>
      </c>
      <c r="AO25" s="43">
        <f>_xlfn.XLOOKUP(A25,怪物武器挂载坐标辅助表!$A:$A,怪物武器挂载坐标辅助表!I:I)</f>
        <v>493</v>
      </c>
      <c r="AP25" s="43">
        <f>_xlfn.XLOOKUP(A25,怪物武器挂载坐标辅助表!$A:$A,怪物武器挂载坐标辅助表!J:J)</f>
        <v>-122</v>
      </c>
      <c r="AQ25" s="43">
        <f>怪物武器挂载坐标辅助表!$M$2</f>
        <v>600</v>
      </c>
      <c r="AR25" s="43">
        <f>_xlfn.XLOOKUP(A25,怪物武器挂载坐标辅助表!$A:$A,怪物武器挂载坐标辅助表!K:K)</f>
        <v>140</v>
      </c>
      <c r="AS25" s="43">
        <f>怪物武器挂载坐标辅助表!$M$3</f>
        <v>300</v>
      </c>
      <c r="AT25" s="43">
        <f>怪物武器挂载坐标辅助表!$M$4</f>
        <v>1400</v>
      </c>
      <c r="AU25" s="43">
        <f>怪物武器挂载坐标辅助表!$M$5</f>
        <v>500</v>
      </c>
    </row>
    <row r="26" spans="1:47">
      <c r="A26" s="31">
        <v>404</v>
      </c>
      <c r="B26" s="31" t="s">
        <v>98</v>
      </c>
      <c r="C26" s="31">
        <v>1</v>
      </c>
      <c r="D26" s="31" t="str" cm="1">
        <f t="array" ref="D26">_xlfn.IFS(C26&lt;3,CONCATENATE("monster_weapon_",A26,"_name"),C26=3,CONCATENATE("player_weapon_",A26,"_name"))</f>
        <v>monster_weapon_404_name</v>
      </c>
      <c r="E26" s="31" t="str" cm="1">
        <f t="array" ref="E26">_xlfn.IFS(C26&lt;3,CONCATENATE("pic_monster_weapon_",A26),C26=3,CONCATENATE("pic_player_weapon_",A26,"_name"))</f>
        <v>pic_monster_weapon_404</v>
      </c>
      <c r="F26" s="31" t="str" cm="1">
        <f t="array" ref="F26">_xlfn.IFS(C26&lt;3,CONCATENATE("monster_weapon_",A26,"_desc"),C26=3,CONCATENATE("player_weapon_",A26,"_desc"))</f>
        <v>monster_weapon_404_desc</v>
      </c>
      <c r="G26" s="31">
        <v>2</v>
      </c>
      <c r="H26" s="31" cm="1">
        <f t="array" ref="H26">_xlfn.IFS(G26=1,40,G26=2,60,G26=3,100)</f>
        <v>60</v>
      </c>
      <c r="I26" s="31" t="str" cm="1">
        <f t="array" ref="I26">_xlfn.IFS(C26&lt;3,CONCATENATE("model_monster_weapon_",A26),C26=3,CONCATENATE("model_player_weapon_",A26,"_name"))</f>
        <v>model_monster_weapon_404</v>
      </c>
      <c r="J26" s="31">
        <f t="shared" si="5"/>
        <v>4</v>
      </c>
      <c r="K26" s="31">
        <v>3</v>
      </c>
      <c r="L26" s="31">
        <f>_xlfn.XLOOKUP(_xlfn.XLOOKUP(A26,[2]怪物武器!$B:$B,[2]怪物武器!$J:$J),[2]怪物武器!$AA:$AA,[2]怪物武器!$AB:$AB)*_xlfn.XLOOKUP(J26,[2]怪物武器!$T:$T,[2]怪物武器!$U:$U)</f>
        <v>24000</v>
      </c>
      <c r="M26" s="31">
        <f>_xlfn.XLOOKUP(_xlfn.XLOOKUP(A26,[2]怪物武器!$B:$B,[2]怪物武器!$K:$K),[2]怪物武器!$AC:$AC,[2]怪物武器!$AD:$AD)*_xlfn.XLOOKUP(J26,[2]怪物武器!$T:$T,[2]怪物武器!$V:$V)</f>
        <v>5000</v>
      </c>
      <c r="N26" s="31">
        <f>_xlfn.XLOOKUP(_xlfn.XLOOKUP(A26,[2]怪物武器!$B:$B,[2]怪物武器!$L:$L),[2]怪物武器!$AE:$AE,[2]怪物武器!$AF:$AF)*_xlfn.XLOOKUP(J26,[2]怪物武器!$T:$T,[2]怪物武器!$W:$W)</f>
        <v>0</v>
      </c>
      <c r="O26" s="31">
        <f>_xlfn.XLOOKUP(_xlfn.XLOOKUP(A26,[2]怪物武器!$B:$B,[2]怪物武器!$P:$P),[2]怪物武器!$AG:$AG,[2]怪物武器!$AH:$AH)*_xlfn.XLOOKUP(J26,[2]怪物武器!$T:$T,[2]怪物武器!$X:$X)</f>
        <v>5100</v>
      </c>
      <c r="P26" s="31" t="s">
        <v>97</v>
      </c>
      <c r="Q26" s="31">
        <v>30404101</v>
      </c>
      <c r="R26" s="36">
        <f>IF(J26&lt;4,_xlfn.XLOOKUP(_xlfn.XLOOKUP(A26,[2]怪物武器!$B:$B,[2]怪物武器!$N:$N),[2]怪物武器!$AI:$AI,[2]怪物武器!$AJ:$AJ),_xlfn.XLOOKUP(_xlfn.XLOOKUP(A26,[2]怪物武器!$B:$B,[2]怪物武器!$N:$N),[2]怪物武器!$AK:$AK,[2]怪物武器!$AL:$AL))*_xlfn.XLOOKUP(J26,[2]怪物武器!$T:$T,[2]怪物武器!$Y:$Y)</f>
        <v>120000</v>
      </c>
      <c r="S26" s="31">
        <f t="shared" si="4"/>
        <v>480</v>
      </c>
      <c r="U26" s="31">
        <f t="shared" si="1"/>
        <v>820</v>
      </c>
      <c r="AB26" s="31" t="str">
        <f t="shared" si="2"/>
        <v>80;0;250;36;-30;40;1;0;450</v>
      </c>
      <c r="AC26" s="31" t="str">
        <f t="shared" si="3"/>
        <v>134;73;722;-146;600;120;300;1400;500</v>
      </c>
      <c r="AD26" s="39">
        <v>80</v>
      </c>
      <c r="AE26" s="39">
        <v>0</v>
      </c>
      <c r="AF26" s="39">
        <v>250</v>
      </c>
      <c r="AG26" s="39">
        <v>36</v>
      </c>
      <c r="AH26" s="39">
        <v>-30</v>
      </c>
      <c r="AI26" s="39">
        <v>40</v>
      </c>
      <c r="AJ26" s="39">
        <v>1</v>
      </c>
      <c r="AK26" s="39">
        <v>0</v>
      </c>
      <c r="AL26" s="39">
        <v>450</v>
      </c>
      <c r="AM26" s="43">
        <f>_xlfn.XLOOKUP(A26,怪物武器挂载坐标辅助表!$A:$A,怪物武器挂载坐标辅助表!G:G)</f>
        <v>134</v>
      </c>
      <c r="AN26" s="43">
        <f>_xlfn.XLOOKUP(A26,怪物武器挂载坐标辅助表!$A:$A,怪物武器挂载坐标辅助表!H:H)</f>
        <v>73</v>
      </c>
      <c r="AO26" s="43">
        <f>_xlfn.XLOOKUP(A26,怪物武器挂载坐标辅助表!$A:$A,怪物武器挂载坐标辅助表!I:I)</f>
        <v>722</v>
      </c>
      <c r="AP26" s="43">
        <f>_xlfn.XLOOKUP(A26,怪物武器挂载坐标辅助表!$A:$A,怪物武器挂载坐标辅助表!J:J)</f>
        <v>-146</v>
      </c>
      <c r="AQ26" s="43">
        <f>怪物武器挂载坐标辅助表!$M$2</f>
        <v>600</v>
      </c>
      <c r="AR26" s="43">
        <f>_xlfn.XLOOKUP(A26,怪物武器挂载坐标辅助表!$A:$A,怪物武器挂载坐标辅助表!K:K)</f>
        <v>120</v>
      </c>
      <c r="AS26" s="43">
        <f>怪物武器挂载坐标辅助表!$M$3</f>
        <v>300</v>
      </c>
      <c r="AT26" s="43">
        <f>怪物武器挂载坐标辅助表!$M$4</f>
        <v>1400</v>
      </c>
      <c r="AU26" s="43">
        <f>怪物武器挂载坐标辅助表!$M$5</f>
        <v>500</v>
      </c>
    </row>
    <row r="27" spans="1:47">
      <c r="A27" s="31">
        <v>405</v>
      </c>
      <c r="B27" s="31" t="s">
        <v>99</v>
      </c>
      <c r="C27" s="31">
        <v>1</v>
      </c>
      <c r="D27" s="31" t="str" cm="1">
        <f t="array" ref="D27">_xlfn.IFS(C27&lt;3,CONCATENATE("monster_weapon_",A27,"_name"),C27=3,CONCATENATE("player_weapon_",A27,"_name"))</f>
        <v>monster_weapon_405_name</v>
      </c>
      <c r="E27" s="31" t="str" cm="1">
        <f t="array" ref="E27">_xlfn.IFS(C27&lt;3,CONCATENATE("pic_monster_weapon_",A27),C27=3,CONCATENATE("pic_player_weapon_",A27,"_name"))</f>
        <v>pic_monster_weapon_405</v>
      </c>
      <c r="F27" s="31" t="str" cm="1">
        <f t="array" ref="F27">_xlfn.IFS(C27&lt;3,CONCATENATE("monster_weapon_",A27,"_desc"),C27=3,CONCATENATE("player_weapon_",A27,"_desc"))</f>
        <v>monster_weapon_405_desc</v>
      </c>
      <c r="G27" s="31">
        <v>2</v>
      </c>
      <c r="H27" s="31" cm="1">
        <f t="array" ref="H27">_xlfn.IFS(G27=1,40,G27=2,60,G27=3,100)</f>
        <v>60</v>
      </c>
      <c r="I27" s="31" t="str" cm="1">
        <f t="array" ref="I27">_xlfn.IFS(C27&lt;3,CONCATENATE("model_monster_weapon_",A27),C27=3,CONCATENATE("model_player_weapon_",A27,"_name"))</f>
        <v>model_monster_weapon_405</v>
      </c>
      <c r="J27" s="31">
        <f t="shared" si="5"/>
        <v>4</v>
      </c>
      <c r="K27" s="31">
        <v>3</v>
      </c>
      <c r="L27" s="31">
        <f>_xlfn.XLOOKUP(_xlfn.XLOOKUP(A27,[2]怪物武器!$B:$B,[2]怪物武器!$J:$J),[2]怪物武器!$AA:$AA,[2]怪物武器!$AB:$AB)*_xlfn.XLOOKUP(J27,[2]怪物武器!$T:$T,[2]怪物武器!$U:$U)</f>
        <v>4800</v>
      </c>
      <c r="M27" s="31">
        <f>_xlfn.XLOOKUP(_xlfn.XLOOKUP(A27,[2]怪物武器!$B:$B,[2]怪物武器!$K:$K),[2]怪物武器!$AC:$AC,[2]怪物武器!$AD:$AD)*_xlfn.XLOOKUP(J27,[2]怪物武器!$T:$T,[2]怪物武器!$V:$V)</f>
        <v>1000</v>
      </c>
      <c r="N27" s="31">
        <f>_xlfn.XLOOKUP(_xlfn.XLOOKUP(A27,[2]怪物武器!$B:$B,[2]怪物武器!$L:$L),[2]怪物武器!$AE:$AE,[2]怪物武器!$AF:$AF)*_xlfn.XLOOKUP(J27,[2]怪物武器!$T:$T,[2]怪物武器!$W:$W)</f>
        <v>0</v>
      </c>
      <c r="O27" s="31">
        <f>_xlfn.XLOOKUP(_xlfn.XLOOKUP(A27,[2]怪物武器!$B:$B,[2]怪物武器!$P:$P),[2]怪物武器!$AG:$AG,[2]怪物武器!$AH:$AH)*_xlfn.XLOOKUP(J27,[2]怪物武器!$T:$T,[2]怪物武器!$X:$X)</f>
        <v>5100</v>
      </c>
      <c r="P27" s="31" t="s">
        <v>100</v>
      </c>
      <c r="Q27" s="31">
        <v>30405101</v>
      </c>
      <c r="R27" s="36">
        <f>IF(J27&lt;4,_xlfn.XLOOKUP(_xlfn.XLOOKUP(A27,[2]怪物武器!$B:$B,[2]怪物武器!$N:$N),[2]怪物武器!$AI:$AI,[2]怪物武器!$AJ:$AJ),_xlfn.XLOOKUP(_xlfn.XLOOKUP(A27,[2]怪物武器!$B:$B,[2]怪物武器!$N:$N),[2]怪物武器!$AK:$AK,[2]怪物武器!$AL:$AL))*_xlfn.XLOOKUP(J27,[2]怪物武器!$T:$T,[2]怪物武器!$Y:$Y)</f>
        <v>80000</v>
      </c>
      <c r="S27" s="31">
        <f t="shared" si="4"/>
        <v>150</v>
      </c>
      <c r="U27" s="31">
        <f t="shared" si="1"/>
        <v>640</v>
      </c>
      <c r="AB27" s="31" t="str">
        <f t="shared" si="2"/>
        <v>20;0;20;8;-10;20;8;0;20</v>
      </c>
      <c r="AC27" s="31" t="str">
        <f t="shared" si="3"/>
        <v>-63;92;525;-127;600;135;300;1400;500</v>
      </c>
      <c r="AD27" s="39">
        <v>20</v>
      </c>
      <c r="AE27" s="39">
        <v>0</v>
      </c>
      <c r="AF27" s="39">
        <v>20</v>
      </c>
      <c r="AG27" s="39">
        <v>8</v>
      </c>
      <c r="AH27" s="39">
        <v>-10</v>
      </c>
      <c r="AI27" s="39">
        <v>20</v>
      </c>
      <c r="AJ27" s="39">
        <v>8</v>
      </c>
      <c r="AK27" s="39">
        <v>0</v>
      </c>
      <c r="AL27" s="39">
        <v>20</v>
      </c>
      <c r="AM27" s="43">
        <f>_xlfn.XLOOKUP(A27,怪物武器挂载坐标辅助表!$A:$A,怪物武器挂载坐标辅助表!G:G)</f>
        <v>-63</v>
      </c>
      <c r="AN27" s="43">
        <f>_xlfn.XLOOKUP(A27,怪物武器挂载坐标辅助表!$A:$A,怪物武器挂载坐标辅助表!H:H)</f>
        <v>92</v>
      </c>
      <c r="AO27" s="43">
        <f>_xlfn.XLOOKUP(A27,怪物武器挂载坐标辅助表!$A:$A,怪物武器挂载坐标辅助表!I:I)</f>
        <v>525</v>
      </c>
      <c r="AP27" s="43">
        <f>_xlfn.XLOOKUP(A27,怪物武器挂载坐标辅助表!$A:$A,怪物武器挂载坐标辅助表!J:J)</f>
        <v>-127</v>
      </c>
      <c r="AQ27" s="43">
        <f>怪物武器挂载坐标辅助表!$M$2</f>
        <v>600</v>
      </c>
      <c r="AR27" s="43">
        <f>_xlfn.XLOOKUP(A27,怪物武器挂载坐标辅助表!$A:$A,怪物武器挂载坐标辅助表!K:K)</f>
        <v>135</v>
      </c>
      <c r="AS27" s="43">
        <f>怪物武器挂载坐标辅助表!$M$3</f>
        <v>300</v>
      </c>
      <c r="AT27" s="43">
        <f>怪物武器挂载坐标辅助表!$M$4</f>
        <v>1400</v>
      </c>
      <c r="AU27" s="43">
        <f>怪物武器挂载坐标辅助表!$M$5</f>
        <v>500</v>
      </c>
    </row>
    <row r="28" spans="1:47">
      <c r="A28" s="31">
        <v>406</v>
      </c>
      <c r="B28" s="31" t="s">
        <v>101</v>
      </c>
      <c r="C28" s="31">
        <v>1</v>
      </c>
      <c r="D28" s="31" t="str" cm="1">
        <f t="array" ref="D28">_xlfn.IFS(C28&lt;3,CONCATENATE("monster_weapon_",A28,"_name"),C28=3,CONCATENATE("player_weapon_",A28,"_name"))</f>
        <v>monster_weapon_406_name</v>
      </c>
      <c r="E28" s="31" t="str" cm="1">
        <f t="array" ref="E28">_xlfn.IFS(C28&lt;3,CONCATENATE("pic_monster_weapon_",A28),C28=3,CONCATENATE("pic_player_weapon_",A28,"_name"))</f>
        <v>pic_monster_weapon_406</v>
      </c>
      <c r="F28" s="31" t="str" cm="1">
        <f t="array" ref="F28">_xlfn.IFS(C28&lt;3,CONCATENATE("monster_weapon_",A28,"_desc"),C28=3,CONCATENATE("player_weapon_",A28,"_desc"))</f>
        <v>monster_weapon_406_desc</v>
      </c>
      <c r="G28" s="31">
        <v>1</v>
      </c>
      <c r="H28" s="31" cm="1">
        <f t="array" ref="H28">_xlfn.IFS(G28=1,40,G28=2,60,G28=3,100)</f>
        <v>40</v>
      </c>
      <c r="I28" s="31" t="str" cm="1">
        <f t="array" ref="I28">_xlfn.IFS(C28&lt;3,CONCATENATE("model_monster_weapon_",A28),C28=3,CONCATENATE("model_player_weapon_",A28,"_name"))</f>
        <v>model_monster_weapon_406</v>
      </c>
      <c r="J28" s="31">
        <f t="shared" si="5"/>
        <v>4</v>
      </c>
      <c r="K28" s="31">
        <v>2</v>
      </c>
      <c r="L28" s="31">
        <f>_xlfn.XLOOKUP(_xlfn.XLOOKUP(A28,[2]怪物武器!$B:$B,[2]怪物武器!$J:$J),[2]怪物武器!$AA:$AA,[2]怪物武器!$AB:$AB)*_xlfn.XLOOKUP(J28,[2]怪物武器!$T:$T,[2]怪物武器!$U:$U)</f>
        <v>12000</v>
      </c>
      <c r="M28" s="31">
        <f>_xlfn.XLOOKUP(_xlfn.XLOOKUP(A28,[2]怪物武器!$B:$B,[2]怪物武器!$K:$K),[2]怪物武器!$AC:$AC,[2]怪物武器!$AD:$AD)*_xlfn.XLOOKUP(J28,[2]怪物武器!$T:$T,[2]怪物武器!$V:$V)</f>
        <v>5000</v>
      </c>
      <c r="N28" s="31">
        <f>_xlfn.XLOOKUP(_xlfn.XLOOKUP(A28,[2]怪物武器!$B:$B,[2]怪物武器!$L:$L),[2]怪物武器!$AE:$AE,[2]怪物武器!$AF:$AF)*_xlfn.XLOOKUP(J28,[2]怪物武器!$T:$T,[2]怪物武器!$W:$W)</f>
        <v>0</v>
      </c>
      <c r="O28" s="31">
        <f>_xlfn.XLOOKUP(_xlfn.XLOOKUP(A28,[2]怪物武器!$B:$B,[2]怪物武器!$P:$P),[2]怪物武器!$AG:$AG,[2]怪物武器!$AH:$AH)*_xlfn.XLOOKUP(J28,[2]怪物武器!$T:$T,[2]怪物武器!$X:$X)</f>
        <v>8500</v>
      </c>
      <c r="P28" s="31" t="s">
        <v>100</v>
      </c>
      <c r="Q28" s="31">
        <v>30406101</v>
      </c>
      <c r="R28" s="36">
        <f>IF(J28&lt;4,_xlfn.XLOOKUP(_xlfn.XLOOKUP(A28,[2]怪物武器!$B:$B,[2]怪物武器!$N:$N),[2]怪物武器!$AI:$AI,[2]怪物武器!$AJ:$AJ),_xlfn.XLOOKUP(_xlfn.XLOOKUP(A28,[2]怪物武器!$B:$B,[2]怪物武器!$N:$N),[2]怪物武器!$AK:$AK,[2]怪物武器!$AL:$AL))*_xlfn.XLOOKUP(J28,[2]怪物武器!$T:$T,[2]怪物武器!$Y:$Y)</f>
        <v>80000</v>
      </c>
      <c r="S28" s="31">
        <f t="shared" si="4"/>
        <v>5320</v>
      </c>
      <c r="U28" s="31">
        <f t="shared" si="1"/>
        <v>1240</v>
      </c>
      <c r="AB28" s="31" t="str">
        <f t="shared" si="2"/>
        <v>450;180;60;70;-35;600;600;100;450</v>
      </c>
      <c r="AC28" s="31" t="str">
        <f t="shared" si="3"/>
        <v>84;58;584;-547;600;135;300;1400;500</v>
      </c>
      <c r="AD28" s="39">
        <v>450</v>
      </c>
      <c r="AE28" s="39">
        <v>180</v>
      </c>
      <c r="AF28" s="39">
        <v>60</v>
      </c>
      <c r="AG28" s="39">
        <v>70</v>
      </c>
      <c r="AH28" s="39">
        <v>-35</v>
      </c>
      <c r="AI28" s="39">
        <v>600</v>
      </c>
      <c r="AJ28" s="39">
        <v>600</v>
      </c>
      <c r="AK28" s="39">
        <v>100</v>
      </c>
      <c r="AL28" s="39">
        <v>450</v>
      </c>
      <c r="AM28" s="43">
        <f>_xlfn.XLOOKUP(A28,怪物武器挂载坐标辅助表!$A:$A,怪物武器挂载坐标辅助表!G:G)</f>
        <v>84</v>
      </c>
      <c r="AN28" s="43">
        <f>_xlfn.XLOOKUP(A28,怪物武器挂载坐标辅助表!$A:$A,怪物武器挂载坐标辅助表!H:H)</f>
        <v>58</v>
      </c>
      <c r="AO28" s="43">
        <f>_xlfn.XLOOKUP(A28,怪物武器挂载坐标辅助表!$A:$A,怪物武器挂载坐标辅助表!I:I)</f>
        <v>584</v>
      </c>
      <c r="AP28" s="43">
        <f>_xlfn.XLOOKUP(A28,怪物武器挂载坐标辅助表!$A:$A,怪物武器挂载坐标辅助表!J:J)</f>
        <v>-547</v>
      </c>
      <c r="AQ28" s="43">
        <f>怪物武器挂载坐标辅助表!$M$2</f>
        <v>600</v>
      </c>
      <c r="AR28" s="43">
        <f>_xlfn.XLOOKUP(A28,怪物武器挂载坐标辅助表!$A:$A,怪物武器挂载坐标辅助表!K:K)</f>
        <v>135</v>
      </c>
      <c r="AS28" s="43">
        <f>怪物武器挂载坐标辅助表!$M$3</f>
        <v>300</v>
      </c>
      <c r="AT28" s="43">
        <f>怪物武器挂载坐标辅助表!$M$4</f>
        <v>1400</v>
      </c>
      <c r="AU28" s="43">
        <f>怪物武器挂载坐标辅助表!$M$5</f>
        <v>500</v>
      </c>
    </row>
    <row r="29" spans="1:47">
      <c r="A29" s="31">
        <v>407</v>
      </c>
      <c r="B29" s="31" t="s">
        <v>102</v>
      </c>
      <c r="C29" s="31">
        <v>1</v>
      </c>
      <c r="D29" s="31" t="str" cm="1">
        <f t="array" ref="D29">_xlfn.IFS(C29&lt;3,CONCATENATE("monster_weapon_",A29,"_name"),C29=3,CONCATENATE("player_weapon_",A29,"_name"))</f>
        <v>monster_weapon_407_name</v>
      </c>
      <c r="E29" s="31" t="str" cm="1">
        <f t="array" ref="E29">_xlfn.IFS(C29&lt;3,CONCATENATE("pic_monster_weapon_",A29),C29=3,CONCATENATE("pic_player_weapon_",A29,"_name"))</f>
        <v>pic_monster_weapon_407</v>
      </c>
      <c r="F29" s="31" t="str" cm="1">
        <f t="array" ref="F29">_xlfn.IFS(C29&lt;3,CONCATENATE("monster_weapon_",A29,"_desc"),C29=3,CONCATENATE("player_weapon_",A29,"_desc"))</f>
        <v>monster_weapon_407_desc</v>
      </c>
      <c r="G29" s="31">
        <v>1</v>
      </c>
      <c r="H29" s="31" cm="1">
        <f t="array" ref="H29">_xlfn.IFS(G29=1,40,G29=2,60,G29=3,100)</f>
        <v>40</v>
      </c>
      <c r="I29" s="31" t="str" cm="1">
        <f t="array" ref="I29">_xlfn.IFS(C29&lt;3,CONCATENATE("model_monster_weapon_",A29),C29=3,CONCATENATE("model_player_weapon_",A29,"_name"))</f>
        <v>model_monster_weapon_407</v>
      </c>
      <c r="J29" s="31">
        <f t="shared" si="5"/>
        <v>4</v>
      </c>
      <c r="K29" s="31">
        <v>2</v>
      </c>
      <c r="L29" s="31">
        <f>_xlfn.XLOOKUP(_xlfn.XLOOKUP(A29,[2]怪物武器!$B:$B,[2]怪物武器!$J:$J),[2]怪物武器!$AA:$AA,[2]怪物武器!$AB:$AB)*_xlfn.XLOOKUP(J29,[2]怪物武器!$T:$T,[2]怪物武器!$U:$U)</f>
        <v>9600</v>
      </c>
      <c r="M29" s="31">
        <f>_xlfn.XLOOKUP(_xlfn.XLOOKUP(A29,[2]怪物武器!$B:$B,[2]怪物武器!$K:$K),[2]怪物武器!$AC:$AC,[2]怪物武器!$AD:$AD)*_xlfn.XLOOKUP(J29,[2]怪物武器!$T:$T,[2]怪物武器!$V:$V)</f>
        <v>3000</v>
      </c>
      <c r="N29" s="31">
        <f>_xlfn.XLOOKUP(_xlfn.XLOOKUP(A29,[2]怪物武器!$B:$B,[2]怪物武器!$L:$L),[2]怪物武器!$AE:$AE,[2]怪物武器!$AF:$AF)*_xlfn.XLOOKUP(J29,[2]怪物武器!$T:$T,[2]怪物武器!$W:$W)</f>
        <v>0</v>
      </c>
      <c r="O29" s="31">
        <f>_xlfn.XLOOKUP(_xlfn.XLOOKUP(A29,[2]怪物武器!$B:$B,[2]怪物武器!$P:$P),[2]怪物武器!$AG:$AG,[2]怪物武器!$AH:$AH)*_xlfn.XLOOKUP(J29,[2]怪物武器!$T:$T,[2]怪物武器!$X:$X)</f>
        <v>10200</v>
      </c>
      <c r="P29" s="31" t="s">
        <v>100</v>
      </c>
      <c r="Q29" s="31">
        <v>30407101</v>
      </c>
      <c r="R29" s="36">
        <f>IF(J29&lt;4,_xlfn.XLOOKUP(_xlfn.XLOOKUP(A29,[2]怪物武器!$B:$B,[2]怪物武器!$N:$N),[2]怪物武器!$AI:$AI,[2]怪物武器!$AJ:$AJ),_xlfn.XLOOKUP(_xlfn.XLOOKUP(A29,[2]怪物武器!$B:$B,[2]怪物武器!$N:$N),[2]怪物武器!$AK:$AK,[2]怪物武器!$AL:$AL))*_xlfn.XLOOKUP(J29,[2]怪物武器!$T:$T,[2]怪物武器!$Y:$Y)</f>
        <v>80000</v>
      </c>
      <c r="S29" s="31">
        <f t="shared" si="4"/>
        <v>5260</v>
      </c>
      <c r="U29" s="31">
        <f t="shared" si="1"/>
        <v>1120</v>
      </c>
      <c r="AB29" s="31" t="str">
        <f t="shared" si="2"/>
        <v>400;160;60;40;-20;300;350;100;400</v>
      </c>
      <c r="AC29" s="31" t="str">
        <f t="shared" si="3"/>
        <v>-66;-13;450;-180;600;120;300;1400;500</v>
      </c>
      <c r="AD29" s="39">
        <v>400</v>
      </c>
      <c r="AE29" s="39">
        <v>160</v>
      </c>
      <c r="AF29" s="39">
        <v>60</v>
      </c>
      <c r="AG29" s="39">
        <v>40</v>
      </c>
      <c r="AH29" s="39">
        <v>-20</v>
      </c>
      <c r="AI29" s="39">
        <v>300</v>
      </c>
      <c r="AJ29" s="39">
        <v>350</v>
      </c>
      <c r="AK29" s="39">
        <v>100</v>
      </c>
      <c r="AL29" s="39">
        <v>400</v>
      </c>
      <c r="AM29" s="43">
        <f>_xlfn.XLOOKUP(A29,怪物武器挂载坐标辅助表!$A:$A,怪物武器挂载坐标辅助表!G:G)</f>
        <v>-66</v>
      </c>
      <c r="AN29" s="43">
        <f>_xlfn.XLOOKUP(A29,怪物武器挂载坐标辅助表!$A:$A,怪物武器挂载坐标辅助表!H:H)</f>
        <v>-13</v>
      </c>
      <c r="AO29" s="43">
        <f>_xlfn.XLOOKUP(A29,怪物武器挂载坐标辅助表!$A:$A,怪物武器挂载坐标辅助表!I:I)</f>
        <v>450</v>
      </c>
      <c r="AP29" s="43">
        <f>_xlfn.XLOOKUP(A29,怪物武器挂载坐标辅助表!$A:$A,怪物武器挂载坐标辅助表!J:J)</f>
        <v>-180</v>
      </c>
      <c r="AQ29" s="43">
        <f>怪物武器挂载坐标辅助表!$M$2</f>
        <v>600</v>
      </c>
      <c r="AR29" s="43">
        <f>_xlfn.XLOOKUP(A29,怪物武器挂载坐标辅助表!$A:$A,怪物武器挂载坐标辅助表!K:K)</f>
        <v>120</v>
      </c>
      <c r="AS29" s="43">
        <f>怪物武器挂载坐标辅助表!$M$3</f>
        <v>300</v>
      </c>
      <c r="AT29" s="43">
        <f>怪物武器挂载坐标辅助表!$M$4</f>
        <v>1400</v>
      </c>
      <c r="AU29" s="43">
        <f>怪物武器挂载坐标辅助表!$M$5</f>
        <v>500</v>
      </c>
    </row>
    <row r="30" spans="1:47">
      <c r="A30" s="31">
        <v>408</v>
      </c>
      <c r="B30" s="31" t="s">
        <v>103</v>
      </c>
      <c r="C30" s="31">
        <v>1</v>
      </c>
      <c r="D30" s="31" t="str" cm="1">
        <f t="array" ref="D30">_xlfn.IFS(C30&lt;3,CONCATENATE("monster_weapon_",A30,"_name"),C30=3,CONCATENATE("player_weapon_",A30,"_name"))</f>
        <v>monster_weapon_408_name</v>
      </c>
      <c r="E30" s="31" t="str" cm="1">
        <f t="array" ref="E30">_xlfn.IFS(C30&lt;3,CONCATENATE("pic_monster_weapon_",A30),C30=3,CONCATENATE("pic_player_weapon_",A30,"_name"))</f>
        <v>pic_monster_weapon_408</v>
      </c>
      <c r="F30" s="31" t="str" cm="1">
        <f t="array" ref="F30">_xlfn.IFS(C30&lt;3,CONCATENATE("monster_weapon_",A30,"_desc"),C30=3,CONCATENATE("player_weapon_",A30,"_desc"))</f>
        <v>monster_weapon_408_desc</v>
      </c>
      <c r="G30" s="31">
        <v>1</v>
      </c>
      <c r="H30" s="31" cm="1">
        <f t="array" ref="H30">_xlfn.IFS(G30=1,40,G30=2,60,G30=3,100)</f>
        <v>40</v>
      </c>
      <c r="I30" s="31" t="str" cm="1">
        <f t="array" ref="I30">_xlfn.IFS(C30&lt;3,CONCATENATE("model_monster_weapon_",A30),C30=3,CONCATENATE("model_player_weapon_",A30,"_name"))</f>
        <v>model_monster_weapon_408</v>
      </c>
      <c r="J30" s="31">
        <f t="shared" si="5"/>
        <v>4</v>
      </c>
      <c r="K30" s="31">
        <v>3</v>
      </c>
      <c r="L30" s="31">
        <f>_xlfn.XLOOKUP(_xlfn.XLOOKUP(A30,[2]怪物武器!$B:$B,[2]怪物武器!$J:$J),[2]怪物武器!$AA:$AA,[2]怪物武器!$AB:$AB)*_xlfn.XLOOKUP(J30,[2]怪物武器!$T:$T,[2]怪物武器!$U:$U)</f>
        <v>9600</v>
      </c>
      <c r="M30" s="31">
        <f>_xlfn.XLOOKUP(_xlfn.XLOOKUP(A30,[2]怪物武器!$B:$B,[2]怪物武器!$K:$K),[2]怪物武器!$AC:$AC,[2]怪物武器!$AD:$AD)*_xlfn.XLOOKUP(J30,[2]怪物武器!$T:$T,[2]怪物武器!$V:$V)</f>
        <v>4000</v>
      </c>
      <c r="N30" s="31">
        <f>_xlfn.XLOOKUP(_xlfn.XLOOKUP(A30,[2]怪物武器!$B:$B,[2]怪物武器!$L:$L),[2]怪物武器!$AE:$AE,[2]怪物武器!$AF:$AF)*_xlfn.XLOOKUP(J30,[2]怪物武器!$T:$T,[2]怪物武器!$W:$W)</f>
        <v>0</v>
      </c>
      <c r="O30" s="31">
        <f>_xlfn.XLOOKUP(_xlfn.XLOOKUP(A30,[2]怪物武器!$B:$B,[2]怪物武器!$P:$P),[2]怪物武器!$AG:$AG,[2]怪物武器!$AH:$AH)*_xlfn.XLOOKUP(J30,[2]怪物武器!$T:$T,[2]怪物武器!$X:$X)</f>
        <v>5100</v>
      </c>
      <c r="P30" s="31" t="s">
        <v>94</v>
      </c>
      <c r="Q30" s="31">
        <v>30408101</v>
      </c>
      <c r="R30" s="36">
        <f>IF(J30&lt;4,_xlfn.XLOOKUP(_xlfn.XLOOKUP(A30,[2]怪物武器!$B:$B,[2]怪物武器!$N:$N),[2]怪物武器!$AI:$AI,[2]怪物武器!$AJ:$AJ),_xlfn.XLOOKUP(_xlfn.XLOOKUP(A30,[2]怪物武器!$B:$B,[2]怪物武器!$N:$N),[2]怪物武器!$AK:$AK,[2]怪物武器!$AL:$AL))*_xlfn.XLOOKUP(J30,[2]怪物武器!$T:$T,[2]怪物武器!$Y:$Y)</f>
        <v>40000</v>
      </c>
      <c r="S30" s="31">
        <f t="shared" si="4"/>
        <v>2970</v>
      </c>
      <c r="T30" s="31">
        <f>ROUNDDOWN((AD30+AE30+AF30*0.75)/U30,3)*10000</f>
        <v>2970</v>
      </c>
      <c r="U30" s="31">
        <f t="shared" si="1"/>
        <v>1380</v>
      </c>
      <c r="AB30" s="31" t="str">
        <f t="shared" si="2"/>
        <v>200;150;80;25;-45;800;1;0;150</v>
      </c>
      <c r="AC30" s="31" t="str">
        <f t="shared" si="3"/>
        <v>-50;20;280;-1100;600;175;300;1400;500</v>
      </c>
      <c r="AD30" s="39">
        <v>200</v>
      </c>
      <c r="AE30" s="39">
        <v>150</v>
      </c>
      <c r="AF30" s="39">
        <v>80</v>
      </c>
      <c r="AG30" s="39">
        <v>25</v>
      </c>
      <c r="AH30" s="39">
        <v>-45</v>
      </c>
      <c r="AI30" s="39">
        <v>800</v>
      </c>
      <c r="AJ30" s="39">
        <v>1</v>
      </c>
      <c r="AK30" s="39">
        <v>0</v>
      </c>
      <c r="AL30" s="39">
        <v>150</v>
      </c>
      <c r="AM30" s="43">
        <f>_xlfn.XLOOKUP(A30,怪物武器挂载坐标辅助表!$A:$A,怪物武器挂载坐标辅助表!G:G)</f>
        <v>-50</v>
      </c>
      <c r="AN30" s="43">
        <f>_xlfn.XLOOKUP(A30,怪物武器挂载坐标辅助表!$A:$A,怪物武器挂载坐标辅助表!H:H)</f>
        <v>20</v>
      </c>
      <c r="AO30" s="43">
        <f>_xlfn.XLOOKUP(A30,怪物武器挂载坐标辅助表!$A:$A,怪物武器挂载坐标辅助表!I:I)</f>
        <v>280</v>
      </c>
      <c r="AP30" s="43">
        <f>_xlfn.XLOOKUP(A30,怪物武器挂载坐标辅助表!$A:$A,怪物武器挂载坐标辅助表!J:J)</f>
        <v>-1100</v>
      </c>
      <c r="AQ30" s="43">
        <f>怪物武器挂载坐标辅助表!$M$2</f>
        <v>600</v>
      </c>
      <c r="AR30" s="43">
        <f>_xlfn.XLOOKUP(A30,怪物武器挂载坐标辅助表!$A:$A,怪物武器挂载坐标辅助表!K:K)</f>
        <v>175</v>
      </c>
      <c r="AS30" s="43">
        <f>怪物武器挂载坐标辅助表!$M$3</f>
        <v>300</v>
      </c>
      <c r="AT30" s="43">
        <f>怪物武器挂载坐标辅助表!$M$4</f>
        <v>1400</v>
      </c>
      <c r="AU30" s="43">
        <f>怪物武器挂载坐标辅助表!$M$5</f>
        <v>500</v>
      </c>
    </row>
    <row r="31" spans="1:47">
      <c r="A31" s="31">
        <v>409</v>
      </c>
      <c r="B31" s="31" t="s">
        <v>104</v>
      </c>
      <c r="C31" s="31">
        <v>1</v>
      </c>
      <c r="D31" s="31" t="str" cm="1">
        <f t="array" ref="D31">_xlfn.IFS(C31&lt;3,CONCATENATE("monster_weapon_",A31,"_name"),C31=3,CONCATENATE("player_weapon_",A31,"_name"))</f>
        <v>monster_weapon_409_name</v>
      </c>
      <c r="E31" s="31" t="str" cm="1">
        <f t="array" ref="E31">_xlfn.IFS(C31&lt;3,CONCATENATE("pic_monster_weapon_",A31),C31=3,CONCATENATE("pic_player_weapon_",A31,"_name"))</f>
        <v>pic_monster_weapon_409</v>
      </c>
      <c r="F31" s="31" t="str" cm="1">
        <f t="array" ref="F31">_xlfn.IFS(C31&lt;3,CONCATENATE("monster_weapon_",A31,"_desc"),C31=3,CONCATENATE("player_weapon_",A31,"_desc"))</f>
        <v>monster_weapon_409_desc</v>
      </c>
      <c r="G31" s="31">
        <v>1</v>
      </c>
      <c r="H31" s="31" cm="1">
        <f t="array" ref="H31">_xlfn.IFS(G31=1,40,G31=2,60,G31=3,100)</f>
        <v>40</v>
      </c>
      <c r="I31" s="31" t="str" cm="1">
        <f t="array" ref="I31">_xlfn.IFS(C31&lt;3,CONCATENATE("model_monster_weapon_",A31),C31=3,CONCATENATE("model_player_weapon_",A31,"_name"))</f>
        <v>model_monster_weapon_409</v>
      </c>
      <c r="J31" s="31">
        <f t="shared" si="5"/>
        <v>4</v>
      </c>
      <c r="K31" s="31">
        <v>2</v>
      </c>
      <c r="L31" s="31">
        <f>_xlfn.XLOOKUP(_xlfn.XLOOKUP(A31,[2]怪物武器!$B:$B,[2]怪物武器!$J:$J),[2]怪物武器!$AA:$AA,[2]怪物武器!$AB:$AB)*_xlfn.XLOOKUP(J31,[2]怪物武器!$T:$T,[2]怪物武器!$U:$U)</f>
        <v>12000</v>
      </c>
      <c r="M31" s="31">
        <f>_xlfn.XLOOKUP(_xlfn.XLOOKUP(A31,[2]怪物武器!$B:$B,[2]怪物武器!$K:$K),[2]怪物武器!$AC:$AC,[2]怪物武器!$AD:$AD)*_xlfn.XLOOKUP(J31,[2]怪物武器!$T:$T,[2]怪物武器!$V:$V)</f>
        <v>3000</v>
      </c>
      <c r="N31" s="31">
        <f>_xlfn.XLOOKUP(_xlfn.XLOOKUP(A31,[2]怪物武器!$B:$B,[2]怪物武器!$L:$L),[2]怪物武器!$AE:$AE,[2]怪物武器!$AF:$AF)*_xlfn.XLOOKUP(J31,[2]怪物武器!$T:$T,[2]怪物武器!$W:$W)</f>
        <v>0</v>
      </c>
      <c r="O31" s="31">
        <f>_xlfn.XLOOKUP(_xlfn.XLOOKUP(A31,[2]怪物武器!$B:$B,[2]怪物武器!$P:$P),[2]怪物武器!$AG:$AG,[2]怪物武器!$AH:$AH)*_xlfn.XLOOKUP(J31,[2]怪物武器!$T:$T,[2]怪物武器!$X:$X)</f>
        <v>11900</v>
      </c>
      <c r="P31" s="31" t="s">
        <v>97</v>
      </c>
      <c r="Q31" s="31">
        <v>30409101</v>
      </c>
      <c r="R31" s="36">
        <f>IF(J31&lt;4,_xlfn.XLOOKUP(_xlfn.XLOOKUP(A31,[2]怪物武器!$B:$B,[2]怪物武器!$N:$N),[2]怪物武器!$AI:$AI,[2]怪物武器!$AJ:$AJ),_xlfn.XLOOKUP(_xlfn.XLOOKUP(A31,[2]怪物武器!$B:$B,[2]怪物武器!$N:$N),[2]怪物武器!$AK:$AK,[2]怪物武器!$AL:$AL))*_xlfn.XLOOKUP(J31,[2]怪物武器!$T:$T,[2]怪物武器!$Y:$Y)</f>
        <v>120000</v>
      </c>
      <c r="S31" s="31">
        <f t="shared" si="4"/>
        <v>5260</v>
      </c>
      <c r="U31" s="31">
        <f t="shared" si="1"/>
        <v>1120</v>
      </c>
      <c r="AB31" s="31" t="str">
        <f t="shared" si="2"/>
        <v>400;160;60;40;-50;100;150;100;400</v>
      </c>
      <c r="AC31" s="31" t="str">
        <f t="shared" si="3"/>
        <v>11;45;580;-100;600;110;300;1400;500</v>
      </c>
      <c r="AD31" s="39">
        <v>400</v>
      </c>
      <c r="AE31" s="39">
        <v>160</v>
      </c>
      <c r="AF31" s="39">
        <v>60</v>
      </c>
      <c r="AG31" s="39">
        <v>40</v>
      </c>
      <c r="AH31" s="39">
        <v>-50</v>
      </c>
      <c r="AI31" s="39">
        <v>100</v>
      </c>
      <c r="AJ31" s="39">
        <v>150</v>
      </c>
      <c r="AK31" s="39">
        <v>100</v>
      </c>
      <c r="AL31" s="39">
        <v>400</v>
      </c>
      <c r="AM31" s="43">
        <f>_xlfn.XLOOKUP(A31,怪物武器挂载坐标辅助表!$A:$A,怪物武器挂载坐标辅助表!G:G)</f>
        <v>11</v>
      </c>
      <c r="AN31" s="43">
        <f>_xlfn.XLOOKUP(A31,怪物武器挂载坐标辅助表!$A:$A,怪物武器挂载坐标辅助表!H:H)</f>
        <v>45</v>
      </c>
      <c r="AO31" s="43">
        <f>_xlfn.XLOOKUP(A31,怪物武器挂载坐标辅助表!$A:$A,怪物武器挂载坐标辅助表!I:I)</f>
        <v>580</v>
      </c>
      <c r="AP31" s="43">
        <f>_xlfn.XLOOKUP(A31,怪物武器挂载坐标辅助表!$A:$A,怪物武器挂载坐标辅助表!J:J)</f>
        <v>-100</v>
      </c>
      <c r="AQ31" s="43">
        <f>怪物武器挂载坐标辅助表!$M$2</f>
        <v>600</v>
      </c>
      <c r="AR31" s="43">
        <f>_xlfn.XLOOKUP(A31,怪物武器挂载坐标辅助表!$A:$A,怪物武器挂载坐标辅助表!K:K)</f>
        <v>110</v>
      </c>
      <c r="AS31" s="43">
        <f>怪物武器挂载坐标辅助表!$M$3</f>
        <v>300</v>
      </c>
      <c r="AT31" s="43">
        <f>怪物武器挂载坐标辅助表!$M$4</f>
        <v>1400</v>
      </c>
      <c r="AU31" s="43">
        <f>怪物武器挂载坐标辅助表!$M$5</f>
        <v>500</v>
      </c>
    </row>
    <row r="32" spans="1:47">
      <c r="A32" s="31">
        <v>501</v>
      </c>
      <c r="B32" s="31" t="s">
        <v>105</v>
      </c>
      <c r="C32" s="31">
        <v>1</v>
      </c>
      <c r="D32" s="31" t="str" cm="1">
        <f t="array" ref="D32">_xlfn.IFS(C32&lt;3,CONCATENATE("monster_weapon_",A32,"_name"),C32=3,CONCATENATE("player_weapon_",A32,"_name"))</f>
        <v>monster_weapon_501_name</v>
      </c>
      <c r="E32" s="31" t="str" cm="1">
        <f t="array" ref="E32">_xlfn.IFS(C32&lt;3,CONCATENATE("pic_monster_weapon_",A32),C32=3,CONCATENATE("pic_player_weapon_",A32,"_name"))</f>
        <v>pic_monster_weapon_501</v>
      </c>
      <c r="F32" s="31" t="str" cm="1">
        <f t="array" ref="F32">_xlfn.IFS(C32&lt;3,CONCATENATE("monster_weapon_",A32,"_desc"),C32=3,CONCATENATE("player_weapon_",A32,"_desc"))</f>
        <v>monster_weapon_501_desc</v>
      </c>
      <c r="G32" s="31">
        <v>1</v>
      </c>
      <c r="H32" s="31" cm="1">
        <f t="array" ref="H32">_xlfn.IFS(G32=1,40,G32=2,60,G32=3,100)</f>
        <v>40</v>
      </c>
      <c r="I32" s="31" t="str" cm="1">
        <f t="array" ref="I32">_xlfn.IFS(C32&lt;3,CONCATENATE("model_monster_weapon_",A32),C32=3,CONCATENATE("model_player_weapon_",A32,"_name"))</f>
        <v>model_monster_weapon_501</v>
      </c>
      <c r="J32" s="31">
        <f t="shared" si="5"/>
        <v>5</v>
      </c>
      <c r="K32" s="31">
        <v>3</v>
      </c>
      <c r="L32" s="31">
        <f>_xlfn.XLOOKUP(_xlfn.XLOOKUP(A32,[2]怪物武器!$B:$B,[2]怪物武器!$J:$J),[2]怪物武器!$AA:$AA,[2]怪物武器!$AB:$AB)*_xlfn.XLOOKUP(J32,[2]怪物武器!$T:$T,[2]怪物武器!$U:$U)</f>
        <v>4000</v>
      </c>
      <c r="M32" s="31">
        <f>_xlfn.XLOOKUP(_xlfn.XLOOKUP(A32,[2]怪物武器!$B:$B,[2]怪物武器!$K:$K),[2]怪物武器!$AC:$AC,[2]怪物武器!$AD:$AD)*_xlfn.XLOOKUP(J32,[2]怪物武器!$T:$T,[2]怪物武器!$V:$V)</f>
        <v>1000</v>
      </c>
      <c r="N32" s="31">
        <f>_xlfn.XLOOKUP(_xlfn.XLOOKUP(A32,[2]怪物武器!$B:$B,[2]怪物武器!$L:$L),[2]怪物武器!$AE:$AE,[2]怪物武器!$AF:$AF)*_xlfn.XLOOKUP(J32,[2]怪物武器!$T:$T,[2]怪物武器!$W:$W)</f>
        <v>5000</v>
      </c>
      <c r="O32" s="31">
        <f>_xlfn.XLOOKUP(_xlfn.XLOOKUP(A32,[2]怪物武器!$B:$B,[2]怪物武器!$P:$P),[2]怪物武器!$AG:$AG,[2]怪物武器!$AH:$AH)*_xlfn.XLOOKUP(J32,[2]怪物武器!$T:$T,[2]怪物武器!$X:$X)</f>
        <v>8500</v>
      </c>
      <c r="P32" s="31" t="s">
        <v>97</v>
      </c>
      <c r="Q32" s="31">
        <v>30501101</v>
      </c>
      <c r="R32" s="36">
        <f>IF(J32&lt;4,_xlfn.XLOOKUP(_xlfn.XLOOKUP(A32,[2]怪物武器!$B:$B,[2]怪物武器!$N:$N),[2]怪物武器!$AI:$AI,[2]怪物武器!$AJ:$AJ),_xlfn.XLOOKUP(_xlfn.XLOOKUP(A32,[2]怪物武器!$B:$B,[2]怪物武器!$N:$N),[2]怪物武器!$AK:$AK,[2]怪物武器!$AL:$AL))*_xlfn.XLOOKUP(J32,[2]怪物武器!$T:$T,[2]怪物武器!$Y:$Y)</f>
        <v>120000</v>
      </c>
      <c r="S32" s="31">
        <f t="shared" si="4"/>
        <v>8090</v>
      </c>
      <c r="T32" s="31">
        <f>ROUNDDOWN((AD32+AE32+AF32+AI32*0.75)/U32,3)*10000</f>
        <v>8090</v>
      </c>
      <c r="U32" s="31">
        <f t="shared" si="1"/>
        <v>1050</v>
      </c>
      <c r="AB32" s="31" t="str">
        <f t="shared" si="2"/>
        <v>150;200;200;50;-20;400;1;0;100</v>
      </c>
      <c r="AC32" s="31" t="str">
        <f t="shared" si="3"/>
        <v>-34;-52;520;-600;600;135;300;1400;500</v>
      </c>
      <c r="AD32" s="39">
        <v>150</v>
      </c>
      <c r="AE32" s="39">
        <v>200</v>
      </c>
      <c r="AF32" s="39">
        <v>200</v>
      </c>
      <c r="AG32" s="39">
        <v>50</v>
      </c>
      <c r="AH32" s="39">
        <v>-20</v>
      </c>
      <c r="AI32" s="39">
        <v>400</v>
      </c>
      <c r="AJ32" s="39">
        <v>1</v>
      </c>
      <c r="AK32" s="39">
        <v>0</v>
      </c>
      <c r="AL32" s="39">
        <v>100</v>
      </c>
      <c r="AM32" s="43">
        <f>_xlfn.XLOOKUP(A32,怪物武器挂载坐标辅助表!$A:$A,怪物武器挂载坐标辅助表!G:G)</f>
        <v>-34</v>
      </c>
      <c r="AN32" s="43">
        <f>_xlfn.XLOOKUP(A32,怪物武器挂载坐标辅助表!$A:$A,怪物武器挂载坐标辅助表!H:H)</f>
        <v>-52</v>
      </c>
      <c r="AO32" s="43">
        <f>_xlfn.XLOOKUP(A32,怪物武器挂载坐标辅助表!$A:$A,怪物武器挂载坐标辅助表!I:I)</f>
        <v>520</v>
      </c>
      <c r="AP32" s="43">
        <f>_xlfn.XLOOKUP(A32,怪物武器挂载坐标辅助表!$A:$A,怪物武器挂载坐标辅助表!J:J)</f>
        <v>-600</v>
      </c>
      <c r="AQ32" s="43">
        <f>怪物武器挂载坐标辅助表!$M$2</f>
        <v>600</v>
      </c>
      <c r="AR32" s="43">
        <f>_xlfn.XLOOKUP(A32,怪物武器挂载坐标辅助表!$A:$A,怪物武器挂载坐标辅助表!K:K)</f>
        <v>135</v>
      </c>
      <c r="AS32" s="43">
        <f>怪物武器挂载坐标辅助表!$M$3</f>
        <v>300</v>
      </c>
      <c r="AT32" s="43">
        <f>怪物武器挂载坐标辅助表!$M$4</f>
        <v>1400</v>
      </c>
      <c r="AU32" s="43">
        <f>怪物武器挂载坐标辅助表!$M$5</f>
        <v>500</v>
      </c>
    </row>
    <row r="33" spans="1:47">
      <c r="A33" s="31">
        <v>502</v>
      </c>
      <c r="B33" s="31" t="s">
        <v>106</v>
      </c>
      <c r="C33" s="31">
        <v>1</v>
      </c>
      <c r="D33" s="31" t="str" cm="1">
        <f t="array" ref="D33">_xlfn.IFS(C33&lt;3,CONCATENATE("monster_weapon_",A33,"_name"),C33=3,CONCATENATE("player_weapon_",A33,"_name"))</f>
        <v>monster_weapon_502_name</v>
      </c>
      <c r="E33" s="31" t="str" cm="1">
        <f t="array" ref="E33">_xlfn.IFS(C33&lt;3,CONCATENATE("pic_monster_weapon_",A33),C33=3,CONCATENATE("pic_player_weapon_",A33,"_name"))</f>
        <v>pic_monster_weapon_502</v>
      </c>
      <c r="F33" s="31" t="str" cm="1">
        <f t="array" ref="F33">_xlfn.IFS(C33&lt;3,CONCATENATE("monster_weapon_",A33,"_desc"),C33=3,CONCATENATE("player_weapon_",A33,"_desc"))</f>
        <v>monster_weapon_502_desc</v>
      </c>
      <c r="G33" s="31">
        <v>1</v>
      </c>
      <c r="H33" s="31" cm="1">
        <f t="array" ref="H33">_xlfn.IFS(G33=1,40,G33=2,60,G33=3,100)</f>
        <v>40</v>
      </c>
      <c r="I33" s="31" t="str" cm="1">
        <f t="array" ref="I33">_xlfn.IFS(C33&lt;3,CONCATENATE("model_monster_weapon_",A33),C33=3,CONCATENATE("model_player_weapon_",A33,"_name"))</f>
        <v>model_monster_weapon_502</v>
      </c>
      <c r="J33" s="31">
        <f t="shared" si="5"/>
        <v>5</v>
      </c>
      <c r="K33" s="31">
        <v>3</v>
      </c>
      <c r="L33" s="31">
        <f>_xlfn.XLOOKUP(_xlfn.XLOOKUP(A33,[2]怪物武器!$B:$B,[2]怪物武器!$J:$J),[2]怪物武器!$AA:$AA,[2]怪物武器!$AB:$AB)*_xlfn.XLOOKUP(J33,[2]怪物武器!$T:$T,[2]怪物武器!$U:$U)</f>
        <v>10000</v>
      </c>
      <c r="M33" s="31">
        <f>_xlfn.XLOOKUP(_xlfn.XLOOKUP(A33,[2]怪物武器!$B:$B,[2]怪物武器!$K:$K),[2]怪物武器!$AC:$AC,[2]怪物武器!$AD:$AD)*_xlfn.XLOOKUP(J33,[2]怪物武器!$T:$T,[2]怪物武器!$V:$V)</f>
        <v>4000</v>
      </c>
      <c r="N33" s="31">
        <f>_xlfn.XLOOKUP(_xlfn.XLOOKUP(A33,[2]怪物武器!$B:$B,[2]怪物武器!$L:$L),[2]怪物武器!$AE:$AE,[2]怪物武器!$AF:$AF)*_xlfn.XLOOKUP(J33,[2]怪物武器!$T:$T,[2]怪物武器!$W:$W)</f>
        <v>5000</v>
      </c>
      <c r="O33" s="31">
        <f>_xlfn.XLOOKUP(_xlfn.XLOOKUP(A33,[2]怪物武器!$B:$B,[2]怪物武器!$P:$P),[2]怪物武器!$AG:$AG,[2]怪物武器!$AH:$AH)*_xlfn.XLOOKUP(J33,[2]怪物武器!$T:$T,[2]怪物武器!$X:$X)</f>
        <v>10200</v>
      </c>
      <c r="P33" s="31" t="s">
        <v>94</v>
      </c>
      <c r="Q33" s="31">
        <v>30502101</v>
      </c>
      <c r="R33" s="36">
        <f>IF(J33&lt;4,_xlfn.XLOOKUP(_xlfn.XLOOKUP(A33,[2]怪物武器!$B:$B,[2]怪物武器!$N:$N),[2]怪物武器!$AI:$AI,[2]怪物武器!$AJ:$AJ),_xlfn.XLOOKUP(_xlfn.XLOOKUP(A33,[2]怪物武器!$B:$B,[2]怪物武器!$N:$N),[2]怪物武器!$AK:$AK,[2]怪物武器!$AL:$AL))*_xlfn.XLOOKUP(J33,[2]怪物武器!$T:$T,[2]怪物武器!$Y:$Y)</f>
        <v>40000</v>
      </c>
      <c r="S33" s="31">
        <f t="shared" si="4"/>
        <v>610</v>
      </c>
      <c r="U33" s="31">
        <f t="shared" si="1"/>
        <v>650</v>
      </c>
      <c r="AB33" s="31" t="str">
        <f t="shared" si="2"/>
        <v>80;20;300;35;-30;50;1;0;200</v>
      </c>
      <c r="AC33" s="31" t="str">
        <f t="shared" si="3"/>
        <v>47;-19;400;0;600;100;300;1400;500</v>
      </c>
      <c r="AD33" s="39">
        <v>80</v>
      </c>
      <c r="AE33" s="39">
        <v>20</v>
      </c>
      <c r="AF33" s="39">
        <v>300</v>
      </c>
      <c r="AG33" s="39">
        <v>35</v>
      </c>
      <c r="AH33" s="39">
        <v>-30</v>
      </c>
      <c r="AI33" s="39">
        <v>50</v>
      </c>
      <c r="AJ33" s="39">
        <v>1</v>
      </c>
      <c r="AK33" s="39">
        <v>0</v>
      </c>
      <c r="AL33" s="39">
        <v>200</v>
      </c>
      <c r="AM33" s="43">
        <f>_xlfn.XLOOKUP(A33,怪物武器挂载坐标辅助表!$A:$A,怪物武器挂载坐标辅助表!G:G)</f>
        <v>47</v>
      </c>
      <c r="AN33" s="43">
        <f>_xlfn.XLOOKUP(A33,怪物武器挂载坐标辅助表!$A:$A,怪物武器挂载坐标辅助表!H:H)</f>
        <v>-19</v>
      </c>
      <c r="AO33" s="43">
        <f>_xlfn.XLOOKUP(A33,怪物武器挂载坐标辅助表!$A:$A,怪物武器挂载坐标辅助表!I:I)</f>
        <v>400</v>
      </c>
      <c r="AP33" s="43">
        <f>_xlfn.XLOOKUP(A33,怪物武器挂载坐标辅助表!$A:$A,怪物武器挂载坐标辅助表!J:J)</f>
        <v>0</v>
      </c>
      <c r="AQ33" s="43">
        <f>怪物武器挂载坐标辅助表!$M$2</f>
        <v>600</v>
      </c>
      <c r="AR33" s="43">
        <f>_xlfn.XLOOKUP(A33,怪物武器挂载坐标辅助表!$A:$A,怪物武器挂载坐标辅助表!K:K)</f>
        <v>100</v>
      </c>
      <c r="AS33" s="43">
        <f>怪物武器挂载坐标辅助表!$M$3</f>
        <v>300</v>
      </c>
      <c r="AT33" s="43">
        <f>怪物武器挂载坐标辅助表!$M$4</f>
        <v>1400</v>
      </c>
      <c r="AU33" s="43">
        <f>怪物武器挂载坐标辅助表!$M$5</f>
        <v>500</v>
      </c>
    </row>
    <row r="34" spans="1:47">
      <c r="A34" s="31">
        <v>503</v>
      </c>
      <c r="B34" s="31" t="s">
        <v>107</v>
      </c>
      <c r="C34" s="31">
        <v>1</v>
      </c>
      <c r="D34" s="31" t="str" cm="1">
        <f t="array" ref="D34">_xlfn.IFS(C34&lt;3,CONCATENATE("monster_weapon_",A34,"_name"),C34=3,CONCATENATE("player_weapon_",A34,"_name"))</f>
        <v>monster_weapon_503_name</v>
      </c>
      <c r="E34" s="31" t="str" cm="1">
        <f t="array" ref="E34">_xlfn.IFS(C34&lt;3,CONCATENATE("pic_monster_weapon_",A34),C34=3,CONCATENATE("pic_player_weapon_",A34,"_name"))</f>
        <v>pic_monster_weapon_503</v>
      </c>
      <c r="F34" s="31" t="str" cm="1">
        <f t="array" ref="F34">_xlfn.IFS(C34&lt;3,CONCATENATE("monster_weapon_",A34,"_desc"),C34=3,CONCATENATE("player_weapon_",A34,"_desc"))</f>
        <v>monster_weapon_503_desc</v>
      </c>
      <c r="G34" s="31">
        <v>2</v>
      </c>
      <c r="H34" s="31" cm="1">
        <f t="array" ref="H34">_xlfn.IFS(G34=1,40,G34=2,60,G34=3,100)</f>
        <v>60</v>
      </c>
      <c r="I34" s="31" t="str" cm="1">
        <f t="array" ref="I34">_xlfn.IFS(C34&lt;3,CONCATENATE("model_monster_weapon_",A34),C34=3,CONCATENATE("model_player_weapon_",A34,"_name"))</f>
        <v>model_monster_weapon_503</v>
      </c>
      <c r="J34" s="31">
        <f t="shared" si="5"/>
        <v>5</v>
      </c>
      <c r="K34" s="31">
        <v>3</v>
      </c>
      <c r="L34" s="31">
        <f>_xlfn.XLOOKUP(_xlfn.XLOOKUP(A34,[2]怪物武器!$B:$B,[2]怪物武器!$J:$J),[2]怪物武器!$AA:$AA,[2]怪物武器!$AB:$AB)*_xlfn.XLOOKUP(J34,[2]怪物武器!$T:$T,[2]怪物武器!$U:$U)</f>
        <v>15000</v>
      </c>
      <c r="M34" s="31">
        <f>_xlfn.XLOOKUP(_xlfn.XLOOKUP(A34,[2]怪物武器!$B:$B,[2]怪物武器!$K:$K),[2]怪物武器!$AC:$AC,[2]怪物武器!$AD:$AD)*_xlfn.XLOOKUP(J34,[2]怪物武器!$T:$T,[2]怪物武器!$V:$V)</f>
        <v>4000</v>
      </c>
      <c r="N34" s="31">
        <f>_xlfn.XLOOKUP(_xlfn.XLOOKUP(A34,[2]怪物武器!$B:$B,[2]怪物武器!$L:$L),[2]怪物武器!$AE:$AE,[2]怪物武器!$AF:$AF)*_xlfn.XLOOKUP(J34,[2]怪物武器!$T:$T,[2]怪物武器!$W:$W)</f>
        <v>5000</v>
      </c>
      <c r="O34" s="31">
        <f>_xlfn.XLOOKUP(_xlfn.XLOOKUP(A34,[2]怪物武器!$B:$B,[2]怪物武器!$P:$P),[2]怪物武器!$AG:$AG,[2]怪物武器!$AH:$AH)*_xlfn.XLOOKUP(J34,[2]怪物武器!$T:$T,[2]怪物武器!$X:$X)</f>
        <v>8500</v>
      </c>
      <c r="P34" s="31" t="s">
        <v>94</v>
      </c>
      <c r="Q34" s="31">
        <v>30503101</v>
      </c>
      <c r="R34" s="36">
        <f>IF(J34&lt;4,_xlfn.XLOOKUP(_xlfn.XLOOKUP(A34,[2]怪物武器!$B:$B,[2]怪物武器!$N:$N),[2]怪物武器!$AI:$AI,[2]怪物武器!$AJ:$AJ),_xlfn.XLOOKUP(_xlfn.XLOOKUP(A34,[2]怪物武器!$B:$B,[2]怪物武器!$N:$N),[2]怪物武器!$AK:$AK,[2]怪物武器!$AL:$AL))*_xlfn.XLOOKUP(J34,[2]怪物武器!$T:$T,[2]怪物武器!$Y:$Y)</f>
        <v>40000</v>
      </c>
      <c r="S34" s="31">
        <f t="shared" si="4"/>
        <v>380</v>
      </c>
      <c r="U34" s="31">
        <f t="shared" si="1"/>
        <v>650</v>
      </c>
      <c r="AB34" s="31" t="str">
        <f t="shared" si="2"/>
        <v>50;50;200;25;-35;50;1;0;300</v>
      </c>
      <c r="AC34" s="31" t="str">
        <f t="shared" si="3"/>
        <v>86;109;712;50;600;115;300;1400;500</v>
      </c>
      <c r="AD34" s="39">
        <v>50</v>
      </c>
      <c r="AE34" s="39">
        <v>50</v>
      </c>
      <c r="AF34" s="39">
        <v>200</v>
      </c>
      <c r="AG34" s="39">
        <v>25</v>
      </c>
      <c r="AH34" s="39">
        <v>-35</v>
      </c>
      <c r="AI34" s="39">
        <v>50</v>
      </c>
      <c r="AJ34" s="39">
        <v>1</v>
      </c>
      <c r="AK34" s="39">
        <v>0</v>
      </c>
      <c r="AL34" s="39">
        <v>300</v>
      </c>
      <c r="AM34" s="43">
        <f>_xlfn.XLOOKUP(A34,怪物武器挂载坐标辅助表!$A:$A,怪物武器挂载坐标辅助表!G:G)</f>
        <v>86</v>
      </c>
      <c r="AN34" s="43">
        <f>_xlfn.XLOOKUP(A34,怪物武器挂载坐标辅助表!$A:$A,怪物武器挂载坐标辅助表!H:H)</f>
        <v>109</v>
      </c>
      <c r="AO34" s="43">
        <f>_xlfn.XLOOKUP(A34,怪物武器挂载坐标辅助表!$A:$A,怪物武器挂载坐标辅助表!I:I)</f>
        <v>712</v>
      </c>
      <c r="AP34" s="43">
        <f>_xlfn.XLOOKUP(A34,怪物武器挂载坐标辅助表!$A:$A,怪物武器挂载坐标辅助表!J:J)</f>
        <v>50</v>
      </c>
      <c r="AQ34" s="43">
        <f>怪物武器挂载坐标辅助表!$M$2</f>
        <v>600</v>
      </c>
      <c r="AR34" s="43">
        <f>_xlfn.XLOOKUP(A34,怪物武器挂载坐标辅助表!$A:$A,怪物武器挂载坐标辅助表!K:K)</f>
        <v>115</v>
      </c>
      <c r="AS34" s="43">
        <f>怪物武器挂载坐标辅助表!$M$3</f>
        <v>300</v>
      </c>
      <c r="AT34" s="43">
        <f>怪物武器挂载坐标辅助表!$M$4</f>
        <v>1400</v>
      </c>
      <c r="AU34" s="43">
        <f>怪物武器挂载坐标辅助表!$M$5</f>
        <v>500</v>
      </c>
    </row>
    <row r="35" spans="1:47">
      <c r="A35" s="31">
        <v>504</v>
      </c>
      <c r="B35" s="31" t="s">
        <v>108</v>
      </c>
      <c r="C35" s="31">
        <v>1</v>
      </c>
      <c r="D35" s="31" t="str" cm="1">
        <f t="array" ref="D35">_xlfn.IFS(C35&lt;3,CONCATENATE("monster_weapon_",A35,"_name"),C35=3,CONCATENATE("player_weapon_",A35,"_name"))</f>
        <v>monster_weapon_504_name</v>
      </c>
      <c r="E35" s="31" t="str" cm="1">
        <f t="array" ref="E35">_xlfn.IFS(C35&lt;3,CONCATENATE("pic_monster_weapon_",A35),C35=3,CONCATENATE("pic_player_weapon_",A35,"_name"))</f>
        <v>pic_monster_weapon_504</v>
      </c>
      <c r="F35" s="31" t="str" cm="1">
        <f t="array" ref="F35">_xlfn.IFS(C35&lt;3,CONCATENATE("monster_weapon_",A35,"_desc"),C35=3,CONCATENATE("player_weapon_",A35,"_desc"))</f>
        <v>monster_weapon_504_desc</v>
      </c>
      <c r="G35" s="31">
        <v>2</v>
      </c>
      <c r="H35" s="31" cm="1">
        <f t="array" ref="H35">_xlfn.IFS(G35=1,40,G35=2,60,G35=3,100)</f>
        <v>60</v>
      </c>
      <c r="I35" s="31" t="str" cm="1">
        <f t="array" ref="I35">_xlfn.IFS(C35&lt;3,CONCATENATE("model_monster_weapon_",A35),C35=3,CONCATENATE("model_player_weapon_",A35,"_name"))</f>
        <v>model_monster_weapon_504</v>
      </c>
      <c r="J35" s="31">
        <f t="shared" si="5"/>
        <v>5</v>
      </c>
      <c r="K35" s="31">
        <v>3</v>
      </c>
      <c r="L35" s="31">
        <f>_xlfn.XLOOKUP(_xlfn.XLOOKUP(A35,[2]怪物武器!$B:$B,[2]怪物武器!$J:$J),[2]怪物武器!$AA:$AA,[2]怪物武器!$AB:$AB)*_xlfn.XLOOKUP(J35,[2]怪物武器!$T:$T,[2]怪物武器!$U:$U)</f>
        <v>10000</v>
      </c>
      <c r="M35" s="31">
        <f>_xlfn.XLOOKUP(_xlfn.XLOOKUP(A35,[2]怪物武器!$B:$B,[2]怪物武器!$K:$K),[2]怪物武器!$AC:$AC,[2]怪物武器!$AD:$AD)*_xlfn.XLOOKUP(J35,[2]怪物武器!$T:$T,[2]怪物武器!$V:$V)</f>
        <v>5000</v>
      </c>
      <c r="N35" s="31">
        <f>_xlfn.XLOOKUP(_xlfn.XLOOKUP(A35,[2]怪物武器!$B:$B,[2]怪物武器!$L:$L),[2]怪物武器!$AE:$AE,[2]怪物武器!$AF:$AF)*_xlfn.XLOOKUP(J35,[2]怪物武器!$T:$T,[2]怪物武器!$W:$W)</f>
        <v>6250</v>
      </c>
      <c r="O35" s="31">
        <f>_xlfn.XLOOKUP(_xlfn.XLOOKUP(A35,[2]怪物武器!$B:$B,[2]怪物武器!$P:$P),[2]怪物武器!$AG:$AG,[2]怪物武器!$AH:$AH)*_xlfn.XLOOKUP(J35,[2]怪物武器!$T:$T,[2]怪物武器!$X:$X)</f>
        <v>6800</v>
      </c>
      <c r="P35" s="31" t="s">
        <v>97</v>
      </c>
      <c r="Q35" s="31">
        <v>30504101</v>
      </c>
      <c r="R35" s="36">
        <f>IF(J35&lt;4,_xlfn.XLOOKUP(_xlfn.XLOOKUP(A35,[2]怪物武器!$B:$B,[2]怪物武器!$N:$N),[2]怪物武器!$AI:$AI,[2]怪物武器!$AJ:$AJ),_xlfn.XLOOKUP(_xlfn.XLOOKUP(A35,[2]怪物武器!$B:$B,[2]怪物武器!$N:$N),[2]怪物武器!$AK:$AK,[2]怪物武器!$AL:$AL))*_xlfn.XLOOKUP(J35,[2]怪物武器!$T:$T,[2]怪物武器!$Y:$Y)</f>
        <v>120000</v>
      </c>
      <c r="S35" s="31">
        <f t="shared" si="4"/>
        <v>370</v>
      </c>
      <c r="U35" s="31">
        <f t="shared" si="1"/>
        <v>1080</v>
      </c>
      <c r="AB35" s="31" t="str">
        <f t="shared" si="2"/>
        <v>80;200;350;30;-40;100;1;0;350</v>
      </c>
      <c r="AC35" s="31" t="str">
        <f t="shared" si="3"/>
        <v>16;111;550;-15;600;120;300;1400;500</v>
      </c>
      <c r="AD35" s="39">
        <v>80</v>
      </c>
      <c r="AE35" s="39">
        <v>200</v>
      </c>
      <c r="AF35" s="39">
        <v>350</v>
      </c>
      <c r="AG35" s="39">
        <v>30</v>
      </c>
      <c r="AH35" s="39">
        <v>-40</v>
      </c>
      <c r="AI35" s="39">
        <v>100</v>
      </c>
      <c r="AJ35" s="39">
        <v>1</v>
      </c>
      <c r="AK35" s="39">
        <v>0</v>
      </c>
      <c r="AL35" s="39">
        <v>350</v>
      </c>
      <c r="AM35" s="43">
        <f>_xlfn.XLOOKUP(A35,怪物武器挂载坐标辅助表!$A:$A,怪物武器挂载坐标辅助表!G:G)</f>
        <v>16</v>
      </c>
      <c r="AN35" s="43">
        <f>_xlfn.XLOOKUP(A35,怪物武器挂载坐标辅助表!$A:$A,怪物武器挂载坐标辅助表!H:H)</f>
        <v>111</v>
      </c>
      <c r="AO35" s="43">
        <f>_xlfn.XLOOKUP(A35,怪物武器挂载坐标辅助表!$A:$A,怪物武器挂载坐标辅助表!I:I)</f>
        <v>550</v>
      </c>
      <c r="AP35" s="43">
        <f>_xlfn.XLOOKUP(A35,怪物武器挂载坐标辅助表!$A:$A,怪物武器挂载坐标辅助表!J:J)</f>
        <v>-15</v>
      </c>
      <c r="AQ35" s="43">
        <f>怪物武器挂载坐标辅助表!$M$2</f>
        <v>600</v>
      </c>
      <c r="AR35" s="43">
        <f>_xlfn.XLOOKUP(A35,怪物武器挂载坐标辅助表!$A:$A,怪物武器挂载坐标辅助表!K:K)</f>
        <v>120</v>
      </c>
      <c r="AS35" s="43">
        <f>怪物武器挂载坐标辅助表!$M$3</f>
        <v>300</v>
      </c>
      <c r="AT35" s="43">
        <f>怪物武器挂载坐标辅助表!$M$4</f>
        <v>1400</v>
      </c>
      <c r="AU35" s="43">
        <f>怪物武器挂载坐标辅助表!$M$5</f>
        <v>500</v>
      </c>
    </row>
    <row r="36" spans="1:47">
      <c r="A36" s="31">
        <v>505</v>
      </c>
      <c r="B36" s="31" t="s">
        <v>109</v>
      </c>
      <c r="C36" s="31">
        <v>1</v>
      </c>
      <c r="D36" s="31" t="str" cm="1">
        <f t="array" ref="D36">_xlfn.IFS(C36&lt;3,CONCATENATE("monster_weapon_",A36,"_name"),C36=3,CONCATENATE("player_weapon_",A36,"_name"))</f>
        <v>monster_weapon_505_name</v>
      </c>
      <c r="E36" s="31" t="str" cm="1">
        <f t="array" ref="E36">_xlfn.IFS(C36&lt;3,CONCATENATE("pic_monster_weapon_",A36),C36=3,CONCATENATE("pic_player_weapon_",A36,"_name"))</f>
        <v>pic_monster_weapon_505</v>
      </c>
      <c r="F36" s="31" t="str" cm="1">
        <f t="array" ref="F36">_xlfn.IFS(C36&lt;3,CONCATENATE("monster_weapon_",A36,"_desc"),C36=3,CONCATENATE("player_weapon_",A36,"_desc"))</f>
        <v>monster_weapon_505_desc</v>
      </c>
      <c r="G36" s="31">
        <v>2</v>
      </c>
      <c r="H36" s="31" cm="1">
        <f t="array" ref="H36">_xlfn.IFS(G36=1,40,G36=2,60,G36=3,100)</f>
        <v>60</v>
      </c>
      <c r="I36" s="31" t="str" cm="1">
        <f t="array" ref="I36">_xlfn.IFS(C36&lt;3,CONCATENATE("model_monster_weapon_",A36),C36=3,CONCATENATE("model_player_weapon_",A36,"_name"))</f>
        <v>model_monster_weapon_505</v>
      </c>
      <c r="J36" s="31">
        <f t="shared" si="5"/>
        <v>5</v>
      </c>
      <c r="K36" s="31">
        <v>3</v>
      </c>
      <c r="L36" s="31">
        <f>_xlfn.XLOOKUP(_xlfn.XLOOKUP(A36,[2]怪物武器!$B:$B,[2]怪物武器!$J:$J),[2]怪物武器!$AA:$AA,[2]怪物武器!$AB:$AB)*_xlfn.XLOOKUP(J36,[2]怪物武器!$T:$T,[2]怪物武器!$U:$U)</f>
        <v>20000</v>
      </c>
      <c r="M36" s="31">
        <f>_xlfn.XLOOKUP(_xlfn.XLOOKUP(A36,[2]怪物武器!$B:$B,[2]怪物武器!$K:$K),[2]怪物武器!$AC:$AC,[2]怪物武器!$AD:$AD)*_xlfn.XLOOKUP(J36,[2]怪物武器!$T:$T,[2]怪物武器!$V:$V)</f>
        <v>5000</v>
      </c>
      <c r="N36" s="31">
        <f>_xlfn.XLOOKUP(_xlfn.XLOOKUP(A36,[2]怪物武器!$B:$B,[2]怪物武器!$L:$L),[2]怪物武器!$AE:$AE,[2]怪物武器!$AF:$AF)*_xlfn.XLOOKUP(J36,[2]怪物武器!$T:$T,[2]怪物武器!$W:$W)</f>
        <v>6250</v>
      </c>
      <c r="O36" s="31">
        <f>_xlfn.XLOOKUP(_xlfn.XLOOKUP(A36,[2]怪物武器!$B:$B,[2]怪物武器!$P:$P),[2]怪物武器!$AG:$AG,[2]怪物武器!$AH:$AH)*_xlfn.XLOOKUP(J36,[2]怪物武器!$T:$T,[2]怪物武器!$X:$X)</f>
        <v>5100</v>
      </c>
      <c r="P36" s="31" t="s">
        <v>97</v>
      </c>
      <c r="Q36" s="31">
        <v>30505101</v>
      </c>
      <c r="R36" s="36">
        <f>IF(J36&lt;4,_xlfn.XLOOKUP(_xlfn.XLOOKUP(A36,[2]怪物武器!$B:$B,[2]怪物武器!$N:$N),[2]怪物武器!$AI:$AI,[2]怪物武器!$AJ:$AJ),_xlfn.XLOOKUP(_xlfn.XLOOKUP(A36,[2]怪物武器!$B:$B,[2]怪物武器!$N:$N),[2]怪物武器!$AK:$AK,[2]怪物武器!$AL:$AL))*_xlfn.XLOOKUP(J36,[2]怪物武器!$T:$T,[2]怪物武器!$Y:$Y)</f>
        <v>120000</v>
      </c>
      <c r="S36" s="31">
        <f t="shared" si="4"/>
        <v>280</v>
      </c>
      <c r="U36" s="31">
        <f t="shared" si="1"/>
        <v>1380</v>
      </c>
      <c r="AB36" s="31" t="str">
        <f t="shared" si="2"/>
        <v>80;200;450;30;-22;50;1;0;600</v>
      </c>
      <c r="AC36" s="31" t="str">
        <f t="shared" si="3"/>
        <v>100;128;705;-39;600;120;300;1400;500</v>
      </c>
      <c r="AD36" s="39">
        <v>80</v>
      </c>
      <c r="AE36" s="39">
        <v>200</v>
      </c>
      <c r="AF36" s="39">
        <v>450</v>
      </c>
      <c r="AG36" s="39">
        <v>30</v>
      </c>
      <c r="AH36" s="39">
        <v>-22</v>
      </c>
      <c r="AI36" s="39">
        <v>50</v>
      </c>
      <c r="AJ36" s="39">
        <v>1</v>
      </c>
      <c r="AK36" s="39">
        <v>0</v>
      </c>
      <c r="AL36" s="39">
        <v>600</v>
      </c>
      <c r="AM36" s="43">
        <f>_xlfn.XLOOKUP(A36,怪物武器挂载坐标辅助表!$A:$A,怪物武器挂载坐标辅助表!G:G)</f>
        <v>100</v>
      </c>
      <c r="AN36" s="43">
        <f>_xlfn.XLOOKUP(A36,怪物武器挂载坐标辅助表!$A:$A,怪物武器挂载坐标辅助表!H:H)</f>
        <v>128</v>
      </c>
      <c r="AO36" s="43">
        <f>_xlfn.XLOOKUP(A36,怪物武器挂载坐标辅助表!$A:$A,怪物武器挂载坐标辅助表!I:I)</f>
        <v>705</v>
      </c>
      <c r="AP36" s="43">
        <f>_xlfn.XLOOKUP(A36,怪物武器挂载坐标辅助表!$A:$A,怪物武器挂载坐标辅助表!J:J)</f>
        <v>-39</v>
      </c>
      <c r="AQ36" s="43">
        <f>怪物武器挂载坐标辅助表!$M$2</f>
        <v>600</v>
      </c>
      <c r="AR36" s="43">
        <f>_xlfn.XLOOKUP(A36,怪物武器挂载坐标辅助表!$A:$A,怪物武器挂载坐标辅助表!K:K)</f>
        <v>120</v>
      </c>
      <c r="AS36" s="43">
        <f>怪物武器挂载坐标辅助表!$M$3</f>
        <v>300</v>
      </c>
      <c r="AT36" s="43">
        <f>怪物武器挂载坐标辅助表!$M$4</f>
        <v>1400</v>
      </c>
      <c r="AU36" s="43">
        <f>怪物武器挂载坐标辅助表!$M$5</f>
        <v>500</v>
      </c>
    </row>
    <row r="37" spans="1:47">
      <c r="A37" s="31">
        <v>506</v>
      </c>
      <c r="B37" s="31" t="s">
        <v>110</v>
      </c>
      <c r="C37" s="31">
        <v>1</v>
      </c>
      <c r="D37" s="31" t="str" cm="1">
        <f t="array" ref="D37">_xlfn.IFS(C37&lt;3,CONCATENATE("monster_weapon_",A37,"_name"),C37=3,CONCATENATE("player_weapon_",A37,"_name"))</f>
        <v>monster_weapon_506_name</v>
      </c>
      <c r="E37" s="31" t="str" cm="1">
        <f t="array" ref="E37">_xlfn.IFS(C37&lt;3,CONCATENATE("pic_monster_weapon_",A37),C37=3,CONCATENATE("pic_player_weapon_",A37,"_name"))</f>
        <v>pic_monster_weapon_506</v>
      </c>
      <c r="F37" s="31" t="str" cm="1">
        <f t="array" ref="F37">_xlfn.IFS(C37&lt;3,CONCATENATE("monster_weapon_",A37,"_desc"),C37=3,CONCATENATE("player_weapon_",A37,"_desc"))</f>
        <v>monster_weapon_506_desc</v>
      </c>
      <c r="G37" s="31">
        <v>1</v>
      </c>
      <c r="H37" s="31" cm="1">
        <f t="array" ref="H37">_xlfn.IFS(G37=1,40,G37=2,60,G37=3,100)</f>
        <v>40</v>
      </c>
      <c r="I37" s="31" t="str" cm="1">
        <f t="array" ref="I37">_xlfn.IFS(C37&lt;3,CONCATENATE("model_monster_weapon_",A37),C37=3,CONCATENATE("model_player_weapon_",A37,"_name"))</f>
        <v>model_monster_weapon_506</v>
      </c>
      <c r="J37" s="31">
        <f t="shared" si="5"/>
        <v>5</v>
      </c>
      <c r="K37" s="31">
        <v>2</v>
      </c>
      <c r="L37" s="31">
        <f>_xlfn.XLOOKUP(_xlfn.XLOOKUP(A37,[2]怪物武器!$B:$B,[2]怪物武器!$J:$J),[2]怪物武器!$AA:$AA,[2]怪物武器!$AB:$AB)*_xlfn.XLOOKUP(J37,[2]怪物武器!$T:$T,[2]怪物武器!$U:$U)</f>
        <v>10000</v>
      </c>
      <c r="M37" s="31">
        <f>_xlfn.XLOOKUP(_xlfn.XLOOKUP(A37,[2]怪物武器!$B:$B,[2]怪物武器!$K:$K),[2]怪物武器!$AC:$AC,[2]怪物武器!$AD:$AD)*_xlfn.XLOOKUP(J37,[2]怪物武器!$T:$T,[2]怪物武器!$V:$V)</f>
        <v>4000</v>
      </c>
      <c r="N37" s="31">
        <f>_xlfn.XLOOKUP(_xlfn.XLOOKUP(A37,[2]怪物武器!$B:$B,[2]怪物武器!$L:$L),[2]怪物武器!$AE:$AE,[2]怪物武器!$AF:$AF)*_xlfn.XLOOKUP(J37,[2]怪物武器!$T:$T,[2]怪物武器!$W:$W)</f>
        <v>6250</v>
      </c>
      <c r="O37" s="31">
        <f>_xlfn.XLOOKUP(_xlfn.XLOOKUP(A37,[2]怪物武器!$B:$B,[2]怪物武器!$P:$P),[2]怪物武器!$AG:$AG,[2]怪物武器!$AH:$AH)*_xlfn.XLOOKUP(J37,[2]怪物武器!$T:$T,[2]怪物武器!$X:$X)</f>
        <v>10200</v>
      </c>
      <c r="P37" s="31" t="s">
        <v>100</v>
      </c>
      <c r="Q37" s="31">
        <v>30506101</v>
      </c>
      <c r="R37" s="36">
        <f>IF(J37&lt;4,_xlfn.XLOOKUP(_xlfn.XLOOKUP(A37,[2]怪物武器!$B:$B,[2]怪物武器!$N:$N),[2]怪物武器!$AI:$AI,[2]怪物武器!$AJ:$AJ),_xlfn.XLOOKUP(_xlfn.XLOOKUP(A37,[2]怪物武器!$B:$B,[2]怪物武器!$N:$N),[2]怪物武器!$AK:$AK,[2]怪物武器!$AL:$AL))*_xlfn.XLOOKUP(J37,[2]怪物武器!$T:$T,[2]怪物武器!$Y:$Y)</f>
        <v>80000</v>
      </c>
      <c r="S37" s="31">
        <f t="shared" si="4"/>
        <v>5260</v>
      </c>
      <c r="U37" s="31">
        <f t="shared" si="1"/>
        <v>1120</v>
      </c>
      <c r="AB37" s="31" t="str">
        <f t="shared" si="2"/>
        <v>400;160;60;40;-50;100;150;100;400</v>
      </c>
      <c r="AC37" s="31" t="str">
        <f t="shared" si="3"/>
        <v>-184;73;460;-200;600;115;300;1400;500</v>
      </c>
      <c r="AD37" s="39">
        <v>400</v>
      </c>
      <c r="AE37" s="39">
        <v>160</v>
      </c>
      <c r="AF37" s="39">
        <v>60</v>
      </c>
      <c r="AG37" s="39">
        <v>40</v>
      </c>
      <c r="AH37" s="39">
        <v>-50</v>
      </c>
      <c r="AI37" s="39">
        <v>100</v>
      </c>
      <c r="AJ37" s="39">
        <v>150</v>
      </c>
      <c r="AK37" s="39">
        <v>100</v>
      </c>
      <c r="AL37" s="39">
        <v>400</v>
      </c>
      <c r="AM37" s="43">
        <f>_xlfn.XLOOKUP(A37,怪物武器挂载坐标辅助表!$A:$A,怪物武器挂载坐标辅助表!G:G)</f>
        <v>-184</v>
      </c>
      <c r="AN37" s="43">
        <f>_xlfn.XLOOKUP(A37,怪物武器挂载坐标辅助表!$A:$A,怪物武器挂载坐标辅助表!H:H)</f>
        <v>73</v>
      </c>
      <c r="AO37" s="43">
        <f>_xlfn.XLOOKUP(A37,怪物武器挂载坐标辅助表!$A:$A,怪物武器挂载坐标辅助表!I:I)</f>
        <v>460</v>
      </c>
      <c r="AP37" s="43">
        <f>_xlfn.XLOOKUP(A37,怪物武器挂载坐标辅助表!$A:$A,怪物武器挂载坐标辅助表!J:J)</f>
        <v>-200</v>
      </c>
      <c r="AQ37" s="43">
        <f>怪物武器挂载坐标辅助表!$M$2</f>
        <v>600</v>
      </c>
      <c r="AR37" s="43">
        <f>_xlfn.XLOOKUP(A37,怪物武器挂载坐标辅助表!$A:$A,怪物武器挂载坐标辅助表!K:K)</f>
        <v>115</v>
      </c>
      <c r="AS37" s="43">
        <f>怪物武器挂载坐标辅助表!$M$3</f>
        <v>300</v>
      </c>
      <c r="AT37" s="43">
        <f>怪物武器挂载坐标辅助表!$M$4</f>
        <v>1400</v>
      </c>
      <c r="AU37" s="43">
        <f>怪物武器挂载坐标辅助表!$M$5</f>
        <v>500</v>
      </c>
    </row>
    <row r="38" spans="1:47">
      <c r="A38" s="31">
        <v>507</v>
      </c>
      <c r="B38" s="31" t="s">
        <v>111</v>
      </c>
      <c r="C38" s="31">
        <v>1</v>
      </c>
      <c r="D38" s="31" t="str" cm="1">
        <f t="array" ref="D38">_xlfn.IFS(C38&lt;3,CONCATENATE("monster_weapon_",A38,"_name"),C38=3,CONCATENATE("player_weapon_",A38,"_name"))</f>
        <v>monster_weapon_507_name</v>
      </c>
      <c r="E38" s="31" t="str" cm="1">
        <f t="array" ref="E38">_xlfn.IFS(C38&lt;3,CONCATENATE("pic_monster_weapon_",A38),C38=3,CONCATENATE("pic_player_weapon_",A38,"_name"))</f>
        <v>pic_monster_weapon_507</v>
      </c>
      <c r="F38" s="31" t="str" cm="1">
        <f t="array" ref="F38">_xlfn.IFS(C38&lt;3,CONCATENATE("monster_weapon_",A38,"_desc"),C38=3,CONCATENATE("player_weapon_",A38,"_desc"))</f>
        <v>monster_weapon_507_desc</v>
      </c>
      <c r="G38" s="31">
        <v>1</v>
      </c>
      <c r="H38" s="31" cm="1">
        <f t="array" ref="H38">_xlfn.IFS(G38=1,40,G38=2,60,G38=3,100)</f>
        <v>40</v>
      </c>
      <c r="I38" s="31" t="str" cm="1">
        <f t="array" ref="I38">_xlfn.IFS(C38&lt;3,CONCATENATE("model_monster_weapon_",A38),C38=3,CONCATENATE("model_player_weapon_",A38,"_name"))</f>
        <v>model_monster_weapon_507</v>
      </c>
      <c r="J38" s="31">
        <f t="shared" si="5"/>
        <v>5</v>
      </c>
      <c r="K38" s="31">
        <v>2</v>
      </c>
      <c r="L38" s="31">
        <f>_xlfn.XLOOKUP(_xlfn.XLOOKUP(A38,[2]怪物武器!$B:$B,[2]怪物武器!$J:$J),[2]怪物武器!$AA:$AA,[2]怪物武器!$AB:$AB)*_xlfn.XLOOKUP(J38,[2]怪物武器!$T:$T,[2]怪物武器!$U:$U)</f>
        <v>10000</v>
      </c>
      <c r="M38" s="31">
        <f>_xlfn.XLOOKUP(_xlfn.XLOOKUP(A38,[2]怪物武器!$B:$B,[2]怪物武器!$K:$K),[2]怪物武器!$AC:$AC,[2]怪物武器!$AD:$AD)*_xlfn.XLOOKUP(J38,[2]怪物武器!$T:$T,[2]怪物武器!$V:$V)</f>
        <v>4000</v>
      </c>
      <c r="N38" s="31">
        <f>_xlfn.XLOOKUP(_xlfn.XLOOKUP(A38,[2]怪物武器!$B:$B,[2]怪物武器!$L:$L),[2]怪物武器!$AE:$AE,[2]怪物武器!$AF:$AF)*_xlfn.XLOOKUP(J38,[2]怪物武器!$T:$T,[2]怪物武器!$W:$W)</f>
        <v>6250</v>
      </c>
      <c r="O38" s="31">
        <f>_xlfn.XLOOKUP(_xlfn.XLOOKUP(A38,[2]怪物武器!$B:$B,[2]怪物武器!$P:$P),[2]怪物武器!$AG:$AG,[2]怪物武器!$AH:$AH)*_xlfn.XLOOKUP(J38,[2]怪物武器!$T:$T,[2]怪物武器!$X:$X)</f>
        <v>10200</v>
      </c>
      <c r="P38" s="31" t="s">
        <v>100</v>
      </c>
      <c r="Q38" s="31">
        <v>30506101</v>
      </c>
      <c r="R38" s="36">
        <f>IF(J38&lt;4,_xlfn.XLOOKUP(_xlfn.XLOOKUP(A38,[2]怪物武器!$B:$B,[2]怪物武器!$N:$N),[2]怪物武器!$AI:$AI,[2]怪物武器!$AJ:$AJ),_xlfn.XLOOKUP(_xlfn.XLOOKUP(A38,[2]怪物武器!$B:$B,[2]怪物武器!$N:$N),[2]怪物武器!$AK:$AK,[2]怪物武器!$AL:$AL))*_xlfn.XLOOKUP(J38,[2]怪物武器!$T:$T,[2]怪物武器!$Y:$Y)</f>
        <v>80000</v>
      </c>
      <c r="S38" s="31">
        <f t="shared" si="4"/>
        <v>5000</v>
      </c>
      <c r="U38" s="31">
        <f t="shared" si="1"/>
        <v>1460</v>
      </c>
      <c r="AB38" s="31" t="str">
        <f t="shared" si="2"/>
        <v>500;200;60;50;-40;350;250;200;500</v>
      </c>
      <c r="AC38" s="31" t="str">
        <f t="shared" si="3"/>
        <v>-62;89;505;-180;600;120;300;1400;500</v>
      </c>
      <c r="AD38" s="39">
        <v>500</v>
      </c>
      <c r="AE38" s="39">
        <v>200</v>
      </c>
      <c r="AF38" s="39">
        <v>60</v>
      </c>
      <c r="AG38" s="39">
        <v>50</v>
      </c>
      <c r="AH38" s="39">
        <v>-40</v>
      </c>
      <c r="AI38" s="39">
        <v>350</v>
      </c>
      <c r="AJ38" s="39">
        <v>250</v>
      </c>
      <c r="AK38" s="39">
        <v>200</v>
      </c>
      <c r="AL38" s="39">
        <v>500</v>
      </c>
      <c r="AM38" s="43">
        <f>_xlfn.XLOOKUP(A38,怪物武器挂载坐标辅助表!$A:$A,怪物武器挂载坐标辅助表!G:G)</f>
        <v>-62</v>
      </c>
      <c r="AN38" s="43">
        <f>_xlfn.XLOOKUP(A38,怪物武器挂载坐标辅助表!$A:$A,怪物武器挂载坐标辅助表!H:H)</f>
        <v>89</v>
      </c>
      <c r="AO38" s="43">
        <f>_xlfn.XLOOKUP(A38,怪物武器挂载坐标辅助表!$A:$A,怪物武器挂载坐标辅助表!I:I)</f>
        <v>505</v>
      </c>
      <c r="AP38" s="43">
        <f>_xlfn.XLOOKUP(A38,怪物武器挂载坐标辅助表!$A:$A,怪物武器挂载坐标辅助表!J:J)</f>
        <v>-180</v>
      </c>
      <c r="AQ38" s="43">
        <f>怪物武器挂载坐标辅助表!$M$2</f>
        <v>600</v>
      </c>
      <c r="AR38" s="43">
        <f>_xlfn.XLOOKUP(A38,怪物武器挂载坐标辅助表!$A:$A,怪物武器挂载坐标辅助表!K:K)</f>
        <v>120</v>
      </c>
      <c r="AS38" s="43">
        <f>怪物武器挂载坐标辅助表!$M$3</f>
        <v>300</v>
      </c>
      <c r="AT38" s="43">
        <f>怪物武器挂载坐标辅助表!$M$4</f>
        <v>1400</v>
      </c>
      <c r="AU38" s="43">
        <f>怪物武器挂载坐标辅助表!$M$5</f>
        <v>500</v>
      </c>
    </row>
    <row r="39" spans="1:16">
      <c r="A39" s="31">
        <v>1501</v>
      </c>
      <c r="B39" s="31" t="s">
        <v>112</v>
      </c>
      <c r="C39" s="31">
        <v>2</v>
      </c>
      <c r="D39" s="31" t="str" cm="1">
        <f t="array" ref="D39">_xlfn.IFS(C39&lt;3,CONCATENATE("monster_weapon_",A39,"_name"),C39=3,CONCATENATE("player_weapon_",A39,"_name"))</f>
        <v>monster_weapon_1501_name</v>
      </c>
      <c r="E39" s="31" t="str" cm="1">
        <f t="array" ref="E39">_xlfn.IFS(C39&lt;3,CONCATENATE("pic_monster_weapon_",A39),C39=3,CONCATENATE("pic_player_weapon_",A39,"_name"))</f>
        <v>pic_monster_weapon_1501</v>
      </c>
      <c r="F39" s="31" t="str" cm="1">
        <f t="array" ref="F39">_xlfn.IFS(C39&lt;3,CONCATENATE("monster_weapon_",A39,"_desc"),C39=3,CONCATENATE("player_weapon_",A39,"_desc"))</f>
        <v>monster_weapon_1501_desc</v>
      </c>
      <c r="G39" s="31">
        <v>3</v>
      </c>
      <c r="H39" s="31" cm="1">
        <f t="array" ref="H39">_xlfn.IFS(G39=1,40,G39=2,60,G39=3,100)</f>
        <v>100</v>
      </c>
      <c r="L39" s="31">
        <v>10000</v>
      </c>
      <c r="N39" s="31">
        <v>10000</v>
      </c>
      <c r="O39" s="31">
        <v>10000</v>
      </c>
      <c r="P39" s="31" t="s">
        <v>77</v>
      </c>
    </row>
    <row r="40" spans="1:16">
      <c r="A40" s="31">
        <v>1502</v>
      </c>
      <c r="B40" s="31" t="s">
        <v>113</v>
      </c>
      <c r="C40" s="31">
        <v>2</v>
      </c>
      <c r="D40" s="31" t="str" cm="1">
        <f t="array" ref="D40">_xlfn.IFS(C40&lt;3,CONCATENATE("monster_weapon_",A40,"_name"),C40=3,CONCATENATE("player_weapon_",A40,"_name"))</f>
        <v>monster_weapon_1502_name</v>
      </c>
      <c r="E40" s="31" t="str" cm="1">
        <f t="array" ref="E40">_xlfn.IFS(C40&lt;3,CONCATENATE("pic_monster_weapon_",A40),C40=3,CONCATENATE("pic_player_weapon_",A40,"_name"))</f>
        <v>pic_monster_weapon_1502</v>
      </c>
      <c r="F40" s="31" t="str" cm="1">
        <f t="array" ref="F40">_xlfn.IFS(C40&lt;3,CONCATENATE("monster_weapon_",A40,"_desc"),C40=3,CONCATENATE("player_weapon_",A40,"_desc"))</f>
        <v>monster_weapon_1502_desc</v>
      </c>
      <c r="G40" s="31">
        <v>3</v>
      </c>
      <c r="H40" s="31" cm="1">
        <f t="array" ref="H40">_xlfn.IFS(G40=1,40,G40=2,60,G40=3,100)</f>
        <v>100</v>
      </c>
      <c r="L40" s="31">
        <v>10000</v>
      </c>
      <c r="N40" s="31">
        <v>10000</v>
      </c>
      <c r="O40" s="31">
        <v>10000</v>
      </c>
      <c r="P40" s="31" t="s">
        <v>94</v>
      </c>
    </row>
    <row r="41" spans="1:16">
      <c r="A41" s="31">
        <v>1503</v>
      </c>
      <c r="B41" s="31" t="s">
        <v>114</v>
      </c>
      <c r="C41" s="31">
        <v>2</v>
      </c>
      <c r="D41" s="31" t="str" cm="1">
        <f t="array" ref="D41">_xlfn.IFS(C41&lt;3,CONCATENATE("monster_weapon_",A41,"_name"),C41=3,CONCATENATE("player_weapon_",A41,"_name"))</f>
        <v>monster_weapon_1503_name</v>
      </c>
      <c r="E41" s="31" t="str" cm="1">
        <f t="array" ref="E41">_xlfn.IFS(C41&lt;3,CONCATENATE("pic_monster_weapon_",A41),C41=3,CONCATENATE("pic_player_weapon_",A41,"_name"))</f>
        <v>pic_monster_weapon_1503</v>
      </c>
      <c r="F41" s="31" t="str" cm="1">
        <f t="array" ref="F41">_xlfn.IFS(C41&lt;3,CONCATENATE("monster_weapon_",A41,"_desc"),C41=3,CONCATENATE("player_weapon_",A41,"_desc"))</f>
        <v>monster_weapon_1503_desc</v>
      </c>
      <c r="G41" s="31">
        <v>3</v>
      </c>
      <c r="H41" s="31" cm="1">
        <f t="array" ref="H41">_xlfn.IFS(G41=1,40,G41=2,60,G41=3,100)</f>
        <v>100</v>
      </c>
      <c r="L41" s="31">
        <v>10000</v>
      </c>
      <c r="N41" s="31">
        <v>10000</v>
      </c>
      <c r="O41" s="31">
        <v>10000</v>
      </c>
      <c r="P41" s="31" t="s">
        <v>94</v>
      </c>
    </row>
    <row r="42" spans="1:16">
      <c r="A42" s="31">
        <v>2501</v>
      </c>
      <c r="B42" s="31" t="s">
        <v>115</v>
      </c>
      <c r="C42" s="31">
        <v>2</v>
      </c>
      <c r="D42" s="31" t="str" cm="1">
        <f t="array" ref="D42">_xlfn.IFS(C42&lt;3,CONCATENATE("monster_weapon_",A42,"_name"),C42=3,CONCATENATE("player_weapon_",A42,"_name"))</f>
        <v>monster_weapon_2501_name</v>
      </c>
      <c r="E42" s="31" t="str" cm="1">
        <f t="array" ref="E42">_xlfn.IFS(C42&lt;3,CONCATENATE("pic_monster_weapon_",A42),C42=3,CONCATENATE("pic_player_weapon_",A42,"_name"))</f>
        <v>pic_monster_weapon_2501</v>
      </c>
      <c r="F42" s="31" t="str" cm="1">
        <f t="array" ref="F42">_xlfn.IFS(C42&lt;3,CONCATENATE("monster_weapon_",A42,"_desc"),C42=3,CONCATENATE("player_weapon_",A42,"_desc"))</f>
        <v>monster_weapon_2501_desc</v>
      </c>
      <c r="G42" s="31">
        <v>3</v>
      </c>
      <c r="H42" s="31" cm="1">
        <f t="array" ref="H42">_xlfn.IFS(G42=1,40,G42=2,60,G42=3,100)</f>
        <v>100</v>
      </c>
      <c r="L42" s="31">
        <v>10000</v>
      </c>
      <c r="N42" s="31">
        <v>10000</v>
      </c>
      <c r="O42" s="31">
        <v>10000</v>
      </c>
      <c r="P42" s="31" t="s">
        <v>94</v>
      </c>
    </row>
    <row r="43" spans="1:16">
      <c r="A43" s="31">
        <v>2502</v>
      </c>
      <c r="B43" s="31" t="s">
        <v>116</v>
      </c>
      <c r="C43" s="31">
        <v>2</v>
      </c>
      <c r="D43" s="31" t="str" cm="1">
        <f t="array" ref="D43">_xlfn.IFS(C43&lt;3,CONCATENATE("monster_weapon_",A43,"_name"),C43=3,CONCATENATE("player_weapon_",A43,"_name"))</f>
        <v>monster_weapon_2502_name</v>
      </c>
      <c r="E43" s="31" t="str" cm="1">
        <f t="array" ref="E43">_xlfn.IFS(C43&lt;3,CONCATENATE("pic_monster_weapon_",A43),C43=3,CONCATENATE("pic_player_weapon_",A43,"_name"))</f>
        <v>pic_monster_weapon_2502</v>
      </c>
      <c r="F43" s="31" t="str" cm="1">
        <f t="array" ref="F43">_xlfn.IFS(C43&lt;3,CONCATENATE("monster_weapon_",A43,"_desc"),C43=3,CONCATENATE("player_weapon_",A43,"_desc"))</f>
        <v>monster_weapon_2502_desc</v>
      </c>
      <c r="G43" s="31">
        <v>3</v>
      </c>
      <c r="H43" s="31" cm="1">
        <f t="array" ref="H43">_xlfn.IFS(G43=1,40,G43=2,60,G43=3,100)</f>
        <v>100</v>
      </c>
      <c r="L43" s="31">
        <v>10000</v>
      </c>
      <c r="N43" s="31">
        <v>10000</v>
      </c>
      <c r="O43" s="31">
        <v>10000</v>
      </c>
      <c r="P43" s="31" t="s">
        <v>77</v>
      </c>
    </row>
    <row r="44" spans="1:16">
      <c r="A44" s="31">
        <v>2503</v>
      </c>
      <c r="B44" s="31" t="s">
        <v>117</v>
      </c>
      <c r="C44" s="31">
        <v>2</v>
      </c>
      <c r="D44" s="31" t="str" cm="1">
        <f t="array" ref="D44">_xlfn.IFS(C44&lt;3,CONCATENATE("monster_weapon_",A44,"_name"),C44=3,CONCATENATE("player_weapon_",A44,"_name"))</f>
        <v>monster_weapon_2503_name</v>
      </c>
      <c r="E44" s="31" t="str" cm="1">
        <f t="array" ref="E44">_xlfn.IFS(C44&lt;3,CONCATENATE("pic_monster_weapon_",A44),C44=3,CONCATENATE("pic_player_weapon_",A44,"_name"))</f>
        <v>pic_monster_weapon_2503</v>
      </c>
      <c r="F44" s="31" t="str" cm="1">
        <f t="array" ref="F44">_xlfn.IFS(C44&lt;3,CONCATENATE("monster_weapon_",A44,"_desc"),C44=3,CONCATENATE("player_weapon_",A44,"_desc"))</f>
        <v>monster_weapon_2503_desc</v>
      </c>
      <c r="G44" s="31">
        <v>3</v>
      </c>
      <c r="H44" s="31" cm="1">
        <f t="array" ref="H44">_xlfn.IFS(G44=1,40,G44=2,60,G44=3,100)</f>
        <v>100</v>
      </c>
      <c r="L44" s="31">
        <v>10000</v>
      </c>
      <c r="N44" s="31">
        <v>10000</v>
      </c>
      <c r="O44" s="31">
        <v>10000</v>
      </c>
      <c r="P44" s="31" t="s">
        <v>77</v>
      </c>
    </row>
    <row r="45" spans="1:16">
      <c r="A45" s="35"/>
      <c r="B45" s="35" t="s">
        <v>118</v>
      </c>
      <c r="C45" s="31">
        <v>2</v>
      </c>
      <c r="D45" s="31" t="str" cm="1">
        <f t="array" ref="D45">_xlfn.IFS(C45&lt;3,CONCATENATE("monster_weapon_",A45,"_name"),C45=3,CONCATENATE("player_weapon_",A45,"_name"))</f>
        <v>monster_weapon__name</v>
      </c>
      <c r="E45" s="31" t="str" cm="1">
        <f t="array" ref="E45">_xlfn.IFS(C45&lt;3,CONCATENATE("pic_monster_weapon_",A45),C45=3,CONCATENATE("pic_player_weapon_",A45,"_name"))</f>
        <v>pic_monster_weapon_</v>
      </c>
      <c r="F45" s="31" t="str" cm="1">
        <f t="array" ref="F45">_xlfn.IFS(C45&lt;3,CONCATENATE("monster_weapon_",A45,"_desc"),C45=3,CONCATENATE("player_weapon_",A45,"_desc"))</f>
        <v>monster_weapon__desc</v>
      </c>
      <c r="G45" s="31">
        <v>3</v>
      </c>
      <c r="H45" s="31" cm="1">
        <f t="array" ref="H45">_xlfn.IFS(G45=1,40,G45=2,60,G45=3,100)</f>
        <v>100</v>
      </c>
      <c r="L45" s="31">
        <v>10000</v>
      </c>
      <c r="N45" s="31">
        <v>10000</v>
      </c>
      <c r="O45" s="31">
        <v>10000</v>
      </c>
      <c r="P45" s="31" t="s">
        <v>77</v>
      </c>
    </row>
    <row r="46" spans="1:16">
      <c r="A46" s="35"/>
      <c r="B46" s="35" t="s">
        <v>119</v>
      </c>
      <c r="C46" s="31">
        <v>2</v>
      </c>
      <c r="D46" s="31" t="str" cm="1">
        <f t="array" ref="D46">_xlfn.IFS(C46&lt;3,CONCATENATE("monster_weapon_",A46,"_name"),C46=3,CONCATENATE("player_weapon_",A46,"_name"))</f>
        <v>monster_weapon__name</v>
      </c>
      <c r="E46" s="31" t="str" cm="1">
        <f t="array" ref="E46">_xlfn.IFS(C46&lt;3,CONCATENATE("pic_monster_weapon_",A46),C46=3,CONCATENATE("pic_player_weapon_",A46,"_name"))</f>
        <v>pic_monster_weapon_</v>
      </c>
      <c r="F46" s="31" t="str" cm="1">
        <f t="array" ref="F46">_xlfn.IFS(C46&lt;3,CONCATENATE("monster_weapon_",A46,"_desc"),C46=3,CONCATENATE("player_weapon_",A46,"_desc"))</f>
        <v>monster_weapon__desc</v>
      </c>
      <c r="G46" s="31">
        <v>3</v>
      </c>
      <c r="H46" s="31" cm="1">
        <f t="array" ref="H46">_xlfn.IFS(G46=1,40,G46=2,60,G46=3,100)</f>
        <v>100</v>
      </c>
      <c r="L46" s="31">
        <v>10000</v>
      </c>
      <c r="N46" s="31">
        <v>10000</v>
      </c>
      <c r="O46" s="31">
        <v>10000</v>
      </c>
      <c r="P46" s="31" t="s">
        <v>77</v>
      </c>
    </row>
    <row r="47" spans="1:45">
      <c r="A47" s="35"/>
      <c r="B47" s="35" t="s">
        <v>120</v>
      </c>
      <c r="C47" s="31">
        <v>2</v>
      </c>
      <c r="D47" s="31" t="str" cm="1">
        <f t="array" ref="D47">_xlfn.IFS(C47&lt;3,CONCATENATE("monster_weapon_",A47,"_name"),C47=3,CONCATENATE("player_weapon_",A47,"_name"))</f>
        <v>monster_weapon__name</v>
      </c>
      <c r="E47" s="31" t="str" cm="1">
        <f t="array" ref="E47">_xlfn.IFS(C47&lt;3,CONCATENATE("pic_monster_weapon_",A47),C47=3,CONCATENATE("pic_player_weapon_",A47,"_name"))</f>
        <v>pic_monster_weapon_</v>
      </c>
      <c r="F47" s="31" t="str" cm="1">
        <f t="array" ref="F47">_xlfn.IFS(C47&lt;3,CONCATENATE("monster_weapon_",A47,"_desc"),C47=3,CONCATENATE("player_weapon_",A47,"_desc"))</f>
        <v>monster_weapon__desc</v>
      </c>
      <c r="G47" s="31">
        <v>3</v>
      </c>
      <c r="H47" s="31" cm="1">
        <f t="array" ref="H47">_xlfn.IFS(G47=1,40,G47=2,60,G47=3,100)</f>
        <v>100</v>
      </c>
      <c r="L47" s="31">
        <v>10000</v>
      </c>
      <c r="N47" s="31">
        <v>10000</v>
      </c>
      <c r="O47" s="31">
        <v>10000</v>
      </c>
      <c r="P47" s="31" t="s">
        <v>77</v>
      </c>
      <c r="AM47" s="31"/>
      <c r="AN47" s="31"/>
      <c r="AO47" s="31"/>
      <c r="AP47" s="31"/>
      <c r="AQ47" s="31"/>
      <c r="AR47" s="31"/>
      <c r="AS47" s="31"/>
    </row>
    <row r="48" spans="1:16">
      <c r="A48" s="31">
        <v>4501</v>
      </c>
      <c r="B48" s="31" t="s">
        <v>121</v>
      </c>
      <c r="C48" s="31">
        <v>2</v>
      </c>
      <c r="D48" s="31" t="str" cm="1">
        <f t="array" ref="D48">_xlfn.IFS(C48&lt;3,CONCATENATE("monster_weapon_",A48,"_name"),C48=3,CONCATENATE("player_weapon_",A48,"_name"))</f>
        <v>monster_weapon_4501_name</v>
      </c>
      <c r="E48" s="31" t="str" cm="1">
        <f t="array" ref="E48">_xlfn.IFS(C48&lt;3,CONCATENATE("pic_monster_weapon_",A48),C48=3,CONCATENATE("pic_player_weapon_",A48,"_name"))</f>
        <v>pic_monster_weapon_4501</v>
      </c>
      <c r="F48" s="31" t="str" cm="1">
        <f t="array" ref="F48">_xlfn.IFS(C48&lt;3,CONCATENATE("monster_weapon_",A48,"_desc"),C48=3,CONCATENATE("player_weapon_",A48,"_desc"))</f>
        <v>monster_weapon_4501_desc</v>
      </c>
      <c r="G48" s="31">
        <v>3</v>
      </c>
      <c r="H48" s="31" cm="1">
        <f t="array" ref="H48">_xlfn.IFS(G48=1,40,G48=2,60,G48=3,100)</f>
        <v>100</v>
      </c>
      <c r="L48" s="31">
        <v>10000</v>
      </c>
      <c r="N48" s="31">
        <v>10000</v>
      </c>
      <c r="O48" s="31">
        <v>10000</v>
      </c>
      <c r="P48" s="31" t="s">
        <v>77</v>
      </c>
    </row>
    <row r="49" spans="1:16">
      <c r="A49" s="31">
        <v>4502</v>
      </c>
      <c r="B49" s="31" t="s">
        <v>122</v>
      </c>
      <c r="C49" s="31">
        <v>2</v>
      </c>
      <c r="D49" s="31" t="str" cm="1">
        <f t="array" ref="D49">_xlfn.IFS(C49&lt;3,CONCATENATE("monster_weapon_",A49,"_name"),C49=3,CONCATENATE("player_weapon_",A49,"_name"))</f>
        <v>monster_weapon_4502_name</v>
      </c>
      <c r="E49" s="31" t="str" cm="1">
        <f t="array" ref="E49">_xlfn.IFS(C49&lt;3,CONCATENATE("pic_monster_weapon_",A49),C49=3,CONCATENATE("pic_player_weapon_",A49,"_name"))</f>
        <v>pic_monster_weapon_4502</v>
      </c>
      <c r="F49" s="31" t="str" cm="1">
        <f t="array" ref="F49">_xlfn.IFS(C49&lt;3,CONCATENATE("monster_weapon_",A49,"_desc"),C49=3,CONCATENATE("player_weapon_",A49,"_desc"))</f>
        <v>monster_weapon_4502_desc</v>
      </c>
      <c r="G49" s="31">
        <v>3</v>
      </c>
      <c r="H49" s="31" cm="1">
        <f t="array" ref="H49">_xlfn.IFS(G49=1,40,G49=2,60,G49=3,100)</f>
        <v>100</v>
      </c>
      <c r="L49" s="31">
        <v>10000</v>
      </c>
      <c r="N49" s="31">
        <v>10000</v>
      </c>
      <c r="O49" s="31">
        <v>10000</v>
      </c>
      <c r="P49" s="31" t="s">
        <v>77</v>
      </c>
    </row>
    <row r="50" spans="1:45">
      <c r="A50" s="31">
        <v>4503</v>
      </c>
      <c r="B50" s="31" t="s">
        <v>123</v>
      </c>
      <c r="C50" s="31">
        <v>2</v>
      </c>
      <c r="D50" s="31" t="str" cm="1">
        <f t="array" ref="D50">_xlfn.IFS(C50&lt;3,CONCATENATE("monster_weapon_",A50,"_name"),C50=3,CONCATENATE("player_weapon_",A50,"_name"))</f>
        <v>monster_weapon_4503_name</v>
      </c>
      <c r="E50" s="31" t="str" cm="1">
        <f t="array" ref="E50">_xlfn.IFS(C50&lt;3,CONCATENATE("pic_monster_weapon_",A50),C50=3,CONCATENATE("pic_player_weapon_",A50,"_name"))</f>
        <v>pic_monster_weapon_4503</v>
      </c>
      <c r="F50" s="31" t="str" cm="1">
        <f t="array" ref="F50">_xlfn.IFS(C50&lt;3,CONCATENATE("monster_weapon_",A50,"_desc"),C50=3,CONCATENATE("player_weapon_",A50,"_desc"))</f>
        <v>monster_weapon_4503_desc</v>
      </c>
      <c r="G50" s="31">
        <v>3</v>
      </c>
      <c r="H50" s="31" cm="1">
        <f t="array" ref="H50">_xlfn.IFS(G50=1,40,G50=2,60,G50=3,100)</f>
        <v>100</v>
      </c>
      <c r="L50" s="31">
        <v>10000</v>
      </c>
      <c r="N50" s="31">
        <v>10000</v>
      </c>
      <c r="O50" s="31">
        <v>10000</v>
      </c>
      <c r="P50" s="31" t="s">
        <v>94</v>
      </c>
      <c r="AM50" s="31"/>
      <c r="AN50" s="31"/>
      <c r="AO50" s="31"/>
      <c r="AP50" s="31"/>
      <c r="AQ50" s="31"/>
      <c r="AR50" s="31"/>
      <c r="AS50" s="31"/>
    </row>
    <row r="51" spans="1:16">
      <c r="A51" s="35"/>
      <c r="B51" s="35" t="s">
        <v>124</v>
      </c>
      <c r="C51" s="31">
        <v>2</v>
      </c>
      <c r="D51" s="31" t="str" cm="1">
        <f t="array" ref="D51">_xlfn.IFS(C51&lt;3,CONCATENATE("monster_weapon_",A51,"_name"),C51=3,CONCATENATE("player_weapon_",A51,"_name"))</f>
        <v>monster_weapon__name</v>
      </c>
      <c r="E51" s="31" t="str" cm="1">
        <f t="array" ref="E51">_xlfn.IFS(C51&lt;3,CONCATENATE("pic_monster_weapon_",A51),C51=3,CONCATENATE("pic_player_weapon_",A51,"_name"))</f>
        <v>pic_monster_weapon_</v>
      </c>
      <c r="F51" s="31" t="str" cm="1">
        <f t="array" ref="F51">_xlfn.IFS(C51&lt;3,CONCATENATE("monster_weapon_",A51,"_desc"),C51=3,CONCATENATE("player_weapon_",A51,"_desc"))</f>
        <v>monster_weapon__desc</v>
      </c>
      <c r="G51" s="31">
        <v>3</v>
      </c>
      <c r="H51" s="31" cm="1">
        <f t="array" ref="H51">_xlfn.IFS(G51=1,40,G51=2,60,G51=3,100)</f>
        <v>100</v>
      </c>
      <c r="L51" s="31">
        <v>10000</v>
      </c>
      <c r="N51" s="31">
        <v>10000</v>
      </c>
      <c r="O51" s="31">
        <v>10000</v>
      </c>
      <c r="P51" s="31" t="s">
        <v>77</v>
      </c>
    </row>
    <row r="52" spans="1:16">
      <c r="A52" s="35"/>
      <c r="B52" s="35" t="s">
        <v>125</v>
      </c>
      <c r="C52" s="31">
        <v>2</v>
      </c>
      <c r="D52" s="31" t="str" cm="1">
        <f t="array" ref="D52">_xlfn.IFS(C52&lt;3,CONCATENATE("monster_weapon_",A52,"_name"),C52=3,CONCATENATE("player_weapon_",A52,"_name"))</f>
        <v>monster_weapon__name</v>
      </c>
      <c r="E52" s="31" t="str" cm="1">
        <f t="array" ref="E52">_xlfn.IFS(C52&lt;3,CONCATENATE("pic_monster_weapon_",A52),C52=3,CONCATENATE("pic_player_weapon_",A52,"_name"))</f>
        <v>pic_monster_weapon_</v>
      </c>
      <c r="F52" s="31" t="str" cm="1">
        <f t="array" ref="F52">_xlfn.IFS(C52&lt;3,CONCATENATE("monster_weapon_",A52,"_desc"),C52=3,CONCATENATE("player_weapon_",A52,"_desc"))</f>
        <v>monster_weapon__desc</v>
      </c>
      <c r="G52" s="31">
        <v>3</v>
      </c>
      <c r="H52" s="31" cm="1">
        <f t="array" ref="H52">_xlfn.IFS(G52=1,40,G52=2,60,G52=3,100)</f>
        <v>100</v>
      </c>
      <c r="L52" s="31">
        <v>10000</v>
      </c>
      <c r="N52" s="31">
        <v>10000</v>
      </c>
      <c r="O52" s="31">
        <v>10000</v>
      </c>
      <c r="P52" s="31" t="s">
        <v>77</v>
      </c>
    </row>
    <row r="53" spans="1:45">
      <c r="A53" s="35"/>
      <c r="B53" s="35" t="s">
        <v>126</v>
      </c>
      <c r="C53" s="31">
        <v>2</v>
      </c>
      <c r="D53" s="31" t="str" cm="1">
        <f t="array" ref="D53">_xlfn.IFS(C53&lt;3,CONCATENATE("monster_weapon_",A53,"_name"),C53=3,CONCATENATE("player_weapon_",A53,"_name"))</f>
        <v>monster_weapon__name</v>
      </c>
      <c r="E53" s="31" t="str" cm="1">
        <f t="array" ref="E53">_xlfn.IFS(C53&lt;3,CONCATENATE("pic_monster_weapon_",A53),C53=3,CONCATENATE("pic_player_weapon_",A53,"_name"))</f>
        <v>pic_monster_weapon_</v>
      </c>
      <c r="F53" s="31" t="str" cm="1">
        <f t="array" ref="F53">_xlfn.IFS(C53&lt;3,CONCATENATE("monster_weapon_",A53,"_desc"),C53=3,CONCATENATE("player_weapon_",A53,"_desc"))</f>
        <v>monster_weapon__desc</v>
      </c>
      <c r="G53" s="31">
        <v>3</v>
      </c>
      <c r="H53" s="31" cm="1">
        <f t="array" ref="H53">_xlfn.IFS(G53=1,40,G53=2,60,G53=3,100)</f>
        <v>100</v>
      </c>
      <c r="L53" s="31">
        <v>10000</v>
      </c>
      <c r="N53" s="31">
        <v>10000</v>
      </c>
      <c r="O53" s="31">
        <v>10000</v>
      </c>
      <c r="P53" s="31" t="s">
        <v>77</v>
      </c>
      <c r="AM53" s="31"/>
      <c r="AN53" s="31"/>
      <c r="AO53" s="31"/>
      <c r="AP53" s="31"/>
      <c r="AQ53" s="31"/>
      <c r="AR53" s="31"/>
      <c r="AS53" s="31"/>
    </row>
    <row r="54" spans="1:45">
      <c r="A54" s="31">
        <v>10101</v>
      </c>
      <c r="B54" s="31" t="s">
        <v>127</v>
      </c>
      <c r="C54" s="31">
        <v>3</v>
      </c>
      <c r="D54" s="31" t="s">
        <v>128</v>
      </c>
      <c r="E54" s="31" t="str" cm="1">
        <f t="array" ref="E54">_xlfn.IFS(C54&lt;3,CONCATENATE("pic_monster_weapon_",A54),C54=3,CONCATENATE("pic_player_weapon_",A54))</f>
        <v>pic_player_weapon_10101</v>
      </c>
      <c r="F54" s="31" t="s">
        <v>129</v>
      </c>
      <c r="G54" s="31">
        <v>1</v>
      </c>
      <c r="H54" s="31" cm="1">
        <f t="array" ref="H54">_xlfn.IFS(G54=1,40,G54=2,60,G54=3,100)</f>
        <v>40</v>
      </c>
      <c r="I54" s="31" t="str" cm="1">
        <f t="array" ref="I54">_xlfn.IFS(C54&lt;3,CONCATENATE("model_monster_weapon_",A54),C54=3,CONCATENATE("model_player_weapon_",A54))</f>
        <v>model_player_weapon_10101</v>
      </c>
      <c r="K54" s="31">
        <v>2</v>
      </c>
      <c r="O54" s="31"/>
      <c r="P54" s="31"/>
      <c r="V54" s="31">
        <f t="shared" ref="V54:V59" si="6">_xlfn.IFS(K54=1,AD54+AE54+AI54+AL54,K54=2,AD54+AE54+AF54+AK54+AL54,K54=3,(AD54+AE54+AF54+AI54+AL54)*AJ54+(AJ54-1)*AK54)</f>
        <v>600</v>
      </c>
      <c r="W54" s="31">
        <f>AD54+AE54+AF54</f>
        <v>315</v>
      </c>
      <c r="X54" s="31">
        <v>0</v>
      </c>
      <c r="Y54" s="31">
        <f>AK54+AL54</f>
        <v>285</v>
      </c>
      <c r="Z54" s="31">
        <v>1500</v>
      </c>
      <c r="AA54" s="31">
        <f t="shared" ref="AA54:AA59" si="7">AN54+AO54+AR54</f>
        <v>770</v>
      </c>
      <c r="AB54" s="31" t="str">
        <f t="shared" ref="AB54:AB75" si="8">CONCATENATE(IF(ISNUMBER(AD54),CONCATENATE(AD54,";"),CONCATENATE("0;")),IF(ISNUMBER(AE54),CONCATENATE(AE54,";"),CONCATENATE("0;")),IF(ISNUMBER(AF54),CONCATENATE(AF54,";"),CONCATENATE("0;")),IF(ISNUMBER(AG54),CONCATENATE(AG54,";"),CONCATENATE("0;")),IF(ISNUMBER(AH54),CONCATENATE(AH54,";"),CONCATENATE("0;")),IF(ISNUMBER(AI54),CONCATENATE(AI54,";"),CONCATENATE("0;")),IF(ISNUMBER(AJ54),CONCATENATE(AJ54,";"),CONCATENATE("0;")),IF(ISNUMBER(AK54),CONCATENATE(AK54,";"),CONCATENATE("0;")),IF(ISNUMBER(AL54),AL54,"0"))</f>
        <v>210;75;30;52;-120;300;400;60;225</v>
      </c>
      <c r="AC54" s="31" t="str">
        <f>CONCATENATE(IF(ISNUMBER(AM54),CONCATENATE(AM54,";"),CONCATENATE("0;")),IF(ISNUMBER(AN54),CONCATENATE(AN54,";"),CONCATENATE("0;")),IF(ISNUMBER(AO54),CONCATENATE(AO54,";"),CONCATENATE("0;")),IF(ISNUMBER(AP54),CONCATENATE(AP54,";"),CONCATENATE("0;")),IF(ISNUMBER(AQ54),CONCATENATE(AQ54,";"),CONCATENATE("0;")),IF(ISNUMBER(AR54),CONCATENATE(AR54,";"),CONCATENATE("0;")),IF(ISNUMBER(AS54),CONCATENATE(AS54,";"),CONCATENATE("0;")),IF(ISNUMBER(#REF!),CONCATENATE(#REF!,";"),CONCATENATE("0;")),IF(ISNUMBER(#REF!),#REF!,"0"))</f>
        <v>360;300;120;50;180;350;150;0;0</v>
      </c>
      <c r="AD54" s="39">
        <v>210</v>
      </c>
      <c r="AE54" s="39">
        <v>75</v>
      </c>
      <c r="AF54" s="39">
        <v>30</v>
      </c>
      <c r="AG54" s="39">
        <v>52</v>
      </c>
      <c r="AH54" s="39">
        <v>-120</v>
      </c>
      <c r="AI54" s="39">
        <v>300</v>
      </c>
      <c r="AJ54" s="39">
        <v>400</v>
      </c>
      <c r="AK54" s="39">
        <v>60</v>
      </c>
      <c r="AL54" s="39">
        <v>225</v>
      </c>
      <c r="AM54" s="43">
        <f>ROUNDDOWN(360-AT54,0)</f>
        <v>360</v>
      </c>
      <c r="AN54" s="43">
        <v>300</v>
      </c>
      <c r="AO54" s="43">
        <v>120</v>
      </c>
      <c r="AP54" s="43">
        <v>50</v>
      </c>
      <c r="AQ54" s="43">
        <v>180</v>
      </c>
      <c r="AR54" s="43">
        <v>350</v>
      </c>
      <c r="AS54" s="43">
        <v>150</v>
      </c>
    </row>
    <row r="55" spans="1:45">
      <c r="A55" s="31">
        <v>10201</v>
      </c>
      <c r="B55" s="31" t="s">
        <v>130</v>
      </c>
      <c r="C55" s="31">
        <v>3</v>
      </c>
      <c r="D55" s="31" t="s">
        <v>131</v>
      </c>
      <c r="E55" s="31" t="str" cm="1">
        <f t="array" ref="E55">_xlfn.IFS(C55&lt;3,CONCATENATE("pic_monster_weapon_",A55),C55=3,CONCATENATE("pic_player_weapon_",A55))</f>
        <v>pic_player_weapon_10201</v>
      </c>
      <c r="F55" s="31" t="s">
        <v>132</v>
      </c>
      <c r="G55" s="31">
        <v>1</v>
      </c>
      <c r="H55" s="31" cm="1">
        <f t="array" ref="H55">_xlfn.IFS(G55=1,40,G55=2,60,G55=3,100)</f>
        <v>40</v>
      </c>
      <c r="I55" s="31" t="str" cm="1">
        <f t="array" ref="I55">_xlfn.IFS(C55&lt;3,CONCATENATE("model_monster_weapon_",A55),C55=3,CONCATENATE("model_player_weapon_",A55))</f>
        <v>model_player_weapon_10201</v>
      </c>
      <c r="K55" s="31">
        <v>2</v>
      </c>
      <c r="O55" s="31"/>
      <c r="P55" s="31"/>
      <c r="V55" s="31">
        <f t="shared" si="6"/>
        <v>1700</v>
      </c>
      <c r="W55" s="31">
        <f>AD55</f>
        <v>150</v>
      </c>
      <c r="X55" s="31">
        <f>AE55</f>
        <v>1000</v>
      </c>
      <c r="Y55" s="31">
        <f>AF55+AK55+AL55</f>
        <v>550</v>
      </c>
      <c r="Z55" s="31">
        <v>2500</v>
      </c>
      <c r="AA55" s="31">
        <f t="shared" si="7"/>
        <v>770</v>
      </c>
      <c r="AB55" s="31" t="str">
        <f t="shared" si="8"/>
        <v>150;1000;150;12;-30;75;50;200;200</v>
      </c>
      <c r="AC55" s="31" t="str">
        <f>CONCATENATE(IF(ISNUMBER(AM55),CONCATENATE(AM55,";"),CONCATENATE("0;")),IF(ISNUMBER(AN55),CONCATENATE(AN55,";"),CONCATENATE("0;")),IF(ISNUMBER(AO55),CONCATENATE(AO55,";"),CONCATENATE("0;")),IF(ISNUMBER(AP55),CONCATENATE(AP55,";"),CONCATENATE("0;")),IF(ISNUMBER(AQ55),CONCATENATE(AQ55,";"),CONCATENATE("0;")),IF(ISNUMBER(AR55),CONCATENATE(AR55,";"),CONCATENATE("0;")),IF(ISNUMBER(AS55),CONCATENATE(AS55,";"),CONCATENATE("0;")),IF(ISNUMBER(#REF!),CONCATENATE(#REF!,";"),CONCATENATE("0;")),IF(ISNUMBER(#REF!),#REF!,"0"))</f>
        <v>360;300;120;50;180;350;135;0;0</v>
      </c>
      <c r="AD55" s="39">
        <v>150</v>
      </c>
      <c r="AE55" s="39">
        <v>1000</v>
      </c>
      <c r="AF55" s="39">
        <v>150</v>
      </c>
      <c r="AG55" s="39">
        <v>12</v>
      </c>
      <c r="AH55" s="39">
        <v>-30</v>
      </c>
      <c r="AI55" s="39">
        <v>75</v>
      </c>
      <c r="AJ55" s="39">
        <v>50</v>
      </c>
      <c r="AK55" s="39">
        <v>200</v>
      </c>
      <c r="AL55" s="39">
        <v>200</v>
      </c>
      <c r="AM55" s="43">
        <f t="shared" ref="AM54:AM59" si="9">ROUNDDOWN(360-AT55,0)</f>
        <v>360</v>
      </c>
      <c r="AN55" s="43">
        <v>300</v>
      </c>
      <c r="AO55" s="43">
        <v>120</v>
      </c>
      <c r="AP55" s="43">
        <v>50</v>
      </c>
      <c r="AQ55" s="43">
        <v>180</v>
      </c>
      <c r="AR55" s="43">
        <v>350</v>
      </c>
      <c r="AS55" s="43">
        <v>135</v>
      </c>
    </row>
    <row r="56" spans="1:45">
      <c r="A56" s="31">
        <v>10301</v>
      </c>
      <c r="B56" s="31" t="s">
        <v>105</v>
      </c>
      <c r="C56" s="31">
        <v>3</v>
      </c>
      <c r="D56" s="31" t="s">
        <v>133</v>
      </c>
      <c r="E56" s="31" t="str" cm="1">
        <f t="array" ref="E56">_xlfn.IFS(C56&lt;3,CONCATENATE("pic_monster_weapon_",A56),C56=3,CONCATENATE("pic_player_weapon_",A56))</f>
        <v>pic_player_weapon_10301</v>
      </c>
      <c r="F56" s="31" t="s">
        <v>134</v>
      </c>
      <c r="G56" s="31">
        <v>1</v>
      </c>
      <c r="H56" s="31" cm="1">
        <f t="array" ref="H56">_xlfn.IFS(G56=1,40,G56=2,60,G56=3,100)</f>
        <v>40</v>
      </c>
      <c r="I56" s="31" t="str" cm="1">
        <f t="array" ref="I56">_xlfn.IFS(C56&lt;3,CONCATENATE("model_monster_weapon_",A56),C56=3,CONCATENATE("model_player_weapon_",A56))</f>
        <v>model_player_weapon_10301</v>
      </c>
      <c r="K56" s="31">
        <v>3</v>
      </c>
      <c r="O56" s="31"/>
      <c r="P56" s="31"/>
      <c r="V56" s="31">
        <f t="shared" si="6"/>
        <v>2720</v>
      </c>
      <c r="W56" s="31">
        <f>AD56+AE56*0.5</f>
        <v>220</v>
      </c>
      <c r="X56" s="31">
        <f>V56-W56-Y56</f>
        <v>2400</v>
      </c>
      <c r="Y56" s="31">
        <f>AL56</f>
        <v>100</v>
      </c>
      <c r="Z56" s="31">
        <f>V56+1600</f>
        <v>4320</v>
      </c>
      <c r="AA56" s="31">
        <f t="shared" si="7"/>
        <v>768</v>
      </c>
      <c r="AB56" s="31" t="str">
        <f t="shared" si="8"/>
        <v>50;340;100;-10;30;250;3;100;100</v>
      </c>
      <c r="AC56" s="31" t="str">
        <f>CONCATENATE(IF(ISNUMBER(AM56),CONCATENATE(AM56,";"),CONCATENATE("0;")),IF(ISNUMBER(AN56),CONCATENATE(AN56,";"),CONCATENATE("0;")),IF(ISNUMBER(AO56),CONCATENATE(AO56,";"),CONCATENATE("0;")),IF(ISNUMBER(AP56),CONCATENATE(AP56,";"),CONCATENATE("0;")),IF(ISNUMBER(AQ56),CONCATENATE(AQ56,";"),CONCATENATE("0;")),IF(ISNUMBER(AR56),CONCATENATE(AR56,";"),CONCATENATE("0;")),IF(ISNUMBER(AS56),CONCATENATE(AS56,";"),CONCATENATE("0;")),IF(ISNUMBER(#REF!),CONCATENATE(#REF!,";"),CONCATENATE("0;")),IF(ISNUMBER(#REF!),#REF!,"0"))</f>
        <v>360;300;118;50;180;350;138;0;0</v>
      </c>
      <c r="AD56" s="39">
        <v>50</v>
      </c>
      <c r="AE56" s="39">
        <v>340</v>
      </c>
      <c r="AF56" s="39">
        <v>100</v>
      </c>
      <c r="AG56" s="39">
        <v>-10</v>
      </c>
      <c r="AH56" s="39">
        <v>30</v>
      </c>
      <c r="AI56" s="39">
        <v>250</v>
      </c>
      <c r="AJ56" s="39">
        <v>3</v>
      </c>
      <c r="AK56" s="39">
        <v>100</v>
      </c>
      <c r="AL56" s="39">
        <v>100</v>
      </c>
      <c r="AM56" s="43">
        <f t="shared" si="9"/>
        <v>360</v>
      </c>
      <c r="AN56" s="43">
        <v>300</v>
      </c>
      <c r="AO56" s="43">
        <v>118</v>
      </c>
      <c r="AP56" s="43">
        <v>50</v>
      </c>
      <c r="AQ56" s="43">
        <v>180</v>
      </c>
      <c r="AR56" s="43">
        <v>350</v>
      </c>
      <c r="AS56" s="43">
        <v>138</v>
      </c>
    </row>
    <row r="57" spans="1:45">
      <c r="A57" s="31">
        <v>10401</v>
      </c>
      <c r="B57" s="31" t="s">
        <v>135</v>
      </c>
      <c r="C57" s="31">
        <v>3</v>
      </c>
      <c r="D57" s="31" t="s">
        <v>136</v>
      </c>
      <c r="E57" s="31" t="str" cm="1">
        <f t="array" ref="E57">_xlfn.IFS(C57&lt;3,CONCATENATE("pic_monster_weapon_",A57),C57=3,CONCATENATE("pic_player_weapon_",A57))</f>
        <v>pic_player_weapon_10401</v>
      </c>
      <c r="F57" s="31" t="s">
        <v>137</v>
      </c>
      <c r="G57" s="31">
        <v>1</v>
      </c>
      <c r="H57" s="31" cm="1">
        <f t="array" ref="H57">_xlfn.IFS(G57=1,40,G57=2,60,G57=3,100)</f>
        <v>40</v>
      </c>
      <c r="I57" s="31" t="str" cm="1">
        <f t="array" ref="I57">_xlfn.IFS(C57&lt;3,CONCATENATE("model_monster_weapon_",A57),C57=3,CONCATENATE("model_player_weapon_",A57))</f>
        <v>model_player_weapon_10401</v>
      </c>
      <c r="K57" s="31">
        <v>1</v>
      </c>
      <c r="O57" s="31"/>
      <c r="P57" s="31"/>
      <c r="V57" s="31">
        <f t="shared" si="6"/>
        <v>600</v>
      </c>
      <c r="W57" s="31">
        <f>AD57+AE57</f>
        <v>300</v>
      </c>
      <c r="X57" s="31">
        <v>0</v>
      </c>
      <c r="Y57" s="31">
        <f>AI57+AL57</f>
        <v>300</v>
      </c>
      <c r="Z57" s="31">
        <v>2400</v>
      </c>
      <c r="AA57" s="31">
        <f t="shared" si="7"/>
        <v>778</v>
      </c>
      <c r="AB57" s="31" t="str">
        <f t="shared" si="8"/>
        <v>270;30;5;40;70;120;0;0;180</v>
      </c>
      <c r="AC57" s="31" t="str">
        <f>CONCATENATE(IF(ISNUMBER(AM57),CONCATENATE(AM57,";"),CONCATENATE("0;")),IF(ISNUMBER(AN57),CONCATENATE(AN57,";"),CONCATENATE("0;")),IF(ISNUMBER(AO57),CONCATENATE(AO57,";"),CONCATENATE("0;")),IF(ISNUMBER(AP57),CONCATENATE(AP57,";"),CONCATENATE("0;")),IF(ISNUMBER(AQ57),CONCATENATE(AQ57,";"),CONCATENATE("0;")),IF(ISNUMBER(AR57),CONCATENATE(AR57,";"),CONCATENATE("0;")),IF(ISNUMBER(AS57),CONCATENATE(AS57,";"),CONCATENATE("0;")),IF(ISNUMBER(#REF!),CONCATENATE(#REF!,";"),CONCATENATE("0;")),IF(ISNUMBER(#REF!),#REF!,"0"))</f>
        <v>360;300;128;50;180;350;145;0;0</v>
      </c>
      <c r="AD57" s="39">
        <v>270</v>
      </c>
      <c r="AE57" s="39">
        <v>30</v>
      </c>
      <c r="AF57" s="39">
        <v>5</v>
      </c>
      <c r="AG57" s="39">
        <v>40</v>
      </c>
      <c r="AH57" s="39">
        <v>70</v>
      </c>
      <c r="AI57" s="39">
        <v>120</v>
      </c>
      <c r="AJ57" s="39">
        <v>0</v>
      </c>
      <c r="AK57" s="39">
        <v>0</v>
      </c>
      <c r="AL57" s="39">
        <v>180</v>
      </c>
      <c r="AM57" s="43">
        <v>360</v>
      </c>
      <c r="AN57" s="43">
        <v>300</v>
      </c>
      <c r="AO57" s="43">
        <v>128</v>
      </c>
      <c r="AP57" s="43">
        <v>50</v>
      </c>
      <c r="AQ57" s="43">
        <v>180</v>
      </c>
      <c r="AR57" s="43">
        <v>350</v>
      </c>
      <c r="AS57" s="43">
        <v>145</v>
      </c>
    </row>
    <row r="58" spans="1:45">
      <c r="A58" s="31">
        <v>10501</v>
      </c>
      <c r="B58" s="31" t="s">
        <v>138</v>
      </c>
      <c r="C58" s="31">
        <v>3</v>
      </c>
      <c r="D58" s="31" t="s">
        <v>139</v>
      </c>
      <c r="E58" s="31" t="str" cm="1">
        <f t="array" ref="E58">_xlfn.IFS(C58&lt;3,CONCATENATE("pic_monster_weapon_",A58),C58=3,CONCATENATE("pic_player_weapon_",A58))</f>
        <v>pic_player_weapon_10501</v>
      </c>
      <c r="F58" s="31" t="s">
        <v>140</v>
      </c>
      <c r="G58" s="31">
        <v>1</v>
      </c>
      <c r="H58" s="31" cm="1">
        <f t="array" ref="H58">_xlfn.IFS(G58=1,40,G58=2,60,G58=3,100)</f>
        <v>40</v>
      </c>
      <c r="I58" s="31" t="str" cm="1">
        <f t="array" ref="I58">_xlfn.IFS(C58&lt;3,CONCATENATE("model_monster_weapon_",A58),C58=3,CONCATENATE("model_player_weapon_",A58))</f>
        <v>model_player_weapon_10501</v>
      </c>
      <c r="K58" s="31">
        <v>2</v>
      </c>
      <c r="O58" s="31"/>
      <c r="P58" s="31"/>
      <c r="V58" s="31">
        <f t="shared" si="6"/>
        <v>1400</v>
      </c>
      <c r="W58" s="31">
        <f>AD58</f>
        <v>200</v>
      </c>
      <c r="X58" s="31">
        <f>V58-W58-Y58</f>
        <v>1000</v>
      </c>
      <c r="Y58" s="31">
        <f>AF58+AK58+AL58</f>
        <v>200</v>
      </c>
      <c r="Z58" s="31">
        <v>2100</v>
      </c>
      <c r="AA58" s="31">
        <f t="shared" si="7"/>
        <v>780</v>
      </c>
      <c r="AB58" s="31" t="str">
        <f t="shared" si="8"/>
        <v>200;1000;100;30;-10;200;-50;0;100</v>
      </c>
      <c r="AC58" s="31" t="str">
        <f>CONCATENATE(IF(ISNUMBER(AM58),CONCATENATE(AM58,";"),CONCATENATE("0;")),IF(ISNUMBER(AN58),CONCATENATE(AN58,";"),CONCATENATE("0;")),IF(ISNUMBER(AO58),CONCATENATE(AO58,";"),CONCATENATE("0;")),IF(ISNUMBER(AP58),CONCATENATE(AP58,";"),CONCATENATE("0;")),IF(ISNUMBER(AQ58),CONCATENATE(AQ58,";"),CONCATENATE("0;")),IF(ISNUMBER(AR58),CONCATENATE(AR58,";"),CONCATENATE("0;")),IF(ISNUMBER(AS58),CONCATENATE(AS58,";"),CONCATENATE("0;")),IF(ISNUMBER(#REF!),CONCATENATE(#REF!,";"),CONCATENATE("0;")),IF(ISNUMBER(#REF!),#REF!,"0"))</f>
        <v>360;300;130;50;180;350;150;0;0</v>
      </c>
      <c r="AD58" s="39">
        <v>200</v>
      </c>
      <c r="AE58" s="39">
        <v>1000</v>
      </c>
      <c r="AF58" s="39">
        <v>100</v>
      </c>
      <c r="AG58" s="39">
        <v>30</v>
      </c>
      <c r="AH58" s="39">
        <v>-10</v>
      </c>
      <c r="AI58" s="39">
        <v>200</v>
      </c>
      <c r="AJ58" s="39">
        <v>-50</v>
      </c>
      <c r="AK58" s="39">
        <v>0</v>
      </c>
      <c r="AL58" s="39">
        <v>100</v>
      </c>
      <c r="AM58" s="43">
        <f t="shared" si="9"/>
        <v>360</v>
      </c>
      <c r="AN58" s="43">
        <v>300</v>
      </c>
      <c r="AO58" s="43">
        <v>130</v>
      </c>
      <c r="AP58" s="43">
        <v>50</v>
      </c>
      <c r="AQ58" s="43">
        <v>180</v>
      </c>
      <c r="AR58" s="43">
        <v>350</v>
      </c>
      <c r="AS58" s="43">
        <v>150</v>
      </c>
    </row>
    <row r="59" spans="1:45">
      <c r="A59" s="31">
        <v>15104</v>
      </c>
      <c r="B59" s="31" t="s">
        <v>141</v>
      </c>
      <c r="C59" s="31">
        <v>3</v>
      </c>
      <c r="D59" s="31" t="s">
        <v>142</v>
      </c>
      <c r="E59" s="31" t="str" cm="1">
        <f t="array" ref="E59">_xlfn.IFS(C59&lt;3,CONCATENATE("pic_monster_weapon_",A59),C59=3,CONCATENATE("pic_player_weapon_",A59))</f>
        <v>pic_player_weapon_15104</v>
      </c>
      <c r="F59" s="31" t="s">
        <v>143</v>
      </c>
      <c r="G59" s="31">
        <v>3</v>
      </c>
      <c r="H59" s="31" cm="1">
        <f t="array" ref="H59">_xlfn.IFS(G59=1,40,G59=2,60,G59=3,100)</f>
        <v>100</v>
      </c>
      <c r="I59" s="31" t="str" cm="1">
        <f t="array" ref="I59">_xlfn.IFS(C59&lt;3,CONCATENATE("model_monster_weapon_",A59),C59=3,CONCATENATE("model_player_weapon_",A59))</f>
        <v>model_player_weapon_15104</v>
      </c>
      <c r="K59" s="31">
        <v>2</v>
      </c>
      <c r="O59" s="31"/>
      <c r="P59" s="31"/>
      <c r="V59" s="31">
        <f t="shared" si="6"/>
        <v>400</v>
      </c>
      <c r="W59" s="31">
        <f>AD59+AE59+AF59</f>
        <v>230</v>
      </c>
      <c r="X59" s="31">
        <v>0</v>
      </c>
      <c r="Y59" s="31">
        <f>AK59+AL59</f>
        <v>170</v>
      </c>
      <c r="Z59" s="31">
        <v>1000</v>
      </c>
      <c r="AA59" s="31">
        <f t="shared" si="7"/>
        <v>770</v>
      </c>
      <c r="AB59" s="31" t="str">
        <f t="shared" si="8"/>
        <v>150;50;30;32;-36;85;145;135;35</v>
      </c>
      <c r="AC59" s="31" t="str">
        <f>CONCATENATE(IF(ISNUMBER(AM59),CONCATENATE(AM59,";"),CONCATENATE("0;")),IF(ISNUMBER(AN59),CONCATENATE(AN59,";"),CONCATENATE("0;")),IF(ISNUMBER(AO59),CONCATENATE(AO59,";"),CONCATENATE("0;")),IF(ISNUMBER(AP59),CONCATENATE(AP59,";"),CONCATENATE("0;")),IF(ISNUMBER(AQ59),CONCATENATE(AQ59,";"),CONCATENATE("0;")),IF(ISNUMBER(AR59),CONCATENATE(AR59,";"),CONCATENATE("0;")),IF(ISNUMBER(AS59),CONCATENATE(AS59,";"),CONCATENATE("0;")),IF(ISNUMBER(#REF!),CONCATENATE(#REF!,";"),CONCATENATE("0;")),IF(ISNUMBER(#REF!),#REF!,"0"))</f>
        <v>360;300;120;50;180;350;135;0;0</v>
      </c>
      <c r="AD59" s="39">
        <v>150</v>
      </c>
      <c r="AE59" s="39">
        <v>50</v>
      </c>
      <c r="AF59" s="39">
        <v>30</v>
      </c>
      <c r="AG59" s="39">
        <v>32</v>
      </c>
      <c r="AH59" s="39">
        <v>-36</v>
      </c>
      <c r="AI59" s="39">
        <v>85</v>
      </c>
      <c r="AJ59" s="39">
        <v>145</v>
      </c>
      <c r="AK59" s="39">
        <v>135</v>
      </c>
      <c r="AL59" s="39">
        <v>35</v>
      </c>
      <c r="AM59" s="43">
        <v>360</v>
      </c>
      <c r="AN59" s="43">
        <v>300</v>
      </c>
      <c r="AO59" s="43">
        <v>120</v>
      </c>
      <c r="AP59" s="43">
        <v>50</v>
      </c>
      <c r="AQ59" s="43">
        <v>180</v>
      </c>
      <c r="AR59" s="43">
        <v>350</v>
      </c>
      <c r="AS59" s="43">
        <v>135</v>
      </c>
    </row>
    <row r="60" spans="1:45">
      <c r="A60" s="31">
        <v>10104</v>
      </c>
      <c r="B60" s="31" t="s">
        <v>144</v>
      </c>
      <c r="C60" s="31">
        <v>3</v>
      </c>
      <c r="D60" s="31" t="str" cm="1">
        <f t="array" ref="D60">_xlfn.IFS(C60&lt;3,CONCATENATE("monster_weapon_",A60,"_name"),C60=3,CONCATENATE("player_weapon_",A60,"_name"))</f>
        <v>player_weapon_10104_name</v>
      </c>
      <c r="E60" s="31" t="str" cm="1">
        <f t="array" ref="E60">_xlfn.IFS(C60&lt;3,CONCATENATE("pic_monster_weapon_",A60),C60=3,CONCATENATE("pic_player_weapon_",A60))</f>
        <v>pic_player_weapon_10104</v>
      </c>
      <c r="F60" s="31" t="str" cm="1">
        <f t="array" ref="F60">_xlfn.IFS(C60&lt;3,CONCATENATE("monster_weapon_",A60,"_desc"),C60=3,CONCATENATE("player_weapon_",A60,"_desc"))</f>
        <v>player_weapon_10104_desc</v>
      </c>
      <c r="G60" s="31">
        <v>3</v>
      </c>
      <c r="H60" s="31" cm="1">
        <f t="array" ref="H60">_xlfn.IFS(G60=1,40,G60=2,60,G60=3,100)</f>
        <v>100</v>
      </c>
      <c r="I60" s="31" t="str" cm="1">
        <f t="array" ref="I60">_xlfn.IFS(C60&lt;3,CONCATENATE("model_monster_weapon_",A60),C60=3,CONCATENATE("model_player_weapon_",A60))</f>
        <v>model_player_weapon_10104</v>
      </c>
      <c r="K60" s="31">
        <v>2</v>
      </c>
      <c r="O60" s="31"/>
      <c r="P60" s="31"/>
      <c r="V60" s="36">
        <f t="shared" ref="V60:AA60" si="10">V54</f>
        <v>600</v>
      </c>
      <c r="W60" s="36">
        <f t="shared" si="10"/>
        <v>315</v>
      </c>
      <c r="X60" s="36">
        <f t="shared" si="10"/>
        <v>0</v>
      </c>
      <c r="Y60" s="36">
        <f t="shared" si="10"/>
        <v>285</v>
      </c>
      <c r="Z60" s="36">
        <f t="shared" si="10"/>
        <v>1500</v>
      </c>
      <c r="AA60" s="36">
        <f t="shared" si="10"/>
        <v>770</v>
      </c>
      <c r="AB60" s="36" t="str">
        <f t="shared" si="8"/>
        <v>210;75;30;52;-72;180;240;60;225</v>
      </c>
      <c r="AC60" s="36" t="str">
        <f>CONCATENATE(IF(ISNUMBER(AM60),CONCATENATE(AM60,";"),CONCATENATE("0;")),IF(ISNUMBER(AN60),CONCATENATE(AN60,";"),CONCATENATE("0;")),IF(ISNUMBER(AO60),CONCATENATE(AO60,";"),CONCATENATE("0;")),IF(ISNUMBER(AP60),CONCATENATE(AP60,";"),CONCATENATE("0;")),IF(ISNUMBER(AQ60),CONCATENATE(AQ60,";"),CONCATENATE("0;")),IF(ISNUMBER(AR60),CONCATENATE(AR60,";"),CONCATENATE("0;")),IF(ISNUMBER(AS60),CONCATENATE(AS60,";"),CONCATENATE("0;")),IF(ISNUMBER(#REF!),CONCATENATE(#REF!,";"),CONCATENATE("0;")),IF(ISNUMBER(#REF!),#REF!,"0"))</f>
        <v>216;180;72;30;108;210;90;0;0</v>
      </c>
      <c r="AD60" s="39">
        <v>210</v>
      </c>
      <c r="AE60" s="39">
        <v>75</v>
      </c>
      <c r="AF60" s="39">
        <v>30</v>
      </c>
      <c r="AG60" s="39">
        <f>AG54</f>
        <v>52</v>
      </c>
      <c r="AH60" s="39">
        <v>-72</v>
      </c>
      <c r="AI60" s="39">
        <v>180</v>
      </c>
      <c r="AJ60" s="39">
        <v>240</v>
      </c>
      <c r="AK60" s="39">
        <v>60</v>
      </c>
      <c r="AL60" s="39">
        <v>225</v>
      </c>
      <c r="AM60" s="43">
        <v>216</v>
      </c>
      <c r="AN60" s="43">
        <v>180</v>
      </c>
      <c r="AO60" s="43">
        <v>72</v>
      </c>
      <c r="AP60" s="43">
        <v>30</v>
      </c>
      <c r="AQ60" s="43">
        <v>108</v>
      </c>
      <c r="AR60" s="43">
        <v>210</v>
      </c>
      <c r="AS60" s="43">
        <v>90</v>
      </c>
    </row>
    <row r="61" spans="1:45">
      <c r="A61" s="31">
        <v>10204</v>
      </c>
      <c r="B61" s="31" t="s">
        <v>145</v>
      </c>
      <c r="C61" s="31">
        <v>3</v>
      </c>
      <c r="D61" s="31" t="str" cm="1">
        <f t="array" ref="D61">_xlfn.IFS(C61&lt;3,CONCATENATE("monster_weapon_",A61,"_name"),C61=3,CONCATENATE("player_weapon_",A61,"_name"))</f>
        <v>player_weapon_10204_name</v>
      </c>
      <c r="E61" s="31" t="str" cm="1">
        <f t="array" ref="E61">_xlfn.IFS(C61&lt;3,CONCATENATE("pic_monster_weapon_",A61),C61=3,CONCATENATE("pic_player_weapon_",A61))</f>
        <v>pic_player_weapon_10204</v>
      </c>
      <c r="F61" s="31" t="str" cm="1">
        <f t="array" ref="F61">_xlfn.IFS(C61&lt;3,CONCATENATE("monster_weapon_",A61,"_desc"),C61=3,CONCATENATE("player_weapon_",A61,"_desc"))</f>
        <v>player_weapon_10204_desc</v>
      </c>
      <c r="G61" s="31">
        <v>3</v>
      </c>
      <c r="H61" s="31" cm="1">
        <f t="array" ref="H61">_xlfn.IFS(G61=1,40,G61=2,60,G61=3,100)</f>
        <v>100</v>
      </c>
      <c r="I61" s="31" t="str" cm="1">
        <f t="array" ref="I61">_xlfn.IFS(C61&lt;3,CONCATENATE("model_monster_weapon_",A61),C61=3,CONCATENATE("model_player_weapon_",A61))</f>
        <v>model_player_weapon_10204</v>
      </c>
      <c r="K61" s="31">
        <v>2</v>
      </c>
      <c r="O61" s="31"/>
      <c r="P61" s="31"/>
      <c r="V61" s="36">
        <f t="shared" ref="V61:AA61" si="11">V55</f>
        <v>1700</v>
      </c>
      <c r="W61" s="36">
        <f t="shared" si="11"/>
        <v>150</v>
      </c>
      <c r="X61" s="36">
        <f t="shared" si="11"/>
        <v>1000</v>
      </c>
      <c r="Y61" s="36">
        <f t="shared" si="11"/>
        <v>550</v>
      </c>
      <c r="Z61" s="36">
        <f t="shared" si="11"/>
        <v>2500</v>
      </c>
      <c r="AA61" s="36">
        <f t="shared" si="11"/>
        <v>770</v>
      </c>
      <c r="AB61" s="36" t="str">
        <f t="shared" si="8"/>
        <v>150;1000;150;12;-30;75;50;200;200</v>
      </c>
      <c r="AC61" s="36" t="str">
        <f>CONCATENATE(IF(ISNUMBER(AM61),CONCATENATE(AM61,";"),CONCATENATE("0;")),IF(ISNUMBER(AN61),CONCATENATE(AN61,";"),CONCATENATE("0;")),IF(ISNUMBER(AO61),CONCATENATE(AO61,";"),CONCATENATE("0;")),IF(ISNUMBER(AP61),CONCATENATE(AP61,";"),CONCATENATE("0;")),IF(ISNUMBER(AQ61),CONCATENATE(AQ61,";"),CONCATENATE("0;")),IF(ISNUMBER(AR61),CONCATENATE(AR61,";"),CONCATENATE("0;")),IF(ISNUMBER(AS61),CONCATENATE(AS61,";"),CONCATENATE("0;")),IF(ISNUMBER(#REF!),CONCATENATE(#REF!,";"),CONCATENATE("0;")),IF(ISNUMBER(#REF!),#REF!,"0"))</f>
        <v>360;300;120;50;180;350;135;0;0</v>
      </c>
      <c r="AD61" s="39">
        <f t="shared" ref="AD61:AS61" si="12">AD55</f>
        <v>150</v>
      </c>
      <c r="AE61" s="39">
        <f t="shared" si="12"/>
        <v>1000</v>
      </c>
      <c r="AF61" s="39">
        <f t="shared" si="12"/>
        <v>150</v>
      </c>
      <c r="AG61" s="39">
        <f t="shared" si="12"/>
        <v>12</v>
      </c>
      <c r="AH61" s="39">
        <f t="shared" si="12"/>
        <v>-30</v>
      </c>
      <c r="AI61" s="39">
        <f t="shared" si="12"/>
        <v>75</v>
      </c>
      <c r="AJ61" s="39">
        <f t="shared" si="12"/>
        <v>50</v>
      </c>
      <c r="AK61" s="39">
        <f t="shared" si="12"/>
        <v>200</v>
      </c>
      <c r="AL61" s="39">
        <f t="shared" si="12"/>
        <v>200</v>
      </c>
      <c r="AM61" s="43">
        <f t="shared" si="12"/>
        <v>360</v>
      </c>
      <c r="AN61" s="43">
        <f t="shared" si="12"/>
        <v>300</v>
      </c>
      <c r="AO61" s="43">
        <f t="shared" si="12"/>
        <v>120</v>
      </c>
      <c r="AP61" s="43">
        <f t="shared" si="12"/>
        <v>50</v>
      </c>
      <c r="AQ61" s="43">
        <f t="shared" si="12"/>
        <v>180</v>
      </c>
      <c r="AR61" s="43">
        <f t="shared" si="12"/>
        <v>350</v>
      </c>
      <c r="AS61" s="43">
        <f t="shared" si="12"/>
        <v>135</v>
      </c>
    </row>
    <row r="62" spans="1:45">
      <c r="A62" s="31">
        <v>10304</v>
      </c>
      <c r="B62" s="31" t="s">
        <v>146</v>
      </c>
      <c r="C62" s="31">
        <v>3</v>
      </c>
      <c r="D62" s="31" t="str" cm="1">
        <f t="array" ref="D62">_xlfn.IFS(C62&lt;3,CONCATENATE("monster_weapon_",A62,"_name"),C62=3,CONCATENATE("player_weapon_",A62,"_name"))</f>
        <v>player_weapon_10304_name</v>
      </c>
      <c r="E62" s="31" t="str" cm="1">
        <f t="array" ref="E62">_xlfn.IFS(C62&lt;3,CONCATENATE("pic_monster_weapon_",A62),C62=3,CONCATENATE("pic_player_weapon_",A62))</f>
        <v>pic_player_weapon_10304</v>
      </c>
      <c r="F62" s="31" t="str" cm="1">
        <f t="array" ref="F62">_xlfn.IFS(C62&lt;3,CONCATENATE("monster_weapon_",A62,"_desc"),C62=3,CONCATENATE("player_weapon_",A62,"_desc"))</f>
        <v>player_weapon_10304_desc</v>
      </c>
      <c r="G62" s="31">
        <v>3</v>
      </c>
      <c r="H62" s="31" cm="1">
        <f t="array" ref="H62">_xlfn.IFS(G62=1,40,G62=2,60,G62=3,100)</f>
        <v>100</v>
      </c>
      <c r="I62" s="31" t="str" cm="1">
        <f t="array" ref="I62">_xlfn.IFS(C62&lt;3,CONCATENATE("model_monster_weapon_",A62),C62=3,CONCATENATE("model_player_weapon_",A62))</f>
        <v>model_player_weapon_10304</v>
      </c>
      <c r="K62" s="31">
        <v>3</v>
      </c>
      <c r="O62" s="31"/>
      <c r="P62" s="31"/>
      <c r="V62" s="31">
        <f>_xlfn.IFS(K62=1,AD62+AE62+AI62+AL62,K62=2,AD62+AE62+AF62+AK62+AL62,K62=3,(AD62+AE62+AF62+AI62+AL62)*AJ62+(AJ62-1)*AK62)</f>
        <v>3870</v>
      </c>
      <c r="W62" s="31">
        <f>AD62+AE62*0.5</f>
        <v>190</v>
      </c>
      <c r="X62" s="31">
        <f>V62-W62-Y62</f>
        <v>3600</v>
      </c>
      <c r="Y62" s="31">
        <f>AL62</f>
        <v>80</v>
      </c>
      <c r="Z62" s="31">
        <f>V62+1600</f>
        <v>5470</v>
      </c>
      <c r="AA62" s="31">
        <f>AN62+AO62+AR62</f>
        <v>768</v>
      </c>
      <c r="AB62" s="36" t="str">
        <f t="shared" si="8"/>
        <v>40;300;80;-10;30;210;5;80;80</v>
      </c>
      <c r="AC62" s="36" t="str">
        <f>CONCATENATE(IF(ISNUMBER(AM62),CONCATENATE(AM62,";"),CONCATENATE("0;")),IF(ISNUMBER(AN62),CONCATENATE(AN62,";"),CONCATENATE("0;")),IF(ISNUMBER(AO62),CONCATENATE(AO62,";"),CONCATENATE("0;")),IF(ISNUMBER(AP62),CONCATENATE(AP62,";"),CONCATENATE("0;")),IF(ISNUMBER(AQ62),CONCATENATE(AQ62,";"),CONCATENATE("0;")),IF(ISNUMBER(AR62),CONCATENATE(AR62,";"),CONCATENATE("0;")),IF(ISNUMBER(AS62),CONCATENATE(AS62,";"),CONCATENATE("0;")),IF(ISNUMBER(#REF!),CONCATENATE(#REF!,";"),CONCATENATE("0;")),IF(ISNUMBER(#REF!),#REF!,"0"))</f>
        <v>360;300;118;50;180;350;138;0;0</v>
      </c>
      <c r="AD62" s="39">
        <v>40</v>
      </c>
      <c r="AE62" s="39">
        <v>300</v>
      </c>
      <c r="AF62" s="39">
        <v>80</v>
      </c>
      <c r="AG62" s="39">
        <v>-10</v>
      </c>
      <c r="AH62" s="39">
        <v>30</v>
      </c>
      <c r="AI62" s="39">
        <v>210</v>
      </c>
      <c r="AJ62" s="39">
        <v>5</v>
      </c>
      <c r="AK62" s="39">
        <v>80</v>
      </c>
      <c r="AL62" s="39">
        <v>80</v>
      </c>
      <c r="AM62" s="43">
        <f t="shared" ref="AM62:AS62" si="13">AM56</f>
        <v>360</v>
      </c>
      <c r="AN62" s="43">
        <f t="shared" si="13"/>
        <v>300</v>
      </c>
      <c r="AO62" s="43">
        <f t="shared" si="13"/>
        <v>118</v>
      </c>
      <c r="AP62" s="43">
        <f t="shared" si="13"/>
        <v>50</v>
      </c>
      <c r="AQ62" s="43">
        <f t="shared" si="13"/>
        <v>180</v>
      </c>
      <c r="AR62" s="43">
        <f t="shared" si="13"/>
        <v>350</v>
      </c>
      <c r="AS62" s="43">
        <f t="shared" si="13"/>
        <v>138</v>
      </c>
    </row>
    <row r="63" spans="1:45">
      <c r="A63" s="31">
        <v>10404</v>
      </c>
      <c r="B63" s="31" t="s">
        <v>147</v>
      </c>
      <c r="C63" s="31">
        <v>3</v>
      </c>
      <c r="D63" s="31" t="str" cm="1">
        <f t="array" ref="D63">_xlfn.IFS(C63&lt;3,CONCATENATE("monster_weapon_",A63,"_name"),C63=3,CONCATENATE("player_weapon_",A63,"_name"))</f>
        <v>player_weapon_10404_name</v>
      </c>
      <c r="E63" s="31" t="str" cm="1">
        <f t="array" ref="E63">_xlfn.IFS(C63&lt;3,CONCATENATE("pic_monster_weapon_",A63),C63=3,CONCATENATE("pic_player_weapon_",A63))</f>
        <v>pic_player_weapon_10404</v>
      </c>
      <c r="F63" s="31" t="str" cm="1">
        <f t="array" ref="F63">_xlfn.IFS(C63&lt;3,CONCATENATE("monster_weapon_",A63,"_desc"),C63=3,CONCATENATE("player_weapon_",A63,"_desc"))</f>
        <v>player_weapon_10404_desc</v>
      </c>
      <c r="G63" s="31">
        <v>3</v>
      </c>
      <c r="H63" s="31" cm="1">
        <f t="array" ref="H63">_xlfn.IFS(G63=1,40,G63=2,60,G63=3,100)</f>
        <v>100</v>
      </c>
      <c r="I63" s="31" t="str" cm="1">
        <f t="array" ref="I63">_xlfn.IFS(C63&lt;3,CONCATENATE("model_monster_weapon_",A63),C63=3,CONCATENATE("model_player_weapon_",A63))</f>
        <v>model_player_weapon_10404</v>
      </c>
      <c r="K63" s="31">
        <v>1</v>
      </c>
      <c r="O63" s="31"/>
      <c r="P63" s="31"/>
      <c r="V63" s="36">
        <f t="shared" ref="V63:AA63" si="14">V57</f>
        <v>600</v>
      </c>
      <c r="W63" s="36">
        <f t="shared" si="14"/>
        <v>300</v>
      </c>
      <c r="X63" s="36">
        <f t="shared" si="14"/>
        <v>0</v>
      </c>
      <c r="Y63" s="36">
        <f t="shared" si="14"/>
        <v>300</v>
      </c>
      <c r="Z63" s="36">
        <f t="shared" si="14"/>
        <v>2400</v>
      </c>
      <c r="AA63" s="36">
        <f t="shared" si="14"/>
        <v>778</v>
      </c>
      <c r="AB63" s="36" t="str">
        <f t="shared" si="8"/>
        <v>270;30;5;40;70;120;0;0;180</v>
      </c>
      <c r="AC63" s="36" t="str">
        <f>CONCATENATE(IF(ISNUMBER(AM63),CONCATENATE(AM63,";"),CONCATENATE("0;")),IF(ISNUMBER(AN63),CONCATENATE(AN63,";"),CONCATENATE("0;")),IF(ISNUMBER(AO63),CONCATENATE(AO63,";"),CONCATENATE("0;")),IF(ISNUMBER(AP63),CONCATENATE(AP63,";"),CONCATENATE("0;")),IF(ISNUMBER(AQ63),CONCATENATE(AQ63,";"),CONCATENATE("0;")),IF(ISNUMBER(AR63),CONCATENATE(AR63,";"),CONCATENATE("0;")),IF(ISNUMBER(AS63),CONCATENATE(AS63,";"),CONCATENATE("0;")),IF(ISNUMBER(#REF!),CONCATENATE(#REF!,";"),CONCATENATE("0;")),IF(ISNUMBER(#REF!),#REF!,"0"))</f>
        <v>360;300;128;50;180;350;145;0;0</v>
      </c>
      <c r="AD63" s="39">
        <f t="shared" ref="AD63:AS63" si="15">AD57</f>
        <v>270</v>
      </c>
      <c r="AE63" s="39">
        <f t="shared" si="15"/>
        <v>30</v>
      </c>
      <c r="AF63" s="39">
        <f t="shared" si="15"/>
        <v>5</v>
      </c>
      <c r="AG63" s="39">
        <f t="shared" si="15"/>
        <v>40</v>
      </c>
      <c r="AH63" s="39">
        <f t="shared" si="15"/>
        <v>70</v>
      </c>
      <c r="AI63" s="39">
        <f t="shared" si="15"/>
        <v>120</v>
      </c>
      <c r="AJ63" s="39">
        <f t="shared" si="15"/>
        <v>0</v>
      </c>
      <c r="AK63" s="39">
        <f t="shared" si="15"/>
        <v>0</v>
      </c>
      <c r="AL63" s="39">
        <f t="shared" si="15"/>
        <v>180</v>
      </c>
      <c r="AM63" s="43">
        <f t="shared" si="15"/>
        <v>360</v>
      </c>
      <c r="AN63" s="43">
        <f t="shared" si="15"/>
        <v>300</v>
      </c>
      <c r="AO63" s="43">
        <f t="shared" si="15"/>
        <v>128</v>
      </c>
      <c r="AP63" s="43">
        <f t="shared" si="15"/>
        <v>50</v>
      </c>
      <c r="AQ63" s="43">
        <f t="shared" si="15"/>
        <v>180</v>
      </c>
      <c r="AR63" s="43">
        <f t="shared" si="15"/>
        <v>350</v>
      </c>
      <c r="AS63" s="43">
        <f t="shared" si="15"/>
        <v>145</v>
      </c>
    </row>
    <row r="64" spans="1:45">
      <c r="A64" s="31">
        <v>10504</v>
      </c>
      <c r="B64" s="31" t="s">
        <v>148</v>
      </c>
      <c r="C64" s="31">
        <v>3</v>
      </c>
      <c r="D64" s="31" t="str" cm="1">
        <f t="array" ref="D64">_xlfn.IFS(C64&lt;3,CONCATENATE("monster_weapon_",A64,"_name"),C64=3,CONCATENATE("player_weapon_",A64,"_name"))</f>
        <v>player_weapon_10504_name</v>
      </c>
      <c r="E64" s="31" t="str" cm="1">
        <f t="array" ref="E64">_xlfn.IFS(C64&lt;3,CONCATENATE("pic_monster_weapon_",A64),C64=3,CONCATENATE("pic_player_weapon_",A64))</f>
        <v>pic_player_weapon_10504</v>
      </c>
      <c r="F64" s="31" t="str" cm="1">
        <f t="array" ref="F64">_xlfn.IFS(C64&lt;3,CONCATENATE("monster_weapon_",A64,"_desc"),C64=3,CONCATENATE("player_weapon_",A64,"_desc"))</f>
        <v>player_weapon_10504_desc</v>
      </c>
      <c r="G64" s="31">
        <v>3</v>
      </c>
      <c r="H64" s="31" cm="1">
        <f t="array" ref="H64">_xlfn.IFS(G64=1,40,G64=2,60,G64=3,100)</f>
        <v>100</v>
      </c>
      <c r="I64" s="31" t="str" cm="1">
        <f t="array" ref="I64">_xlfn.IFS(C64&lt;3,CONCATENATE("model_monster_weapon_",A64),C64=3,CONCATENATE("model_player_weapon_",A64))</f>
        <v>model_player_weapon_10504</v>
      </c>
      <c r="K64" s="31">
        <v>2</v>
      </c>
      <c r="O64" s="31"/>
      <c r="P64" s="31"/>
      <c r="V64" s="36">
        <f t="shared" ref="V64:AA64" si="16">V58</f>
        <v>1400</v>
      </c>
      <c r="W64" s="36">
        <f t="shared" si="16"/>
        <v>200</v>
      </c>
      <c r="X64" s="36">
        <f t="shared" si="16"/>
        <v>1000</v>
      </c>
      <c r="Y64" s="36">
        <f t="shared" si="16"/>
        <v>200</v>
      </c>
      <c r="Z64" s="36">
        <f t="shared" si="16"/>
        <v>2100</v>
      </c>
      <c r="AA64" s="36">
        <f t="shared" si="16"/>
        <v>780</v>
      </c>
      <c r="AB64" s="36" t="str">
        <f t="shared" si="8"/>
        <v>200;1000;100;30;-10;200;-50;0;100</v>
      </c>
      <c r="AC64" s="36" t="str">
        <f>CONCATENATE(IF(ISNUMBER(AM64),CONCATENATE(AM64,";"),CONCATENATE("0;")),IF(ISNUMBER(AN64),CONCATENATE(AN64,";"),CONCATENATE("0;")),IF(ISNUMBER(AO64),CONCATENATE(AO64,";"),CONCATENATE("0;")),IF(ISNUMBER(AP64),CONCATENATE(AP64,";"),CONCATENATE("0;")),IF(ISNUMBER(AQ64),CONCATENATE(AQ64,";"),CONCATENATE("0;")),IF(ISNUMBER(AR64),CONCATENATE(AR64,";"),CONCATENATE("0;")),IF(ISNUMBER(AS64),CONCATENATE(AS64,";"),CONCATENATE("0;")),IF(ISNUMBER(#REF!),CONCATENATE(#REF!,";"),CONCATENATE("0;")),IF(ISNUMBER(#REF!),#REF!,"0"))</f>
        <v>360;300;130;50;180;350;150;0;0</v>
      </c>
      <c r="AD64" s="39">
        <f t="shared" ref="AD64:AS64" si="17">AD58</f>
        <v>200</v>
      </c>
      <c r="AE64" s="39">
        <f t="shared" si="17"/>
        <v>1000</v>
      </c>
      <c r="AF64" s="39">
        <f t="shared" si="17"/>
        <v>100</v>
      </c>
      <c r="AG64" s="39">
        <f t="shared" si="17"/>
        <v>30</v>
      </c>
      <c r="AH64" s="39">
        <f t="shared" si="17"/>
        <v>-10</v>
      </c>
      <c r="AI64" s="39">
        <f t="shared" si="17"/>
        <v>200</v>
      </c>
      <c r="AJ64" s="39">
        <f t="shared" si="17"/>
        <v>-50</v>
      </c>
      <c r="AK64" s="39">
        <f t="shared" si="17"/>
        <v>0</v>
      </c>
      <c r="AL64" s="39">
        <f t="shared" si="17"/>
        <v>100</v>
      </c>
      <c r="AM64" s="43">
        <f t="shared" si="17"/>
        <v>360</v>
      </c>
      <c r="AN64" s="43">
        <f t="shared" si="17"/>
        <v>300</v>
      </c>
      <c r="AO64" s="43">
        <f t="shared" si="17"/>
        <v>130</v>
      </c>
      <c r="AP64" s="43">
        <f t="shared" si="17"/>
        <v>50</v>
      </c>
      <c r="AQ64" s="43">
        <f t="shared" si="17"/>
        <v>180</v>
      </c>
      <c r="AR64" s="43">
        <f t="shared" si="17"/>
        <v>350</v>
      </c>
      <c r="AS64" s="43">
        <f t="shared" si="17"/>
        <v>150</v>
      </c>
    </row>
    <row r="65" spans="1:45">
      <c r="A65" s="35"/>
      <c r="B65" s="35" t="s">
        <v>127</v>
      </c>
      <c r="C65" s="31">
        <v>3</v>
      </c>
      <c r="D65" s="31" t="str">
        <f>D54</f>
        <v>equip_101_name</v>
      </c>
      <c r="E65" s="31" t="str">
        <f>E54</f>
        <v>pic_player_weapon_10101</v>
      </c>
      <c r="F65" s="31" t="str">
        <f>F54</f>
        <v>equip_101_desc</v>
      </c>
      <c r="G65" s="31">
        <v>1</v>
      </c>
      <c r="H65" s="31" cm="1">
        <f t="array" ref="H65">_xlfn.IFS(G65=1,40,G65=2,60,G65=3,100)</f>
        <v>40</v>
      </c>
      <c r="I65" s="31" t="str" cm="1">
        <f t="array" ref="I65">_xlfn.IFS(C65&lt;3,CONCATENATE("model_monster_weapon_",A65),C65=3,CONCATENATE("model_player_weapon_",A65))</f>
        <v>model_player_weapon_</v>
      </c>
      <c r="K65" s="31">
        <v>2</v>
      </c>
      <c r="O65" s="31"/>
      <c r="P65" s="31"/>
      <c r="V65" s="31">
        <f t="shared" ref="V65:V70" si="18">_xlfn.IFS(K65=1,AD65+AE65+AI65+AL65,K65=2,AD65+AE65+AF65+AK65+AL65,K65=3,(AD65+AE65+AF65+AI65+AL65)*AJ65+(AJ65-1)*AK65)</f>
        <v>1000</v>
      </c>
      <c r="W65" s="31">
        <f>AD65+AE65+AF65</f>
        <v>525</v>
      </c>
      <c r="X65" s="31">
        <v>0</v>
      </c>
      <c r="Y65" s="31">
        <f>AK65+AL65</f>
        <v>475</v>
      </c>
      <c r="Z65" s="31">
        <v>2000</v>
      </c>
      <c r="AA65" s="31">
        <f t="shared" ref="AA65:AA70" si="19">AN65+AO65+AR65</f>
        <v>770</v>
      </c>
      <c r="AB65" s="31" t="str">
        <f t="shared" si="8"/>
        <v>350;125;50;52;-120;300;400;100;375</v>
      </c>
      <c r="AC65" s="31" t="str">
        <f>CONCATENATE(IF(ISNUMBER(AM65),CONCATENATE(AM65,";"),CONCATENATE("0;")),IF(ISNUMBER(AN65),CONCATENATE(AN65,";"),CONCATENATE("0;")),IF(ISNUMBER(AO65),CONCATENATE(AO65,";"),CONCATENATE("0;")),IF(ISNUMBER(AP65),CONCATENATE(AP65,";"),CONCATENATE("0;")),IF(ISNUMBER(AQ65),CONCATENATE(AQ65,";"),CONCATENATE("0;")),IF(ISNUMBER(AR65),CONCATENATE(AR65,";"),CONCATENATE("0;")),IF(ISNUMBER(AS65),CONCATENATE(AS65,";"),CONCATENATE("0;")),IF(ISNUMBER(#REF!),CONCATENATE(#REF!,";"),CONCATENATE("0;")),IF(ISNUMBER(#REF!),#REF!,"0"))</f>
        <v>360;300;120;50;180;350;150;0;0</v>
      </c>
      <c r="AD65" s="39">
        <v>350</v>
      </c>
      <c r="AE65" s="39">
        <v>125</v>
      </c>
      <c r="AF65" s="39">
        <v>50</v>
      </c>
      <c r="AG65" s="39">
        <v>52</v>
      </c>
      <c r="AH65" s="39">
        <v>-120</v>
      </c>
      <c r="AI65" s="39">
        <v>300</v>
      </c>
      <c r="AJ65" s="39">
        <v>400</v>
      </c>
      <c r="AK65" s="39">
        <v>100</v>
      </c>
      <c r="AL65" s="39">
        <v>375</v>
      </c>
      <c r="AM65" s="43">
        <f t="shared" ref="AM65:AM70" si="20">ROUNDDOWN(360-AT65,0)</f>
        <v>360</v>
      </c>
      <c r="AN65" s="43">
        <v>300</v>
      </c>
      <c r="AO65" s="43">
        <v>120</v>
      </c>
      <c r="AP65" s="43">
        <v>50</v>
      </c>
      <c r="AQ65" s="43">
        <v>180</v>
      </c>
      <c r="AR65" s="43">
        <v>350</v>
      </c>
      <c r="AS65" s="43">
        <v>150</v>
      </c>
    </row>
    <row r="66" spans="1:45">
      <c r="A66" s="35"/>
      <c r="B66" s="35" t="s">
        <v>130</v>
      </c>
      <c r="C66" s="31">
        <v>3</v>
      </c>
      <c r="D66" s="31" t="str">
        <f t="shared" ref="D66:D75" si="21">D55</f>
        <v>equip_102_name</v>
      </c>
      <c r="E66" s="31" t="str">
        <f t="shared" ref="E66:E75" si="22">E55</f>
        <v>pic_player_weapon_10201</v>
      </c>
      <c r="F66" s="31" t="str">
        <f t="shared" ref="F66:F75" si="23">F55</f>
        <v>equip_102_desc</v>
      </c>
      <c r="G66" s="31">
        <v>1</v>
      </c>
      <c r="H66" s="31" cm="1">
        <f t="array" ref="H66">_xlfn.IFS(G66=1,40,G66=2,60,G66=3,100)</f>
        <v>40</v>
      </c>
      <c r="I66" s="31" t="str" cm="1">
        <f t="array" ref="I66">_xlfn.IFS(C66&lt;3,CONCATENATE("model_monster_weapon_",A66),C66=3,CONCATENATE("model_player_weapon_",A66))</f>
        <v>model_player_weapon_</v>
      </c>
      <c r="K66" s="31">
        <v>2</v>
      </c>
      <c r="O66" s="31"/>
      <c r="P66" s="31"/>
      <c r="V66" s="31">
        <f t="shared" si="18"/>
        <v>2400</v>
      </c>
      <c r="W66" s="31">
        <f>AD66</f>
        <v>150</v>
      </c>
      <c r="X66" s="31">
        <f>AE66</f>
        <v>1500</v>
      </c>
      <c r="Y66" s="31">
        <f>AF66+AK66+AL66</f>
        <v>750</v>
      </c>
      <c r="Z66" s="31">
        <v>3000</v>
      </c>
      <c r="AA66" s="31">
        <f t="shared" si="19"/>
        <v>770</v>
      </c>
      <c r="AB66" s="31" t="str">
        <f t="shared" si="8"/>
        <v>150;1500;150;12;-30;75;50;400;200</v>
      </c>
      <c r="AC66" s="31" t="str">
        <f>CONCATENATE(IF(ISNUMBER(AM66),CONCATENATE(AM66,";"),CONCATENATE("0;")),IF(ISNUMBER(AN66),CONCATENATE(AN66,";"),CONCATENATE("0;")),IF(ISNUMBER(AO66),CONCATENATE(AO66,";"),CONCATENATE("0;")),IF(ISNUMBER(AP66),CONCATENATE(AP66,";"),CONCATENATE("0;")),IF(ISNUMBER(AQ66),CONCATENATE(AQ66,";"),CONCATENATE("0;")),IF(ISNUMBER(AR66),CONCATENATE(AR66,";"),CONCATENATE("0;")),IF(ISNUMBER(AS66),CONCATENATE(AS66,";"),CONCATENATE("0;")),IF(ISNUMBER(#REF!),CONCATENATE(#REF!,";"),CONCATENATE("0;")),IF(ISNUMBER(#REF!),#REF!,"0"))</f>
        <v>360;300;120;50;180;350;135;0;0</v>
      </c>
      <c r="AD66" s="39">
        <v>150</v>
      </c>
      <c r="AE66" s="39">
        <v>1500</v>
      </c>
      <c r="AF66" s="39">
        <v>150</v>
      </c>
      <c r="AG66" s="39">
        <v>12</v>
      </c>
      <c r="AH66" s="39">
        <v>-30</v>
      </c>
      <c r="AI66" s="39">
        <v>75</v>
      </c>
      <c r="AJ66" s="39">
        <v>50</v>
      </c>
      <c r="AK66" s="39">
        <v>400</v>
      </c>
      <c r="AL66" s="39">
        <v>200</v>
      </c>
      <c r="AM66" s="43">
        <f t="shared" si="20"/>
        <v>360</v>
      </c>
      <c r="AN66" s="43">
        <v>300</v>
      </c>
      <c r="AO66" s="43">
        <v>120</v>
      </c>
      <c r="AP66" s="43">
        <v>50</v>
      </c>
      <c r="AQ66" s="43">
        <v>180</v>
      </c>
      <c r="AR66" s="43">
        <v>350</v>
      </c>
      <c r="AS66" s="43">
        <v>135</v>
      </c>
    </row>
    <row r="67" spans="1:45">
      <c r="A67" s="35"/>
      <c r="B67" s="35" t="s">
        <v>105</v>
      </c>
      <c r="C67" s="31">
        <v>3</v>
      </c>
      <c r="D67" s="31" t="str">
        <f t="shared" si="21"/>
        <v>equip_103_name</v>
      </c>
      <c r="E67" s="31" t="str">
        <f t="shared" si="22"/>
        <v>pic_player_weapon_10301</v>
      </c>
      <c r="F67" s="31" t="str">
        <f t="shared" si="23"/>
        <v>equip_103_desc</v>
      </c>
      <c r="G67" s="31">
        <v>1</v>
      </c>
      <c r="H67" s="31" cm="1">
        <f t="array" ref="H67">_xlfn.IFS(G67=1,40,G67=2,60,G67=3,100)</f>
        <v>40</v>
      </c>
      <c r="I67" s="31" t="str" cm="1">
        <f t="array" ref="I67">_xlfn.IFS(C67&lt;3,CONCATENATE("model_monster_weapon_",A67),C67=3,CONCATENATE("model_player_weapon_",A67))</f>
        <v>model_player_weapon_</v>
      </c>
      <c r="K67" s="31">
        <v>3</v>
      </c>
      <c r="O67" s="31"/>
      <c r="P67" s="31"/>
      <c r="V67" s="31">
        <f t="shared" si="18"/>
        <v>3350</v>
      </c>
      <c r="W67" s="31">
        <f>AD67+AE67*0.5</f>
        <v>250</v>
      </c>
      <c r="X67" s="31">
        <f>V67-W67-Y67</f>
        <v>3000</v>
      </c>
      <c r="Y67" s="31">
        <f>AL67</f>
        <v>100</v>
      </c>
      <c r="Z67" s="31">
        <v>5000</v>
      </c>
      <c r="AA67" s="31">
        <f t="shared" si="19"/>
        <v>768</v>
      </c>
      <c r="AB67" s="31" t="str">
        <f t="shared" si="8"/>
        <v>50;400;100;-10;30;400;3;100;100</v>
      </c>
      <c r="AC67" s="31" t="str">
        <f>CONCATENATE(IF(ISNUMBER(AM67),CONCATENATE(AM67,";"),CONCATENATE("0;")),IF(ISNUMBER(AN67),CONCATENATE(AN67,";"),CONCATENATE("0;")),IF(ISNUMBER(AO67),CONCATENATE(AO67,";"),CONCATENATE("0;")),IF(ISNUMBER(AP67),CONCATENATE(AP67,";"),CONCATENATE("0;")),IF(ISNUMBER(AQ67),CONCATENATE(AQ67,";"),CONCATENATE("0;")),IF(ISNUMBER(AR67),CONCATENATE(AR67,";"),CONCATENATE("0;")),IF(ISNUMBER(AS67),CONCATENATE(AS67,";"),CONCATENATE("0;")),IF(ISNUMBER(#REF!),CONCATENATE(#REF!,";"),CONCATENATE("0;")),IF(ISNUMBER(#REF!),#REF!,"0"))</f>
        <v>360;300;118;50;180;350;138;0;0</v>
      </c>
      <c r="AD67" s="39">
        <v>50</v>
      </c>
      <c r="AE67" s="39">
        <v>400</v>
      </c>
      <c r="AF67" s="39">
        <v>100</v>
      </c>
      <c r="AG67" s="39">
        <v>-10</v>
      </c>
      <c r="AH67" s="39">
        <v>30</v>
      </c>
      <c r="AI67" s="39">
        <v>400</v>
      </c>
      <c r="AJ67" s="39">
        <v>3</v>
      </c>
      <c r="AK67" s="39">
        <v>100</v>
      </c>
      <c r="AL67" s="39">
        <v>100</v>
      </c>
      <c r="AM67" s="43">
        <f t="shared" si="20"/>
        <v>360</v>
      </c>
      <c r="AN67" s="43">
        <v>300</v>
      </c>
      <c r="AO67" s="43">
        <v>118</v>
      </c>
      <c r="AP67" s="43">
        <v>50</v>
      </c>
      <c r="AQ67" s="43">
        <v>180</v>
      </c>
      <c r="AR67" s="43">
        <v>350</v>
      </c>
      <c r="AS67" s="43">
        <v>138</v>
      </c>
    </row>
    <row r="68" spans="1:45">
      <c r="A68" s="35"/>
      <c r="B68" s="35" t="s">
        <v>135</v>
      </c>
      <c r="C68" s="31">
        <v>3</v>
      </c>
      <c r="D68" s="31" t="str">
        <f t="shared" si="21"/>
        <v>equip_104_name</v>
      </c>
      <c r="E68" s="31" t="str">
        <f t="shared" si="22"/>
        <v>pic_player_weapon_10401</v>
      </c>
      <c r="F68" s="31" t="str">
        <f t="shared" si="23"/>
        <v>equip_104_desc</v>
      </c>
      <c r="G68" s="31">
        <v>1</v>
      </c>
      <c r="H68" s="31" cm="1">
        <f t="array" ref="H68">_xlfn.IFS(G68=1,40,G68=2,60,G68=3,100)</f>
        <v>40</v>
      </c>
      <c r="I68" s="31" t="str" cm="1">
        <f t="array" ref="I68">_xlfn.IFS(C68&lt;3,CONCATENATE("model_monster_weapon_",A68),C68=3,CONCATENATE("model_player_weapon_",A68))</f>
        <v>model_player_weapon_</v>
      </c>
      <c r="K68" s="31">
        <v>1</v>
      </c>
      <c r="O68" s="31"/>
      <c r="P68" s="31"/>
      <c r="V68" s="31">
        <f t="shared" si="18"/>
        <v>1000</v>
      </c>
      <c r="W68" s="31">
        <f>AD68+AE68</f>
        <v>500</v>
      </c>
      <c r="X68" s="31">
        <v>0</v>
      </c>
      <c r="Y68" s="31">
        <f>AI68+AL68</f>
        <v>500</v>
      </c>
      <c r="Z68" s="31">
        <v>3000</v>
      </c>
      <c r="AA68" s="31">
        <f t="shared" si="19"/>
        <v>778</v>
      </c>
      <c r="AB68" s="31" t="str">
        <f t="shared" si="8"/>
        <v>450;50;5;40;70;200;0;0;300</v>
      </c>
      <c r="AC68" s="31" t="str">
        <f>CONCATENATE(IF(ISNUMBER(AM68),CONCATENATE(AM68,";"),CONCATENATE("0;")),IF(ISNUMBER(AN68),CONCATENATE(AN68,";"),CONCATENATE("0;")),IF(ISNUMBER(AO68),CONCATENATE(AO68,";"),CONCATENATE("0;")),IF(ISNUMBER(AP68),CONCATENATE(AP68,";"),CONCATENATE("0;")),IF(ISNUMBER(AQ68),CONCATENATE(AQ68,";"),CONCATENATE("0;")),IF(ISNUMBER(AR68),CONCATENATE(AR68,";"),CONCATENATE("0;")),IF(ISNUMBER(AS68),CONCATENATE(AS68,";"),CONCATENATE("0;")),IF(ISNUMBER(#REF!),CONCATENATE(#REF!,";"),CONCATENATE("0;")),IF(ISNUMBER(#REF!),#REF!,"0"))</f>
        <v>360;300;128;50;180;350;145;0;0</v>
      </c>
      <c r="AD68" s="39">
        <v>450</v>
      </c>
      <c r="AE68" s="39">
        <v>50</v>
      </c>
      <c r="AF68" s="39">
        <v>5</v>
      </c>
      <c r="AG68" s="39">
        <v>40</v>
      </c>
      <c r="AH68" s="39">
        <v>70</v>
      </c>
      <c r="AI68" s="39">
        <v>200</v>
      </c>
      <c r="AJ68" s="39">
        <v>0</v>
      </c>
      <c r="AK68" s="39">
        <v>0</v>
      </c>
      <c r="AL68" s="39">
        <v>300</v>
      </c>
      <c r="AM68" s="43">
        <f t="shared" si="20"/>
        <v>360</v>
      </c>
      <c r="AN68" s="43">
        <v>300</v>
      </c>
      <c r="AO68" s="43">
        <v>128</v>
      </c>
      <c r="AP68" s="43">
        <v>50</v>
      </c>
      <c r="AQ68" s="43">
        <v>180</v>
      </c>
      <c r="AR68" s="43">
        <v>350</v>
      </c>
      <c r="AS68" s="43">
        <v>145</v>
      </c>
    </row>
    <row r="69" spans="1:45">
      <c r="A69" s="35"/>
      <c r="B69" s="35" t="s">
        <v>138</v>
      </c>
      <c r="C69" s="31">
        <v>3</v>
      </c>
      <c r="D69" s="31" t="str">
        <f t="shared" si="21"/>
        <v>equip_105_name</v>
      </c>
      <c r="E69" s="31" t="str">
        <f t="shared" si="22"/>
        <v>pic_player_weapon_10501</v>
      </c>
      <c r="F69" s="31" t="str">
        <f t="shared" si="23"/>
        <v>equip_105_desc</v>
      </c>
      <c r="G69" s="31">
        <v>1</v>
      </c>
      <c r="H69" s="31" cm="1">
        <f t="array" ref="H69">_xlfn.IFS(G69=1,40,G69=2,60,G69=3,100)</f>
        <v>40</v>
      </c>
      <c r="I69" s="31" t="str" cm="1">
        <f t="array" ref="I69">_xlfn.IFS(C69&lt;3,CONCATENATE("model_monster_weapon_",A69),C69=3,CONCATENATE("model_player_weapon_",A69))</f>
        <v>model_player_weapon_</v>
      </c>
      <c r="K69" s="31">
        <v>2</v>
      </c>
      <c r="O69" s="31"/>
      <c r="P69" s="31"/>
      <c r="V69" s="31">
        <f t="shared" si="18"/>
        <v>1400</v>
      </c>
      <c r="W69" s="31">
        <f>AD69</f>
        <v>200</v>
      </c>
      <c r="X69" s="31">
        <f>V69-W69-Y69</f>
        <v>1000</v>
      </c>
      <c r="Y69" s="31">
        <f>AF69+AK69+AL69</f>
        <v>200</v>
      </c>
      <c r="Z69" s="31">
        <v>2000</v>
      </c>
      <c r="AA69" s="31">
        <f t="shared" si="19"/>
        <v>780</v>
      </c>
      <c r="AB69" s="31" t="str">
        <f t="shared" si="8"/>
        <v>200;1000;100;20;-10;120;-50;0;100</v>
      </c>
      <c r="AC69" s="31" t="str">
        <f>CONCATENATE(IF(ISNUMBER(AM69),CONCATENATE(AM69,";"),CONCATENATE("0;")),IF(ISNUMBER(AN69),CONCATENATE(AN69,";"),CONCATENATE("0;")),IF(ISNUMBER(AO69),CONCATENATE(AO69,";"),CONCATENATE("0;")),IF(ISNUMBER(AP69),CONCATENATE(AP69,";"),CONCATENATE("0;")),IF(ISNUMBER(AQ69),CONCATENATE(AQ69,";"),CONCATENATE("0;")),IF(ISNUMBER(AR69),CONCATENATE(AR69,";"),CONCATENATE("0;")),IF(ISNUMBER(AS69),CONCATENATE(AS69,";"),CONCATENATE("0;")),IF(ISNUMBER(#REF!),CONCATENATE(#REF!,";"),CONCATENATE("0;")),IF(ISNUMBER(#REF!),#REF!,"0"))</f>
        <v>360;300;130;50;180;350;150;0;0</v>
      </c>
      <c r="AD69" s="39">
        <v>200</v>
      </c>
      <c r="AE69" s="39">
        <v>1000</v>
      </c>
      <c r="AF69" s="39">
        <v>100</v>
      </c>
      <c r="AG69" s="39">
        <v>20</v>
      </c>
      <c r="AH69" s="39">
        <v>-10</v>
      </c>
      <c r="AI69" s="39">
        <v>120</v>
      </c>
      <c r="AJ69" s="39">
        <v>-50</v>
      </c>
      <c r="AK69" s="39">
        <v>0</v>
      </c>
      <c r="AL69" s="39">
        <v>100</v>
      </c>
      <c r="AM69" s="43">
        <f t="shared" si="20"/>
        <v>360</v>
      </c>
      <c r="AN69" s="43">
        <v>300</v>
      </c>
      <c r="AO69" s="43">
        <v>130</v>
      </c>
      <c r="AP69" s="43">
        <v>50</v>
      </c>
      <c r="AQ69" s="43">
        <v>180</v>
      </c>
      <c r="AR69" s="43">
        <v>350</v>
      </c>
      <c r="AS69" s="43">
        <v>150</v>
      </c>
    </row>
    <row r="70" spans="1:45">
      <c r="A70" s="35"/>
      <c r="B70" s="35" t="s">
        <v>141</v>
      </c>
      <c r="C70" s="31">
        <v>3</v>
      </c>
      <c r="D70" s="31" t="str">
        <f t="shared" si="21"/>
        <v>equip_151_name</v>
      </c>
      <c r="E70" s="31" t="str">
        <f t="shared" si="22"/>
        <v>pic_player_weapon_15104</v>
      </c>
      <c r="F70" s="31" t="str">
        <f t="shared" si="23"/>
        <v>equip_151_desc</v>
      </c>
      <c r="G70" s="31">
        <v>3</v>
      </c>
      <c r="H70" s="31" cm="1">
        <f t="array" ref="H70">_xlfn.IFS(G70=1,40,G70=2,60,G70=3,100)</f>
        <v>100</v>
      </c>
      <c r="I70" s="31" t="str" cm="1">
        <f t="array" ref="I70">_xlfn.IFS(C70&lt;3,CONCATENATE("model_monster_weapon_",A70),C70=3,CONCATENATE("model_player_weapon_",A70))</f>
        <v>model_player_weapon_</v>
      </c>
      <c r="K70" s="31">
        <v>2</v>
      </c>
      <c r="O70" s="31"/>
      <c r="P70" s="31"/>
      <c r="V70" s="31">
        <f t="shared" si="18"/>
        <v>800</v>
      </c>
      <c r="W70" s="31">
        <f>AD70+AE70+AF70</f>
        <v>460</v>
      </c>
      <c r="X70" s="31">
        <v>0</v>
      </c>
      <c r="Y70" s="31">
        <f>AK70+AL70</f>
        <v>340</v>
      </c>
      <c r="Z70" s="31">
        <v>1000</v>
      </c>
      <c r="AA70" s="31">
        <f t="shared" si="19"/>
        <v>770</v>
      </c>
      <c r="AB70" s="31" t="str">
        <f t="shared" si="8"/>
        <v>300;100;60;32;-36;85;145;270;70</v>
      </c>
      <c r="AC70" s="31" t="str">
        <f>CONCATENATE(IF(ISNUMBER(AM70),CONCATENATE(AM70,";"),CONCATENATE("0;")),IF(ISNUMBER(AN70),CONCATENATE(AN70,";"),CONCATENATE("0;")),IF(ISNUMBER(AO70),CONCATENATE(AO70,";"),CONCATENATE("0;")),IF(ISNUMBER(AP70),CONCATENATE(AP70,";"),CONCATENATE("0;")),IF(ISNUMBER(AQ70),CONCATENATE(AQ70,";"),CONCATENATE("0;")),IF(ISNUMBER(AR70),CONCATENATE(AR70,";"),CONCATENATE("0;")),IF(ISNUMBER(AS70),CONCATENATE(AS70,";"),CONCATENATE("0;")),IF(ISNUMBER(#REF!),CONCATENATE(#REF!,";"),CONCATENATE("0;")),IF(ISNUMBER(#REF!),#REF!,"0"))</f>
        <v>360;300;120;50;180;350;135;0;0</v>
      </c>
      <c r="AD70" s="39">
        <v>300</v>
      </c>
      <c r="AE70" s="39">
        <v>100</v>
      </c>
      <c r="AF70" s="39">
        <v>60</v>
      </c>
      <c r="AG70" s="39">
        <v>32</v>
      </c>
      <c r="AH70" s="39">
        <v>-36</v>
      </c>
      <c r="AI70" s="39">
        <v>85</v>
      </c>
      <c r="AJ70" s="39">
        <v>145</v>
      </c>
      <c r="AK70" s="39">
        <v>270</v>
      </c>
      <c r="AL70" s="39">
        <v>70</v>
      </c>
      <c r="AM70" s="43">
        <f t="shared" si="20"/>
        <v>360</v>
      </c>
      <c r="AN70" s="43">
        <v>300</v>
      </c>
      <c r="AO70" s="43">
        <v>120</v>
      </c>
      <c r="AP70" s="43">
        <v>50</v>
      </c>
      <c r="AQ70" s="43">
        <v>180</v>
      </c>
      <c r="AR70" s="43">
        <v>350</v>
      </c>
      <c r="AS70" s="43">
        <v>135</v>
      </c>
    </row>
    <row r="71" spans="1:45">
      <c r="A71" s="35"/>
      <c r="B71" s="35" t="s">
        <v>144</v>
      </c>
      <c r="C71" s="31">
        <v>3</v>
      </c>
      <c r="D71" s="31" t="str">
        <f t="shared" si="21"/>
        <v>player_weapon_10104_name</v>
      </c>
      <c r="E71" s="31" t="str">
        <f t="shared" si="22"/>
        <v>pic_player_weapon_10104</v>
      </c>
      <c r="F71" s="31" t="str">
        <f t="shared" si="23"/>
        <v>player_weapon_10104_desc</v>
      </c>
      <c r="G71" s="31">
        <v>3</v>
      </c>
      <c r="H71" s="31" cm="1">
        <f t="array" ref="H71">_xlfn.IFS(G71=1,40,G71=2,60,G71=3,100)</f>
        <v>100</v>
      </c>
      <c r="I71" s="31" t="str" cm="1">
        <f t="array" ref="I71">_xlfn.IFS(C71&lt;3,CONCATENATE("model_monster_weapon_",A71),C71=3,CONCATENATE("model_player_weapon_",A71))</f>
        <v>model_player_weapon_</v>
      </c>
      <c r="K71" s="31">
        <v>2</v>
      </c>
      <c r="O71" s="31"/>
      <c r="P71" s="31"/>
      <c r="V71" s="36">
        <f t="shared" ref="V71:AA71" si="24">V65</f>
        <v>1000</v>
      </c>
      <c r="W71" s="36">
        <f t="shared" si="24"/>
        <v>525</v>
      </c>
      <c r="X71" s="36">
        <f t="shared" si="24"/>
        <v>0</v>
      </c>
      <c r="Y71" s="36">
        <f t="shared" si="24"/>
        <v>475</v>
      </c>
      <c r="Z71" s="36">
        <f t="shared" si="24"/>
        <v>2000</v>
      </c>
      <c r="AA71" s="36">
        <f t="shared" si="24"/>
        <v>770</v>
      </c>
      <c r="AB71" s="36" t="str">
        <f t="shared" si="8"/>
        <v>350;125;50;52;-120;300;400;100;375</v>
      </c>
      <c r="AC71" s="36" t="str">
        <f>CONCATENATE(IF(ISNUMBER(AM71),CONCATENATE(AM71,";"),CONCATENATE("0;")),IF(ISNUMBER(AN71),CONCATENATE(AN71,";"),CONCATENATE("0;")),IF(ISNUMBER(AO71),CONCATENATE(AO71,";"),CONCATENATE("0;")),IF(ISNUMBER(AP71),CONCATENATE(AP71,";"),CONCATENATE("0;")),IF(ISNUMBER(AQ71),CONCATENATE(AQ71,";"),CONCATENATE("0;")),IF(ISNUMBER(AR71),CONCATENATE(AR71,";"),CONCATENATE("0;")),IF(ISNUMBER(AS71),CONCATENATE(AS71,";"),CONCATENATE("0;")),IF(ISNUMBER(#REF!),CONCATENATE(#REF!,";"),CONCATENATE("0;")),IF(ISNUMBER(#REF!),#REF!,"0"))</f>
        <v>360;300;120;50;180;350;155;0;0</v>
      </c>
      <c r="AD71" s="39">
        <f t="shared" ref="AD71:AR71" si="25">AD65</f>
        <v>350</v>
      </c>
      <c r="AE71" s="39">
        <f t="shared" si="25"/>
        <v>125</v>
      </c>
      <c r="AF71" s="39">
        <f t="shared" si="25"/>
        <v>50</v>
      </c>
      <c r="AG71" s="39">
        <f t="shared" si="25"/>
        <v>52</v>
      </c>
      <c r="AH71" s="39">
        <f t="shared" si="25"/>
        <v>-120</v>
      </c>
      <c r="AI71" s="39">
        <f t="shared" si="25"/>
        <v>300</v>
      </c>
      <c r="AJ71" s="39">
        <f t="shared" si="25"/>
        <v>400</v>
      </c>
      <c r="AK71" s="39">
        <f t="shared" si="25"/>
        <v>100</v>
      </c>
      <c r="AL71" s="39">
        <f t="shared" si="25"/>
        <v>375</v>
      </c>
      <c r="AM71" s="43">
        <f t="shared" si="25"/>
        <v>360</v>
      </c>
      <c r="AN71" s="43">
        <f t="shared" si="25"/>
        <v>300</v>
      </c>
      <c r="AO71" s="43">
        <f t="shared" si="25"/>
        <v>120</v>
      </c>
      <c r="AP71" s="43">
        <f t="shared" si="25"/>
        <v>50</v>
      </c>
      <c r="AQ71" s="43">
        <f t="shared" si="25"/>
        <v>180</v>
      </c>
      <c r="AR71" s="43">
        <f t="shared" si="25"/>
        <v>350</v>
      </c>
      <c r="AS71" s="43">
        <v>155</v>
      </c>
    </row>
    <row r="72" spans="1:45">
      <c r="A72" s="35"/>
      <c r="B72" s="35" t="s">
        <v>145</v>
      </c>
      <c r="C72" s="31">
        <v>3</v>
      </c>
      <c r="D72" s="31" t="str">
        <f t="shared" si="21"/>
        <v>player_weapon_10204_name</v>
      </c>
      <c r="E72" s="31" t="str">
        <f t="shared" si="22"/>
        <v>pic_player_weapon_10204</v>
      </c>
      <c r="F72" s="31" t="str">
        <f t="shared" si="23"/>
        <v>player_weapon_10204_desc</v>
      </c>
      <c r="G72" s="31">
        <v>3</v>
      </c>
      <c r="H72" s="31" cm="1">
        <f t="array" ref="H72">_xlfn.IFS(G72=1,40,G72=2,60,G72=3,100)</f>
        <v>100</v>
      </c>
      <c r="I72" s="31" t="str" cm="1">
        <f t="array" ref="I72">_xlfn.IFS(C72&lt;3,CONCATENATE("model_monster_weapon_",A72),C72=3,CONCATENATE("model_player_weapon_",A72))</f>
        <v>model_player_weapon_</v>
      </c>
      <c r="K72" s="31">
        <v>2</v>
      </c>
      <c r="O72" s="31"/>
      <c r="P72" s="31"/>
      <c r="V72" s="36">
        <f t="shared" ref="V72:AA72" si="26">V66</f>
        <v>2400</v>
      </c>
      <c r="W72" s="36">
        <f t="shared" si="26"/>
        <v>150</v>
      </c>
      <c r="X72" s="36">
        <f t="shared" si="26"/>
        <v>1500</v>
      </c>
      <c r="Y72" s="36">
        <f t="shared" si="26"/>
        <v>750</v>
      </c>
      <c r="Z72" s="36">
        <f t="shared" si="26"/>
        <v>3000</v>
      </c>
      <c r="AA72" s="36">
        <f t="shared" si="26"/>
        <v>770</v>
      </c>
      <c r="AB72" s="36" t="str">
        <f t="shared" si="8"/>
        <v>150;1500;150;12;-30;75;50;400;200</v>
      </c>
      <c r="AC72" s="36" t="str">
        <f>CONCATENATE(IF(ISNUMBER(AM72),CONCATENATE(AM72,";"),CONCATENATE("0;")),IF(ISNUMBER(AN72),CONCATENATE(AN72,";"),CONCATENATE("0;")),IF(ISNUMBER(AO72),CONCATENATE(AO72,";"),CONCATENATE("0;")),IF(ISNUMBER(AP72),CONCATENATE(AP72,";"),CONCATENATE("0;")),IF(ISNUMBER(AQ72),CONCATENATE(AQ72,";"),CONCATENATE("0;")),IF(ISNUMBER(AR72),CONCATENATE(AR72,";"),CONCATENATE("0;")),IF(ISNUMBER(AS72),CONCATENATE(AS72,";"),CONCATENATE("0;")),IF(ISNUMBER(#REF!),CONCATENATE(#REF!,";"),CONCATENATE("0;")),IF(ISNUMBER(#REF!),#REF!,"0"))</f>
        <v>360;300;120;50;180;350;135;0;0</v>
      </c>
      <c r="AD72" s="39">
        <f t="shared" ref="AD72:AS72" si="27">AD66</f>
        <v>150</v>
      </c>
      <c r="AE72" s="39">
        <f t="shared" si="27"/>
        <v>1500</v>
      </c>
      <c r="AF72" s="39">
        <f t="shared" si="27"/>
        <v>150</v>
      </c>
      <c r="AG72" s="39">
        <f t="shared" si="27"/>
        <v>12</v>
      </c>
      <c r="AH72" s="39">
        <f t="shared" si="27"/>
        <v>-30</v>
      </c>
      <c r="AI72" s="39">
        <f t="shared" si="27"/>
        <v>75</v>
      </c>
      <c r="AJ72" s="39">
        <f t="shared" si="27"/>
        <v>50</v>
      </c>
      <c r="AK72" s="39">
        <f t="shared" si="27"/>
        <v>400</v>
      </c>
      <c r="AL72" s="39">
        <f t="shared" si="27"/>
        <v>200</v>
      </c>
      <c r="AM72" s="43">
        <f t="shared" si="27"/>
        <v>360</v>
      </c>
      <c r="AN72" s="43">
        <f t="shared" si="27"/>
        <v>300</v>
      </c>
      <c r="AO72" s="43">
        <f t="shared" si="27"/>
        <v>120</v>
      </c>
      <c r="AP72" s="43">
        <f t="shared" si="27"/>
        <v>50</v>
      </c>
      <c r="AQ72" s="43">
        <f t="shared" si="27"/>
        <v>180</v>
      </c>
      <c r="AR72" s="43">
        <f t="shared" si="27"/>
        <v>350</v>
      </c>
      <c r="AS72" s="43">
        <f t="shared" si="27"/>
        <v>135</v>
      </c>
    </row>
    <row r="73" spans="1:45">
      <c r="A73" s="35"/>
      <c r="B73" s="35" t="s">
        <v>146</v>
      </c>
      <c r="C73" s="31">
        <v>3</v>
      </c>
      <c r="D73" s="31" t="str">
        <f t="shared" si="21"/>
        <v>player_weapon_10304_name</v>
      </c>
      <c r="E73" s="31" t="str">
        <f t="shared" si="22"/>
        <v>pic_player_weapon_10304</v>
      </c>
      <c r="F73" s="31" t="str">
        <f t="shared" si="23"/>
        <v>player_weapon_10304_desc</v>
      </c>
      <c r="G73" s="31">
        <v>3</v>
      </c>
      <c r="H73" s="31" cm="1">
        <f t="array" ref="H73">_xlfn.IFS(G73=1,40,G73=2,60,G73=3,100)</f>
        <v>100</v>
      </c>
      <c r="I73" s="31" t="str" cm="1">
        <f t="array" ref="I73">_xlfn.IFS(C73&lt;3,CONCATENATE("model_monster_weapon_",A73),C73=3,CONCATENATE("model_player_weapon_",A73))</f>
        <v>model_player_weapon_</v>
      </c>
      <c r="K73" s="31">
        <v>3</v>
      </c>
      <c r="O73" s="31"/>
      <c r="P73" s="31"/>
      <c r="V73" s="36">
        <f t="shared" ref="V73:AA73" si="28">V67</f>
        <v>3350</v>
      </c>
      <c r="W73" s="36">
        <f t="shared" si="28"/>
        <v>250</v>
      </c>
      <c r="X73" s="36">
        <f t="shared" si="28"/>
        <v>3000</v>
      </c>
      <c r="Y73" s="36">
        <f t="shared" si="28"/>
        <v>100</v>
      </c>
      <c r="Z73" s="36">
        <f t="shared" si="28"/>
        <v>5000</v>
      </c>
      <c r="AA73" s="36">
        <f t="shared" si="28"/>
        <v>768</v>
      </c>
      <c r="AB73" s="36" t="str">
        <f t="shared" si="8"/>
        <v>50;400;100;-10;30;400;3;100;100</v>
      </c>
      <c r="AC73" s="36" t="str">
        <f>CONCATENATE(IF(ISNUMBER(AM73),CONCATENATE(AM73,";"),CONCATENATE("0;")),IF(ISNUMBER(AN73),CONCATENATE(AN73,";"),CONCATENATE("0;")),IF(ISNUMBER(AO73),CONCATENATE(AO73,";"),CONCATENATE("0;")),IF(ISNUMBER(AP73),CONCATENATE(AP73,";"),CONCATENATE("0;")),IF(ISNUMBER(AQ73),CONCATENATE(AQ73,";"),CONCATENATE("0;")),IF(ISNUMBER(AR73),CONCATENATE(AR73,";"),CONCATENATE("0;")),IF(ISNUMBER(AS73),CONCATENATE(AS73,";"),CONCATENATE("0;")),IF(ISNUMBER(#REF!),CONCATENATE(#REF!,";"),CONCATENATE("0;")),IF(ISNUMBER(#REF!),#REF!,"0"))</f>
        <v>360;300;118;50;180;350;138;0;0</v>
      </c>
      <c r="AD73" s="39">
        <f t="shared" ref="AD73:AS73" si="29">AD67</f>
        <v>50</v>
      </c>
      <c r="AE73" s="39">
        <f t="shared" si="29"/>
        <v>400</v>
      </c>
      <c r="AF73" s="39">
        <f t="shared" si="29"/>
        <v>100</v>
      </c>
      <c r="AG73" s="39">
        <f t="shared" si="29"/>
        <v>-10</v>
      </c>
      <c r="AH73" s="39">
        <f t="shared" si="29"/>
        <v>30</v>
      </c>
      <c r="AI73" s="39">
        <f t="shared" si="29"/>
        <v>400</v>
      </c>
      <c r="AJ73" s="39">
        <f t="shared" si="29"/>
        <v>3</v>
      </c>
      <c r="AK73" s="39">
        <f t="shared" si="29"/>
        <v>100</v>
      </c>
      <c r="AL73" s="39">
        <f t="shared" si="29"/>
        <v>100</v>
      </c>
      <c r="AM73" s="43">
        <f t="shared" si="29"/>
        <v>360</v>
      </c>
      <c r="AN73" s="43">
        <f t="shared" si="29"/>
        <v>300</v>
      </c>
      <c r="AO73" s="43">
        <f t="shared" si="29"/>
        <v>118</v>
      </c>
      <c r="AP73" s="43">
        <f t="shared" si="29"/>
        <v>50</v>
      </c>
      <c r="AQ73" s="43">
        <f t="shared" si="29"/>
        <v>180</v>
      </c>
      <c r="AR73" s="43">
        <f t="shared" si="29"/>
        <v>350</v>
      </c>
      <c r="AS73" s="43">
        <f t="shared" si="29"/>
        <v>138</v>
      </c>
    </row>
    <row r="74" spans="1:45">
      <c r="A74" s="35"/>
      <c r="B74" s="35" t="s">
        <v>147</v>
      </c>
      <c r="C74" s="31">
        <v>3</v>
      </c>
      <c r="D74" s="31" t="str">
        <f t="shared" si="21"/>
        <v>player_weapon_10404_name</v>
      </c>
      <c r="E74" s="31" t="str">
        <f t="shared" si="22"/>
        <v>pic_player_weapon_10404</v>
      </c>
      <c r="F74" s="31" t="str">
        <f t="shared" si="23"/>
        <v>player_weapon_10404_desc</v>
      </c>
      <c r="G74" s="31">
        <v>3</v>
      </c>
      <c r="H74" s="31" cm="1">
        <f t="array" ref="H74">_xlfn.IFS(G74=1,40,G74=2,60,G74=3,100)</f>
        <v>100</v>
      </c>
      <c r="I74" s="31" t="str" cm="1">
        <f t="array" ref="I74">_xlfn.IFS(C74&lt;3,CONCATENATE("model_monster_weapon_",A74),C74=3,CONCATENATE("model_player_weapon_",A74))</f>
        <v>model_player_weapon_</v>
      </c>
      <c r="K74" s="31">
        <v>1</v>
      </c>
      <c r="O74" s="31"/>
      <c r="P74" s="31"/>
      <c r="V74" s="36">
        <f t="shared" ref="V74:AA74" si="30">V68</f>
        <v>1000</v>
      </c>
      <c r="W74" s="36">
        <f t="shared" si="30"/>
        <v>500</v>
      </c>
      <c r="X74" s="36">
        <f t="shared" si="30"/>
        <v>0</v>
      </c>
      <c r="Y74" s="36">
        <f t="shared" si="30"/>
        <v>500</v>
      </c>
      <c r="Z74" s="36">
        <f t="shared" si="30"/>
        <v>3000</v>
      </c>
      <c r="AA74" s="36">
        <f t="shared" si="30"/>
        <v>778</v>
      </c>
      <c r="AB74" s="36" t="str">
        <f t="shared" si="8"/>
        <v>450;50;5;40;70;200;0;0;300</v>
      </c>
      <c r="AC74" s="36" t="str">
        <f>CONCATENATE(IF(ISNUMBER(AM74),CONCATENATE(AM74,";"),CONCATENATE("0;")),IF(ISNUMBER(AN74),CONCATENATE(AN74,";"),CONCATENATE("0;")),IF(ISNUMBER(AO74),CONCATENATE(AO74,";"),CONCATENATE("0;")),IF(ISNUMBER(AP74),CONCATENATE(AP74,";"),CONCATENATE("0;")),IF(ISNUMBER(AQ74),CONCATENATE(AQ74,";"),CONCATENATE("0;")),IF(ISNUMBER(AR74),CONCATENATE(AR74,";"),CONCATENATE("0;")),IF(ISNUMBER(AS74),CONCATENATE(AS74,";"),CONCATENATE("0;")),IF(ISNUMBER(#REF!),CONCATENATE(#REF!,";"),CONCATENATE("0;")),IF(ISNUMBER(#REF!),#REF!,"0"))</f>
        <v>360;300;128;50;180;350;145;0;0</v>
      </c>
      <c r="AD74" s="39">
        <f t="shared" ref="AD74:AS74" si="31">AD68</f>
        <v>450</v>
      </c>
      <c r="AE74" s="39">
        <f t="shared" si="31"/>
        <v>50</v>
      </c>
      <c r="AF74" s="39">
        <f t="shared" si="31"/>
        <v>5</v>
      </c>
      <c r="AG74" s="39">
        <f t="shared" si="31"/>
        <v>40</v>
      </c>
      <c r="AH74" s="39">
        <f t="shared" si="31"/>
        <v>70</v>
      </c>
      <c r="AI74" s="39">
        <f t="shared" si="31"/>
        <v>200</v>
      </c>
      <c r="AJ74" s="39">
        <f t="shared" si="31"/>
        <v>0</v>
      </c>
      <c r="AK74" s="39">
        <f t="shared" si="31"/>
        <v>0</v>
      </c>
      <c r="AL74" s="39">
        <f t="shared" si="31"/>
        <v>300</v>
      </c>
      <c r="AM74" s="43">
        <f t="shared" si="31"/>
        <v>360</v>
      </c>
      <c r="AN74" s="43">
        <f t="shared" si="31"/>
        <v>300</v>
      </c>
      <c r="AO74" s="43">
        <f t="shared" si="31"/>
        <v>128</v>
      </c>
      <c r="AP74" s="43">
        <f t="shared" si="31"/>
        <v>50</v>
      </c>
      <c r="AQ74" s="43">
        <f t="shared" si="31"/>
        <v>180</v>
      </c>
      <c r="AR74" s="43">
        <f t="shared" si="31"/>
        <v>350</v>
      </c>
      <c r="AS74" s="43">
        <f t="shared" si="31"/>
        <v>145</v>
      </c>
    </row>
    <row r="75" spans="1:45">
      <c r="A75" s="35"/>
      <c r="B75" s="35" t="s">
        <v>148</v>
      </c>
      <c r="C75" s="31">
        <v>3</v>
      </c>
      <c r="D75" s="31" t="str">
        <f t="shared" si="21"/>
        <v>player_weapon_10504_name</v>
      </c>
      <c r="E75" s="31" t="str">
        <f t="shared" si="22"/>
        <v>pic_player_weapon_10504</v>
      </c>
      <c r="F75" s="31" t="str">
        <f t="shared" si="23"/>
        <v>player_weapon_10504_desc</v>
      </c>
      <c r="G75" s="31">
        <v>3</v>
      </c>
      <c r="H75" s="31" cm="1">
        <f t="array" ref="H75">_xlfn.IFS(G75=1,40,G75=2,60,G75=3,100)</f>
        <v>100</v>
      </c>
      <c r="I75" s="31" t="str" cm="1">
        <f t="array" ref="I75">_xlfn.IFS(C75&lt;3,CONCATENATE("model_monster_weapon_",A75),C75=3,CONCATENATE("model_player_weapon_",A75))</f>
        <v>model_player_weapon_</v>
      </c>
      <c r="K75" s="31">
        <v>2</v>
      </c>
      <c r="O75" s="31"/>
      <c r="P75" s="31"/>
      <c r="V75" s="36">
        <f t="shared" ref="V75:AA75" si="32">V69</f>
        <v>1400</v>
      </c>
      <c r="W75" s="36">
        <f t="shared" si="32"/>
        <v>200</v>
      </c>
      <c r="X75" s="36">
        <f t="shared" si="32"/>
        <v>1000</v>
      </c>
      <c r="Y75" s="36">
        <f t="shared" si="32"/>
        <v>200</v>
      </c>
      <c r="Z75" s="36">
        <f t="shared" si="32"/>
        <v>2000</v>
      </c>
      <c r="AA75" s="36">
        <f t="shared" si="32"/>
        <v>780</v>
      </c>
      <c r="AB75" s="36" t="str">
        <f t="shared" si="8"/>
        <v>200;1000;100;20;-10;120;-50;0;100</v>
      </c>
      <c r="AC75" s="36" t="str">
        <f>CONCATENATE(IF(ISNUMBER(AM75),CONCATENATE(AM75,";"),CONCATENATE("0;")),IF(ISNUMBER(AN75),CONCATENATE(AN75,";"),CONCATENATE("0;")),IF(ISNUMBER(AO75),CONCATENATE(AO75,";"),CONCATENATE("0;")),IF(ISNUMBER(AP75),CONCATENATE(AP75,";"),CONCATENATE("0;")),IF(ISNUMBER(AQ75),CONCATENATE(AQ75,";"),CONCATENATE("0;")),IF(ISNUMBER(AR75),CONCATENATE(AR75,";"),CONCATENATE("0;")),IF(ISNUMBER(AS75),CONCATENATE(AS75,";"),CONCATENATE("0;")),IF(ISNUMBER(#REF!),CONCATENATE(#REF!,";"),CONCATENATE("0;")),IF(ISNUMBER(#REF!),#REF!,"0"))</f>
        <v>360;300;130;50;180;350;150;0;0</v>
      </c>
      <c r="AD75" s="39">
        <f t="shared" ref="AD75:AS75" si="33">AD69</f>
        <v>200</v>
      </c>
      <c r="AE75" s="39">
        <f t="shared" si="33"/>
        <v>1000</v>
      </c>
      <c r="AF75" s="39">
        <f t="shared" si="33"/>
        <v>100</v>
      </c>
      <c r="AG75" s="39">
        <f t="shared" si="33"/>
        <v>20</v>
      </c>
      <c r="AH75" s="39">
        <f t="shared" si="33"/>
        <v>-10</v>
      </c>
      <c r="AI75" s="39">
        <f t="shared" si="33"/>
        <v>120</v>
      </c>
      <c r="AJ75" s="39">
        <f t="shared" si="33"/>
        <v>-50</v>
      </c>
      <c r="AK75" s="39">
        <f t="shared" si="33"/>
        <v>0</v>
      </c>
      <c r="AL75" s="39">
        <f t="shared" si="33"/>
        <v>100</v>
      </c>
      <c r="AM75" s="43">
        <f t="shared" si="33"/>
        <v>360</v>
      </c>
      <c r="AN75" s="43">
        <f t="shared" si="33"/>
        <v>300</v>
      </c>
      <c r="AO75" s="43">
        <f t="shared" si="33"/>
        <v>130</v>
      </c>
      <c r="AP75" s="43">
        <f t="shared" si="33"/>
        <v>50</v>
      </c>
      <c r="AQ75" s="43">
        <f t="shared" si="33"/>
        <v>180</v>
      </c>
      <c r="AR75" s="43">
        <f t="shared" si="33"/>
        <v>350</v>
      </c>
      <c r="AS75" s="43">
        <f t="shared" si="33"/>
        <v>150</v>
      </c>
    </row>
    <row r="76" spans="1:16">
      <c r="A76" s="31">
        <v>40001</v>
      </c>
      <c r="B76" s="31" t="s">
        <v>149</v>
      </c>
      <c r="C76" s="31">
        <v>4</v>
      </c>
      <c r="L76" s="31">
        <v>10000</v>
      </c>
      <c r="N76" s="31">
        <v>10000</v>
      </c>
      <c r="O76" s="31">
        <v>10000</v>
      </c>
      <c r="P76" s="31" t="s">
        <v>77</v>
      </c>
    </row>
    <row r="77" spans="1:16">
      <c r="A77" s="31">
        <v>40002</v>
      </c>
      <c r="B77" s="31" t="s">
        <v>150</v>
      </c>
      <c r="C77" s="31">
        <v>4</v>
      </c>
      <c r="L77" s="31">
        <v>10000</v>
      </c>
      <c r="N77" s="31">
        <v>10000</v>
      </c>
      <c r="O77" s="31">
        <v>10000</v>
      </c>
      <c r="P77" s="31" t="s">
        <v>94</v>
      </c>
    </row>
    <row r="78" spans="1:16">
      <c r="A78" s="31">
        <v>40003</v>
      </c>
      <c r="B78" s="31" t="s">
        <v>151</v>
      </c>
      <c r="C78" s="31">
        <v>4</v>
      </c>
      <c r="L78" s="31">
        <v>10000</v>
      </c>
      <c r="N78" s="31">
        <v>10000</v>
      </c>
      <c r="O78" s="31">
        <v>0</v>
      </c>
      <c r="P78" s="31" t="s">
        <v>77</v>
      </c>
    </row>
    <row r="79" spans="1:16">
      <c r="A79" s="31">
        <v>50001</v>
      </c>
      <c r="B79" s="31" t="s">
        <v>149</v>
      </c>
      <c r="C79" s="31">
        <v>5</v>
      </c>
      <c r="L79" s="31">
        <v>10000</v>
      </c>
      <c r="N79" s="31">
        <v>10000</v>
      </c>
      <c r="O79" s="31">
        <v>10000</v>
      </c>
      <c r="P79" s="31" t="s">
        <v>77</v>
      </c>
    </row>
    <row r="80" spans="1:16">
      <c r="A80" s="31">
        <v>50002</v>
      </c>
      <c r="B80" s="31" t="s">
        <v>150</v>
      </c>
      <c r="C80" s="31">
        <v>5</v>
      </c>
      <c r="L80" s="31">
        <v>10000</v>
      </c>
      <c r="N80" s="31">
        <v>10000</v>
      </c>
      <c r="O80" s="31">
        <v>10000</v>
      </c>
      <c r="P80" s="31" t="s">
        <v>152</v>
      </c>
    </row>
  </sheetData>
  <autoFilter xmlns:etc="http://www.wps.cn/officeDocument/2017/etCustomData" ref="A4:AL80" etc:filterBottomFollowUsedRange="0">
    <extLst/>
  </autoFilter>
  <conditionalFormatting sqref="Q38">
    <cfRule type="expression" dxfId="0" priority="45">
      <formula>OR($J38=1,$J38=2)</formula>
    </cfRule>
    <cfRule type="containsBlanks" dxfId="1" priority="46">
      <formula>LEN(TRIM(Q38))=0</formula>
    </cfRule>
  </conditionalFormatting>
  <conditionalFormatting sqref="N39">
    <cfRule type="containsBlanks" dxfId="1" priority="43">
      <formula>LEN(TRIM(N39))=0</formula>
    </cfRule>
  </conditionalFormatting>
  <conditionalFormatting sqref="O39">
    <cfRule type="containsBlanks" dxfId="1" priority="30">
      <formula>LEN(TRIM(O39))=0</formula>
    </cfRule>
  </conditionalFormatting>
  <conditionalFormatting sqref="N40">
    <cfRule type="containsBlanks" dxfId="1" priority="42">
      <formula>LEN(TRIM(N40))=0</formula>
    </cfRule>
  </conditionalFormatting>
  <conditionalFormatting sqref="O40">
    <cfRule type="containsBlanks" dxfId="1" priority="29">
      <formula>LEN(TRIM(O40))=0</formula>
    </cfRule>
  </conditionalFormatting>
  <conditionalFormatting sqref="N41">
    <cfRule type="containsBlanks" dxfId="1" priority="41">
      <formula>LEN(TRIM(N41))=0</formula>
    </cfRule>
  </conditionalFormatting>
  <conditionalFormatting sqref="O41">
    <cfRule type="containsBlanks" dxfId="1" priority="28">
      <formula>LEN(TRIM(O41))=0</formula>
    </cfRule>
  </conditionalFormatting>
  <conditionalFormatting sqref="N42">
    <cfRule type="containsBlanks" dxfId="1" priority="39">
      <formula>LEN(TRIM(N42))=0</formula>
    </cfRule>
  </conditionalFormatting>
  <conditionalFormatting sqref="O42">
    <cfRule type="containsBlanks" dxfId="1" priority="27">
      <formula>LEN(TRIM(O42))=0</formula>
    </cfRule>
  </conditionalFormatting>
  <conditionalFormatting sqref="N43">
    <cfRule type="containsBlanks" dxfId="1" priority="40">
      <formula>LEN(TRIM(N43))=0</formula>
    </cfRule>
  </conditionalFormatting>
  <conditionalFormatting sqref="O43">
    <cfRule type="containsBlanks" dxfId="1" priority="26">
      <formula>LEN(TRIM(O43))=0</formula>
    </cfRule>
  </conditionalFormatting>
  <conditionalFormatting sqref="N44">
    <cfRule type="containsBlanks" dxfId="1" priority="38">
      <formula>LEN(TRIM(N44))=0</formula>
    </cfRule>
  </conditionalFormatting>
  <conditionalFormatting sqref="O44">
    <cfRule type="containsBlanks" dxfId="1" priority="25">
      <formula>LEN(TRIM(O44))=0</formula>
    </cfRule>
  </conditionalFormatting>
  <conditionalFormatting sqref="N45">
    <cfRule type="containsBlanks" dxfId="1" priority="16">
      <formula>LEN(TRIM(N45))=0</formula>
    </cfRule>
  </conditionalFormatting>
  <conditionalFormatting sqref="O45">
    <cfRule type="containsBlanks" dxfId="1" priority="13">
      <formula>LEN(TRIM(O45))=0</formula>
    </cfRule>
  </conditionalFormatting>
  <conditionalFormatting sqref="N46">
    <cfRule type="containsBlanks" dxfId="1" priority="15">
      <formula>LEN(TRIM(N46))=0</formula>
    </cfRule>
  </conditionalFormatting>
  <conditionalFormatting sqref="O46">
    <cfRule type="containsBlanks" dxfId="1" priority="11">
      <formula>LEN(TRIM(O46))=0</formula>
    </cfRule>
  </conditionalFormatting>
  <conditionalFormatting sqref="N47">
    <cfRule type="containsBlanks" dxfId="1" priority="14">
      <formula>LEN(TRIM(N47))=0</formula>
    </cfRule>
  </conditionalFormatting>
  <conditionalFormatting sqref="O47">
    <cfRule type="containsBlanks" dxfId="1" priority="12">
      <formula>LEN(TRIM(O47))=0</formula>
    </cfRule>
  </conditionalFormatting>
  <conditionalFormatting sqref="N48">
    <cfRule type="containsBlanks" dxfId="1" priority="37">
      <formula>LEN(TRIM(N48))=0</formula>
    </cfRule>
  </conditionalFormatting>
  <conditionalFormatting sqref="O48">
    <cfRule type="containsBlanks" dxfId="1" priority="24">
      <formula>LEN(TRIM(O48))=0</formula>
    </cfRule>
  </conditionalFormatting>
  <conditionalFormatting sqref="N49">
    <cfRule type="containsBlanks" dxfId="1" priority="36">
      <formula>LEN(TRIM(N49))=0</formula>
    </cfRule>
  </conditionalFormatting>
  <conditionalFormatting sqref="O49">
    <cfRule type="containsBlanks" dxfId="1" priority="22">
      <formula>LEN(TRIM(O49))=0</formula>
    </cfRule>
  </conditionalFormatting>
  <conditionalFormatting sqref="N50">
    <cfRule type="containsBlanks" dxfId="1" priority="35">
      <formula>LEN(TRIM(N50))=0</formula>
    </cfRule>
  </conditionalFormatting>
  <conditionalFormatting sqref="O50">
    <cfRule type="containsBlanks" dxfId="1" priority="23">
      <formula>LEN(TRIM(O50))=0</formula>
    </cfRule>
  </conditionalFormatting>
  <conditionalFormatting sqref="N51">
    <cfRule type="containsBlanks" dxfId="1" priority="9">
      <formula>LEN(TRIM(N51))=0</formula>
    </cfRule>
  </conditionalFormatting>
  <conditionalFormatting sqref="O51">
    <cfRule type="containsBlanks" dxfId="1" priority="6">
      <formula>LEN(TRIM(O51))=0</formula>
    </cfRule>
  </conditionalFormatting>
  <conditionalFormatting sqref="N52">
    <cfRule type="containsBlanks" dxfId="1" priority="8">
      <formula>LEN(TRIM(N52))=0</formula>
    </cfRule>
  </conditionalFormatting>
  <conditionalFormatting sqref="O52">
    <cfRule type="containsBlanks" dxfId="1" priority="4">
      <formula>LEN(TRIM(O52))=0</formula>
    </cfRule>
  </conditionalFormatting>
  <conditionalFormatting sqref="N53">
    <cfRule type="containsBlanks" dxfId="1" priority="7">
      <formula>LEN(TRIM(N53))=0</formula>
    </cfRule>
  </conditionalFormatting>
  <conditionalFormatting sqref="O53">
    <cfRule type="containsBlanks" dxfId="1" priority="5">
      <formula>LEN(TRIM(O53))=0</formula>
    </cfRule>
  </conditionalFormatting>
  <conditionalFormatting sqref="O76">
    <cfRule type="containsBlanks" dxfId="1" priority="21">
      <formula>LEN(TRIM(O76))=0</formula>
    </cfRule>
  </conditionalFormatting>
  <conditionalFormatting sqref="O77">
    <cfRule type="containsBlanks" dxfId="1" priority="20">
      <formula>LEN(TRIM(O77))=0</formula>
    </cfRule>
  </conditionalFormatting>
  <conditionalFormatting sqref="L78">
    <cfRule type="containsBlanks" dxfId="1" priority="3">
      <formula>LEN(TRIM(L78))=0</formula>
    </cfRule>
  </conditionalFormatting>
  <conditionalFormatting sqref="N78">
    <cfRule type="containsBlanks" dxfId="1" priority="2">
      <formula>LEN(TRIM(N78))=0</formula>
    </cfRule>
  </conditionalFormatting>
  <conditionalFormatting sqref="O78">
    <cfRule type="containsBlanks" dxfId="1" priority="1">
      <formula>LEN(TRIM(O78))=0</formula>
    </cfRule>
  </conditionalFormatting>
  <conditionalFormatting sqref="O79">
    <cfRule type="containsBlanks" dxfId="1" priority="19">
      <formula>LEN(TRIM(O79))=0</formula>
    </cfRule>
  </conditionalFormatting>
  <conditionalFormatting sqref="O80">
    <cfRule type="containsBlanks" dxfId="1" priority="18">
      <formula>LEN(TRIM(O80))=0</formula>
    </cfRule>
  </conditionalFormatting>
  <conditionalFormatting sqref="L45:L47">
    <cfRule type="containsBlanks" dxfId="1" priority="17">
      <formula>LEN(TRIM(L45))=0</formula>
    </cfRule>
  </conditionalFormatting>
  <conditionalFormatting sqref="L51:L53">
    <cfRule type="containsBlanks" dxfId="1" priority="10">
      <formula>LEN(TRIM(L51))=0</formula>
    </cfRule>
  </conditionalFormatting>
  <conditionalFormatting sqref="L76:L77">
    <cfRule type="containsBlanks" dxfId="1" priority="34">
      <formula>LEN(TRIM(L76))=0</formula>
    </cfRule>
  </conditionalFormatting>
  <conditionalFormatting sqref="L79:L80">
    <cfRule type="containsBlanks" dxfId="1" priority="33">
      <formula>LEN(TRIM(L79))=0</formula>
    </cfRule>
  </conditionalFormatting>
  <conditionalFormatting sqref="N5:N38">
    <cfRule type="expression" dxfId="0" priority="47">
      <formula>OR($J5=1,$J5=4)</formula>
    </cfRule>
  </conditionalFormatting>
  <conditionalFormatting sqref="N76:N77">
    <cfRule type="containsBlanks" dxfId="1" priority="32">
      <formula>LEN(TRIM(N76))=0</formula>
    </cfRule>
  </conditionalFormatting>
  <conditionalFormatting sqref="N79:N80">
    <cfRule type="containsBlanks" dxfId="1" priority="31">
      <formula>LEN(TRIM(N79))=0</formula>
    </cfRule>
  </conditionalFormatting>
  <conditionalFormatting sqref="Q5:Q37">
    <cfRule type="expression" dxfId="0" priority="48">
      <formula>OR($J5=1,$J5=2)</formula>
    </cfRule>
  </conditionalFormatting>
  <conditionalFormatting sqref="L5:N38 Q5:Q37">
    <cfRule type="containsBlanks" dxfId="1" priority="49">
      <formula>LEN(TRIM(L5))=0</formula>
    </cfRule>
  </conditionalFormatting>
  <conditionalFormatting sqref="L39:L44 L48:L50">
    <cfRule type="containsBlanks" dxfId="1" priority="44">
      <formula>LEN(TRIM(L39))=0</formula>
    </cfRule>
  </conditionalFormatting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61" sqref="B61"/>
    </sheetView>
  </sheetViews>
  <sheetFormatPr defaultColWidth="9" defaultRowHeight="13.5" outlineLevelCol="3"/>
  <cols>
    <col min="1" max="1" width="10.875" customWidth="1"/>
    <col min="2" max="2" width="10.125" customWidth="1"/>
    <col min="3" max="3" width="17.125" customWidth="1"/>
    <col min="4" max="4" width="40.125" customWidth="1"/>
  </cols>
  <sheetData>
    <row r="1" ht="14.25" spans="1:4">
      <c r="A1" s="24" t="s">
        <v>153</v>
      </c>
      <c r="B1" s="24" t="s">
        <v>154</v>
      </c>
      <c r="C1" s="24"/>
      <c r="D1" s="25" t="s">
        <v>155</v>
      </c>
    </row>
    <row r="2" ht="14.25" spans="1:4">
      <c r="A2" s="24" t="s">
        <v>21</v>
      </c>
      <c r="B2" s="24" t="s">
        <v>21</v>
      </c>
      <c r="C2" s="24"/>
      <c r="D2" s="25" t="s">
        <v>24</v>
      </c>
    </row>
    <row r="3" ht="14.25" spans="1:4">
      <c r="A3" s="25" t="s">
        <v>26</v>
      </c>
      <c r="B3" s="25" t="s">
        <v>26</v>
      </c>
      <c r="C3" s="24"/>
      <c r="D3" s="25" t="s">
        <v>26</v>
      </c>
    </row>
    <row r="4" ht="14.25" spans="1:4">
      <c r="A4" s="26" t="s">
        <v>156</v>
      </c>
      <c r="B4" s="26" t="s">
        <v>157</v>
      </c>
      <c r="C4" s="26" t="s">
        <v>27</v>
      </c>
      <c r="D4" s="27" t="s">
        <v>158</v>
      </c>
    </row>
    <row r="5" spans="1:4">
      <c r="A5" s="10">
        <v>1</v>
      </c>
      <c r="B5" s="10">
        <v>10101</v>
      </c>
      <c r="C5" s="10" t="str">
        <f>CONCATENATE(_xlfn.XLOOKUP(A5,'[4]player_role|玩家角色'!A:A,'[4]player_role|玩家角色'!B:B),"-",_xlfn.XLOOKUP(B5,'weapon|武器'!A:A,'weapon|武器'!B:B))</f>
        <v>猴-棒球棍</v>
      </c>
      <c r="D5" s="28" t="str">
        <f>CONCATENATE(_xlfn.XLOOKUP(B5,角色武器配置辅助表!A:A,角色武器配置辅助表!C:C,"错误",0)+_xlfn.XLOOKUP(A5,角色武器配置辅助表!H:H,角色武器配置辅助表!L:L,"错误",0),";",_xlfn.XLOOKUP(B5,角色武器配置辅助表!A:A,角色武器配置辅助表!D:D,"错误",0)+_xlfn.XLOOKUP(A5,角色武器配置辅助表!H:H,角色武器配置辅助表!M:M,"错误",0),";",_xlfn.XLOOKUP(B5,角色武器配置辅助表!A:A,角色武器配置辅助表!E:E,"错误",0),";",_xlfn.XLOOKUP(B5,角色武器配置辅助表!A:A,角色武器配置辅助表!F:F,"错误",0))</f>
        <v>-390;-217;10000;-5</v>
      </c>
    </row>
    <row r="6" spans="1:4">
      <c r="A6" s="10">
        <v>1</v>
      </c>
      <c r="B6" s="10">
        <v>10104</v>
      </c>
      <c r="C6" s="10" t="str">
        <f>CONCATENATE(_xlfn.XLOOKUP(A6,'[4]player_role|玩家角色'!A:A,'[4]player_role|玩家角色'!B:B),"-",_xlfn.XLOOKUP(B6,'weapon|武器'!A:A,'weapon|武器'!B:B))</f>
        <v>猴-狼牙棒</v>
      </c>
      <c r="D6" s="28" t="str">
        <f>CONCATENATE(_xlfn.XLOOKUP(B6,角色武器配置辅助表!A:A,角色武器配置辅助表!C:C,"错误",0)+_xlfn.XLOOKUP(A6,角色武器配置辅助表!H:H,角色武器配置辅助表!L:L,"错误",0),";",_xlfn.XLOOKUP(B6,角色武器配置辅助表!A:A,角色武器配置辅助表!D:D,"错误",0)+_xlfn.XLOOKUP(A6,角色武器配置辅助表!H:H,角色武器配置辅助表!M:M,"错误",0),";",_xlfn.XLOOKUP(B6,角色武器配置辅助表!A:A,角色武器配置辅助表!E:E,"错误",0),";",_xlfn.XLOOKUP(B6,角色武器配置辅助表!A:A,角色武器配置辅助表!F:F,"错误",0))</f>
        <v>-388;-189;10000;-5</v>
      </c>
    </row>
    <row r="7" spans="1:4">
      <c r="A7" s="10">
        <v>1</v>
      </c>
      <c r="B7" s="10">
        <v>10201</v>
      </c>
      <c r="C7" s="10" t="str">
        <f>CONCATENATE(_xlfn.XLOOKUP(A7,'[4]player_role|玩家角色'!A:A,'[4]player_role|玩家角色'!B:B),"-",_xlfn.XLOOKUP(B7,'weapon|武器'!A:A,'weapon|武器'!B:B))</f>
        <v>猴-玩具水枪</v>
      </c>
      <c r="D7" s="28" t="str">
        <f>CONCATENATE(_xlfn.XLOOKUP(B7,角色武器配置辅助表!A:A,角色武器配置辅助表!C:C,"错误",0)+_xlfn.XLOOKUP(A7,角色武器配置辅助表!H:H,角色武器配置辅助表!L:L,"错误",0),";",_xlfn.XLOOKUP(B7,角色武器配置辅助表!A:A,角色武器配置辅助表!D:D,"错误",0)+_xlfn.XLOOKUP(A7,角色武器配置辅助表!H:H,角色武器配置辅助表!M:M,"错误",0),";",_xlfn.XLOOKUP(B7,角色武器配置辅助表!A:A,角色武器配置辅助表!E:E,"错误",0),";",_xlfn.XLOOKUP(B7,角色武器配置辅助表!A:A,角色武器配置辅助表!F:F,"错误",0))</f>
        <v>-326;-271;7500;0</v>
      </c>
    </row>
    <row r="8" spans="1:4">
      <c r="A8" s="10">
        <v>1</v>
      </c>
      <c r="B8" s="10">
        <v>10204</v>
      </c>
      <c r="C8" s="10" t="str">
        <f>CONCATENATE(_xlfn.XLOOKUP(A8,'[4]player_role|玩家角色'!A:A,'[4]player_role|玩家角色'!B:B),"-",_xlfn.XLOOKUP(B8,'weapon|武器'!A:A,'weapon|武器'!B:B))</f>
        <v>猴-玩具水枪Pro</v>
      </c>
      <c r="D8" s="28" t="str">
        <f>CONCATENATE(_xlfn.XLOOKUP(B8,角色武器配置辅助表!A:A,角色武器配置辅助表!C:C,"错误",0)+_xlfn.XLOOKUP(A8,角色武器配置辅助表!H:H,角色武器配置辅助表!L:L,"错误",0),";",_xlfn.XLOOKUP(B8,角色武器配置辅助表!A:A,角色武器配置辅助表!D:D,"错误",0)+_xlfn.XLOOKUP(A8,角色武器配置辅助表!H:H,角色武器配置辅助表!M:M,"错误",0),";",_xlfn.XLOOKUP(B8,角色武器配置辅助表!A:A,角色武器配置辅助表!E:E,"错误",0),";",_xlfn.XLOOKUP(B8,角色武器配置辅助表!A:A,角色武器配置辅助表!F:F,"错误",0))</f>
        <v>-325;-240;7500;0</v>
      </c>
    </row>
    <row r="9" spans="1:4">
      <c r="A9" s="10">
        <v>1</v>
      </c>
      <c r="B9" s="10">
        <v>10301</v>
      </c>
      <c r="C9" s="10" t="str">
        <f>CONCATENATE(_xlfn.XLOOKUP(A9,'[4]player_role|玩家角色'!A:A,'[4]player_role|玩家角色'!B:B),"-",_xlfn.XLOOKUP(B9,'weapon|武器'!A:A,'weapon|武器'!B:B))</f>
        <v>猴-吉他</v>
      </c>
      <c r="D9" s="28" t="str">
        <f>CONCATENATE(_xlfn.XLOOKUP(B9,角色武器配置辅助表!A:A,角色武器配置辅助表!C:C,"错误",0)+_xlfn.XLOOKUP(A9,角色武器配置辅助表!H:H,角色武器配置辅助表!L:L,"错误",0),";",_xlfn.XLOOKUP(B9,角色武器配置辅助表!A:A,角色武器配置辅助表!D:D,"错误",0)+_xlfn.XLOOKUP(A9,角色武器配置辅助表!H:H,角色武器配置辅助表!M:M,"错误",0),";",_xlfn.XLOOKUP(B9,角色武器配置辅助表!A:A,角色武器配置辅助表!E:E,"错误",0),";",_xlfn.XLOOKUP(B9,角色武器配置辅助表!A:A,角色武器配置辅助表!F:F,"错误",0))</f>
        <v>-324;-258;9500;-25</v>
      </c>
    </row>
    <row r="10" spans="1:4">
      <c r="A10" s="10">
        <v>1</v>
      </c>
      <c r="B10" s="10">
        <v>10304</v>
      </c>
      <c r="C10" s="10" t="str">
        <f>CONCATENATE(_xlfn.XLOOKUP(A10,'[4]player_role|玩家角色'!A:A,'[4]player_role|玩家角色'!B:B),"-",_xlfn.XLOOKUP(B10,'weapon|武器'!A:A,'weapon|武器'!B:B))</f>
        <v>猴-电吉他</v>
      </c>
      <c r="D10" s="28" t="str">
        <f>CONCATENATE(_xlfn.XLOOKUP(B10,角色武器配置辅助表!A:A,角色武器配置辅助表!C:C,"错误",0)+_xlfn.XLOOKUP(A10,角色武器配置辅助表!H:H,角色武器配置辅助表!L:L,"错误",0),";",_xlfn.XLOOKUP(B10,角色武器配置辅助表!A:A,角色武器配置辅助表!D:D,"错误",0)+_xlfn.XLOOKUP(A10,角色武器配置辅助表!H:H,角色武器配置辅助表!M:M,"错误",0),";",_xlfn.XLOOKUP(B10,角色武器配置辅助表!A:A,角色武器配置辅助表!E:E,"错误",0),";",_xlfn.XLOOKUP(B10,角色武器配置辅助表!A:A,角色武器配置辅助表!F:F,"错误",0))</f>
        <v>-324;-258;9500;-25</v>
      </c>
    </row>
    <row r="11" spans="1:4">
      <c r="A11" s="10">
        <v>1</v>
      </c>
      <c r="B11" s="10">
        <v>10401</v>
      </c>
      <c r="C11" s="10" t="str">
        <f>CONCATENATE(_xlfn.XLOOKUP(A11,'[4]player_role|玩家角色'!A:A,'[4]player_role|玩家角色'!B:B),"-",_xlfn.XLOOKUP(B11,'weapon|武器'!A:A,'weapon|武器'!B:B))</f>
        <v>猴-台球杆</v>
      </c>
      <c r="D11" s="28" t="str">
        <f>CONCATENATE(_xlfn.XLOOKUP(B11,角色武器配置辅助表!A:A,角色武器配置辅助表!C:C,"错误",0)+_xlfn.XLOOKUP(A11,角色武器配置辅助表!H:H,角色武器配置辅助表!L:L,"错误",0),";",_xlfn.XLOOKUP(B11,角色武器配置辅助表!A:A,角色武器配置辅助表!D:D,"错误",0)+_xlfn.XLOOKUP(A11,角色武器配置辅助表!H:H,角色武器配置辅助表!M:M,"错误",0),";",_xlfn.XLOOKUP(B11,角色武器配置辅助表!A:A,角色武器配置辅助表!E:E,"错误",0),";",_xlfn.XLOOKUP(B11,角色武器配置辅助表!A:A,角色武器配置辅助表!F:F,"错误",0))</f>
        <v>-282;-322;10000;5</v>
      </c>
    </row>
    <row r="12" spans="1:4">
      <c r="A12" s="10">
        <v>1</v>
      </c>
      <c r="B12" s="10">
        <v>10404</v>
      </c>
      <c r="C12" s="10" t="str">
        <f>CONCATENATE(_xlfn.XLOOKUP(A12,'[4]player_role|玩家角色'!A:A,'[4]player_role|玩家角色'!B:B),"-",_xlfn.XLOOKUP(B12,'weapon|武器'!A:A,'weapon|武器'!B:B))</f>
        <v>猴-冠军之杆</v>
      </c>
      <c r="D12" s="28" t="str">
        <f>CONCATENATE(_xlfn.XLOOKUP(B12,角色武器配置辅助表!A:A,角色武器配置辅助表!C:C,"错误",0)+_xlfn.XLOOKUP(A12,角色武器配置辅助表!H:H,角色武器配置辅助表!L:L,"错误",0),";",_xlfn.XLOOKUP(B12,角色武器配置辅助表!A:A,角色武器配置辅助表!D:D,"错误",0)+_xlfn.XLOOKUP(A12,角色武器配置辅助表!H:H,角色武器配置辅助表!M:M,"错误",0),";",_xlfn.XLOOKUP(B12,角色武器配置辅助表!A:A,角色武器配置辅助表!E:E,"错误",0),";",_xlfn.XLOOKUP(B12,角色武器配置辅助表!A:A,角色武器配置辅助表!F:F,"错误",0))</f>
        <v>-278;-366;10000;5</v>
      </c>
    </row>
    <row r="13" spans="1:4">
      <c r="A13" s="10">
        <v>1</v>
      </c>
      <c r="B13" s="10">
        <v>10501</v>
      </c>
      <c r="C13" s="10" t="str">
        <f>CONCATENATE(_xlfn.XLOOKUP(A13,'[4]player_role|玩家角色'!A:A,'[4]player_role|玩家角色'!B:B),"-",_xlfn.XLOOKUP(B13,'weapon|武器'!A:A,'weapon|武器'!B:B))</f>
        <v>猴-平底锅</v>
      </c>
      <c r="D13" s="28" t="str">
        <f>CONCATENATE(_xlfn.XLOOKUP(B13,角色武器配置辅助表!A:A,角色武器配置辅助表!C:C,"错误",0)+_xlfn.XLOOKUP(A13,角色武器配置辅助表!H:H,角色武器配置辅助表!L:L,"错误",0),";",_xlfn.XLOOKUP(B13,角色武器配置辅助表!A:A,角色武器配置辅助表!D:D,"错误",0)+_xlfn.XLOOKUP(A13,角色武器配置辅助表!H:H,角色武器配置辅助表!M:M,"错误",0),";",_xlfn.XLOOKUP(B13,角色武器配置辅助表!A:A,角色武器配置辅助表!E:E,"错误",0),";",_xlfn.XLOOKUP(B13,角色武器配置辅助表!A:A,角色武器配置辅助表!F:F,"错误",0))</f>
        <v>-361;-253;10000;10</v>
      </c>
    </row>
    <row r="14" spans="1:4">
      <c r="A14" s="10">
        <v>1</v>
      </c>
      <c r="B14" s="10">
        <v>10504</v>
      </c>
      <c r="C14" s="10" t="str">
        <f>CONCATENATE(_xlfn.XLOOKUP(A14,'[4]player_role|玩家角色'!A:A,'[4]player_role|玩家角色'!B:B),"-",_xlfn.XLOOKUP(B14,'weapon|武器'!A:A,'weapon|武器'!B:B))</f>
        <v>猴-平底锅Plus</v>
      </c>
      <c r="D14" s="28" t="str">
        <f>CONCATENATE(_xlfn.XLOOKUP(B14,角色武器配置辅助表!A:A,角色武器配置辅助表!C:C,"错误",0)+_xlfn.XLOOKUP(A14,角色武器配置辅助表!H:H,角色武器配置辅助表!L:L,"错误",0),";",_xlfn.XLOOKUP(B14,角色武器配置辅助表!A:A,角色武器配置辅助表!D:D,"错误",0)+_xlfn.XLOOKUP(A14,角色武器配置辅助表!H:H,角色武器配置辅助表!M:M,"错误",0),";",_xlfn.XLOOKUP(B14,角色武器配置辅助表!A:A,角色武器配置辅助表!E:E,"错误",0),";",_xlfn.XLOOKUP(B14,角色武器配置辅助表!A:A,角色武器配置辅助表!F:F,"错误",0))</f>
        <v>-361;-253;10000;10</v>
      </c>
    </row>
    <row r="15" spans="1:4">
      <c r="A15" s="10">
        <v>1</v>
      </c>
      <c r="B15" s="10">
        <v>15104</v>
      </c>
      <c r="C15" s="10" t="str">
        <f>CONCATENATE(_xlfn.XLOOKUP(A15,'[4]player_role|玩家角色'!A:A,'[4]player_role|玩家角色'!B:B),"-",_xlfn.XLOOKUP(B15,'weapon|武器'!A:A,'weapon|武器'!B:B))</f>
        <v>猴-夺命弹弓</v>
      </c>
      <c r="D15" s="28" t="str">
        <f>CONCATENATE(_xlfn.XLOOKUP(B15,角色武器配置辅助表!A:A,角色武器配置辅助表!C:C,"错误",0)+_xlfn.XLOOKUP(A15,角色武器配置辅助表!H:H,角色武器配置辅助表!L:L,"错误",0),";",_xlfn.XLOOKUP(B15,角色武器配置辅助表!A:A,角色武器配置辅助表!D:D,"错误",0)+_xlfn.XLOOKUP(A15,角色武器配置辅助表!H:H,角色武器配置辅助表!M:M,"错误",0),";",_xlfn.XLOOKUP(B15,角色武器配置辅助表!A:A,角色武器配置辅助表!E:E,"错误",0),";",_xlfn.XLOOKUP(B15,角色武器配置辅助表!A:A,角色武器配置辅助表!F:F,"错误",0))</f>
        <v>-198;-251;6000;-15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A1:AZ47"/>
  <sheetViews>
    <sheetView zoomScale="160" zoomScaleNormal="160" topLeftCell="V1" workbookViewId="0">
      <selection activeCell="AO20" sqref="AO20:AO34"/>
    </sheetView>
  </sheetViews>
  <sheetFormatPr defaultColWidth="9" defaultRowHeight="13.5"/>
  <cols>
    <col min="42" max="42" width="9" style="10"/>
    <col min="43" max="48" width="9.00833333333333" customWidth="1"/>
    <col min="51" max="52" width="12.625"/>
  </cols>
  <sheetData>
    <row r="1" s="9" customFormat="1" ht="18" spans="1:4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O1" s="1" t="s">
        <v>160</v>
      </c>
      <c r="P1" s="2"/>
      <c r="Q1" s="1" t="s">
        <v>161</v>
      </c>
      <c r="R1" s="1"/>
      <c r="S1" s="1" t="s">
        <v>162</v>
      </c>
      <c r="T1" s="1"/>
      <c r="V1" s="1" t="s">
        <v>163</v>
      </c>
      <c r="W1" s="1"/>
      <c r="X1" s="1"/>
      <c r="Y1" s="1"/>
      <c r="Z1" s="1"/>
      <c r="AB1" s="1" t="s">
        <v>164</v>
      </c>
      <c r="AC1" s="2"/>
      <c r="AD1" s="1"/>
      <c r="AE1" s="1"/>
      <c r="AF1" s="1"/>
      <c r="AG1" s="1"/>
      <c r="AH1" s="1"/>
      <c r="AI1" s="1"/>
      <c r="AJ1" s="1" t="s">
        <v>165</v>
      </c>
      <c r="AK1" s="1"/>
      <c r="AL1" s="1"/>
      <c r="AM1" s="1"/>
      <c r="AN1" s="1"/>
      <c r="AO1" s="1"/>
      <c r="AP1" s="20"/>
    </row>
    <row r="2" ht="16.5" spans="1:42">
      <c r="A2" s="3" t="s">
        <v>157</v>
      </c>
      <c r="B2" s="3" t="s">
        <v>27</v>
      </c>
      <c r="C2" s="3" t="s">
        <v>166</v>
      </c>
      <c r="D2" s="3" t="s">
        <v>167</v>
      </c>
      <c r="E2" s="3" t="s">
        <v>168</v>
      </c>
      <c r="F2" s="3" t="s">
        <v>169</v>
      </c>
      <c r="G2" s="8" t="s">
        <v>170</v>
      </c>
      <c r="H2" s="8" t="s">
        <v>171</v>
      </c>
      <c r="I2" s="8" t="s">
        <v>172</v>
      </c>
      <c r="J2" s="8" t="s">
        <v>173</v>
      </c>
      <c r="K2" s="8" t="s">
        <v>174</v>
      </c>
      <c r="L2" s="8" t="s">
        <v>175</v>
      </c>
      <c r="M2" s="6">
        <v>600</v>
      </c>
      <c r="O2" s="4" t="s">
        <v>176</v>
      </c>
      <c r="P2" s="4" t="s">
        <v>160</v>
      </c>
      <c r="Q2" s="3" t="s">
        <v>166</v>
      </c>
      <c r="R2" s="3" t="s">
        <v>167</v>
      </c>
      <c r="S2" s="3" t="s">
        <v>166</v>
      </c>
      <c r="T2" s="3" t="s">
        <v>167</v>
      </c>
      <c r="V2" s="3" t="s">
        <v>177</v>
      </c>
      <c r="W2" s="3" t="s">
        <v>27</v>
      </c>
      <c r="X2" s="3" t="s">
        <v>178</v>
      </c>
      <c r="Y2" s="3" t="s">
        <v>166</v>
      </c>
      <c r="Z2" s="3" t="s">
        <v>167</v>
      </c>
      <c r="AB2" s="4" t="s">
        <v>176</v>
      </c>
      <c r="AC2" s="4" t="s">
        <v>28</v>
      </c>
      <c r="AD2" s="3" t="s">
        <v>179</v>
      </c>
      <c r="AE2" s="3" t="s">
        <v>180</v>
      </c>
      <c r="AF2" s="3" t="s">
        <v>181</v>
      </c>
      <c r="AG2" s="3" t="s">
        <v>182</v>
      </c>
      <c r="AH2" s="3" t="s">
        <v>183</v>
      </c>
      <c r="AI2" s="3" t="s">
        <v>184</v>
      </c>
      <c r="AJ2" s="3" t="s">
        <v>185</v>
      </c>
      <c r="AK2" s="3" t="s">
        <v>186</v>
      </c>
      <c r="AL2" s="3" t="s">
        <v>187</v>
      </c>
      <c r="AM2" s="3" t="s">
        <v>37</v>
      </c>
      <c r="AN2" s="3" t="s">
        <v>188</v>
      </c>
      <c r="AO2" s="3" t="s">
        <v>189</v>
      </c>
      <c r="AP2">
        <v>118</v>
      </c>
    </row>
    <row r="3" ht="16.5" spans="1:42">
      <c r="A3" s="5">
        <v>101</v>
      </c>
      <c r="B3" s="5" t="s">
        <v>73</v>
      </c>
      <c r="C3" s="6">
        <v>-542</v>
      </c>
      <c r="D3" s="6">
        <v>-113</v>
      </c>
      <c r="E3" s="6">
        <v>11000</v>
      </c>
      <c r="F3" s="6">
        <v>0</v>
      </c>
      <c r="G3" s="11">
        <v>30</v>
      </c>
      <c r="H3" s="11">
        <v>-10</v>
      </c>
      <c r="I3" s="13">
        <v>565</v>
      </c>
      <c r="J3" s="11">
        <v>-209</v>
      </c>
      <c r="K3" s="6">
        <v>125</v>
      </c>
      <c r="L3" s="8" t="s">
        <v>190</v>
      </c>
      <c r="M3" s="6">
        <v>300</v>
      </c>
      <c r="O3" s="5" t="s">
        <v>191</v>
      </c>
      <c r="P3" s="6" t="s">
        <v>192</v>
      </c>
      <c r="Q3" s="6">
        <f>C5</f>
        <v>-602</v>
      </c>
      <c r="R3" s="6">
        <f>D5</f>
        <v>-215</v>
      </c>
      <c r="S3" s="14">
        <v>0</v>
      </c>
      <c r="T3" s="14">
        <v>0</v>
      </c>
      <c r="V3" s="5">
        <v>1011</v>
      </c>
      <c r="W3" s="5" t="str">
        <f>_xlfn.XLOOKUP(V3,[1]怪物设计!$D:$D,[1]怪物设计!$U:$U,"错误",0)</f>
        <v>猴子1</v>
      </c>
      <c r="X3" s="15" t="str">
        <f t="shared" ref="X3:X47" si="0">SUBSTITUTE(SUBSTITUTE(SUBSTITUTE(SUBSTITUTE(SUBSTITUTE(SUBSTITUTE(SUBSTITUTE(SUBSTITUTE(SUBSTITUTE(SUBSTITUTE(W3,"0",""),"1",""),"2",""),"3",""),"4",""),"5",""),"6",""),"7",""),"8",""),"9","")</f>
        <v>猴子</v>
      </c>
      <c r="Y3" s="16">
        <f t="shared" ref="Y3:Y47" si="1">_xlfn.XLOOKUP(X3,O:O,S:S,"错误",0)</f>
        <v>0</v>
      </c>
      <c r="Z3" s="16">
        <f t="shared" ref="Z3:Z47" si="2">_xlfn.XLOOKUP(X3,O:O,T:T,"错误",0)</f>
        <v>0</v>
      </c>
      <c r="AA3" s="17" t="s">
        <v>193</v>
      </c>
      <c r="AB3" s="5" t="s">
        <v>191</v>
      </c>
      <c r="AC3" s="6" t="s">
        <v>194</v>
      </c>
      <c r="AD3" s="6">
        <v>1.278</v>
      </c>
      <c r="AE3" s="6">
        <v>1.491</v>
      </c>
      <c r="AF3" s="6">
        <v>0.045</v>
      </c>
      <c r="AG3" s="6">
        <v>-0.22</v>
      </c>
      <c r="AH3" s="6">
        <v>0.365</v>
      </c>
      <c r="AI3" s="6">
        <v>0.65</v>
      </c>
      <c r="AJ3" s="6"/>
      <c r="AK3" s="6"/>
      <c r="AL3" s="6"/>
      <c r="AM3" s="6"/>
      <c r="AN3" s="6"/>
      <c r="AO3" s="16">
        <f t="shared" ref="AO3:AO11" si="3">ROUNDDOWN(AP3/$AP$2*10000,0)</f>
        <v>10762</v>
      </c>
      <c r="AP3">
        <v>127</v>
      </c>
    </row>
    <row r="4" ht="16.5" spans="1:42">
      <c r="A4" s="5">
        <v>102</v>
      </c>
      <c r="B4" s="5" t="s">
        <v>75</v>
      </c>
      <c r="C4" s="6">
        <v>-405</v>
      </c>
      <c r="D4" s="6">
        <v>-128</v>
      </c>
      <c r="E4" s="6">
        <v>11000</v>
      </c>
      <c r="F4" s="6">
        <v>-10</v>
      </c>
      <c r="G4" s="11">
        <v>50</v>
      </c>
      <c r="H4" s="11">
        <v>-13</v>
      </c>
      <c r="I4" s="11">
        <v>400</v>
      </c>
      <c r="J4" s="11">
        <v>-270</v>
      </c>
      <c r="K4" s="6">
        <v>140</v>
      </c>
      <c r="L4" s="8" t="s">
        <v>195</v>
      </c>
      <c r="M4" s="6">
        <v>1400</v>
      </c>
      <c r="O4" s="5" t="s">
        <v>196</v>
      </c>
      <c r="P4" s="6" t="s">
        <v>197</v>
      </c>
      <c r="Q4" s="6">
        <v>-616</v>
      </c>
      <c r="R4" s="6">
        <v>-177</v>
      </c>
      <c r="S4" s="16">
        <f t="shared" ref="S4:S11" si="4">Q4-$Q$3</f>
        <v>-14</v>
      </c>
      <c r="T4" s="16">
        <f t="shared" ref="T4:T11" si="5">R4-$R$3</f>
        <v>38</v>
      </c>
      <c r="V4" s="5">
        <v>1012</v>
      </c>
      <c r="W4" s="5" t="str">
        <f>_xlfn.XLOOKUP(V4,[1]怪物设计!$D:$D,[1]怪物设计!$U:$U,"错误",0)</f>
        <v>秃鹫1</v>
      </c>
      <c r="X4" s="15" t="str">
        <f t="shared" si="0"/>
        <v>秃鹫</v>
      </c>
      <c r="Y4" s="16">
        <f t="shared" si="1"/>
        <v>-14</v>
      </c>
      <c r="Z4" s="16">
        <f t="shared" si="2"/>
        <v>38</v>
      </c>
      <c r="AB4" s="5" t="s">
        <v>196</v>
      </c>
      <c r="AC4" s="6" t="s">
        <v>194</v>
      </c>
      <c r="AD4" s="6">
        <v>1.313</v>
      </c>
      <c r="AE4" s="6">
        <v>1.235</v>
      </c>
      <c r="AF4" s="6">
        <v>0.07</v>
      </c>
      <c r="AG4" s="6">
        <v>-0.05</v>
      </c>
      <c r="AH4" s="6">
        <v>0.365</v>
      </c>
      <c r="AI4" s="6">
        <v>0.65</v>
      </c>
      <c r="AJ4" s="6"/>
      <c r="AK4" s="6"/>
      <c r="AL4" s="6"/>
      <c r="AM4" s="6"/>
      <c r="AN4" s="6"/>
      <c r="AO4" s="16">
        <f t="shared" si="3"/>
        <v>11016</v>
      </c>
      <c r="AP4">
        <v>130</v>
      </c>
    </row>
    <row r="5" ht="16.5" spans="1:42">
      <c r="A5" s="5">
        <v>103</v>
      </c>
      <c r="B5" s="5" t="s">
        <v>76</v>
      </c>
      <c r="C5" s="12">
        <v>-602</v>
      </c>
      <c r="D5" s="12">
        <v>-215</v>
      </c>
      <c r="E5" s="12">
        <v>10000</v>
      </c>
      <c r="F5" s="6">
        <v>-10</v>
      </c>
      <c r="G5" s="11">
        <v>76</v>
      </c>
      <c r="H5" s="11">
        <v>105</v>
      </c>
      <c r="I5" s="11">
        <v>693</v>
      </c>
      <c r="J5" s="11">
        <v>-7</v>
      </c>
      <c r="K5" s="6">
        <v>115</v>
      </c>
      <c r="L5" s="8" t="s">
        <v>198</v>
      </c>
      <c r="M5" s="6">
        <v>500</v>
      </c>
      <c r="O5" s="5" t="s">
        <v>199</v>
      </c>
      <c r="P5" s="6" t="s">
        <v>200</v>
      </c>
      <c r="Q5" s="6">
        <v>-833</v>
      </c>
      <c r="R5" s="6">
        <v>-260</v>
      </c>
      <c r="S5" s="16">
        <f t="shared" si="4"/>
        <v>-231</v>
      </c>
      <c r="T5" s="16">
        <f t="shared" si="5"/>
        <v>-45</v>
      </c>
      <c r="V5" s="5">
        <v>1013</v>
      </c>
      <c r="W5" s="5" t="str">
        <f>_xlfn.XLOOKUP(V5,[1]怪物设计!$D:$D,[1]怪物设计!$U:$U,"错误",0)</f>
        <v>鳄鱼1</v>
      </c>
      <c r="X5" s="15" t="str">
        <f t="shared" si="0"/>
        <v>鳄鱼</v>
      </c>
      <c r="Y5" s="16">
        <f t="shared" si="1"/>
        <v>-231</v>
      </c>
      <c r="Z5" s="16">
        <f t="shared" si="2"/>
        <v>-45</v>
      </c>
      <c r="AB5" s="5" t="s">
        <v>199</v>
      </c>
      <c r="AC5" s="6" t="s">
        <v>194</v>
      </c>
      <c r="AD5" s="6">
        <v>1.566</v>
      </c>
      <c r="AE5" s="6">
        <v>1.524</v>
      </c>
      <c r="AF5" s="6">
        <v>0.05</v>
      </c>
      <c r="AG5" s="6">
        <v>-0.12</v>
      </c>
      <c r="AH5" s="6">
        <v>0.365</v>
      </c>
      <c r="AI5" s="6">
        <v>0.65</v>
      </c>
      <c r="AJ5" s="6"/>
      <c r="AK5" s="6"/>
      <c r="AL5" s="6"/>
      <c r="AM5" s="6"/>
      <c r="AN5" s="6"/>
      <c r="AO5" s="16">
        <f t="shared" si="3"/>
        <v>11186</v>
      </c>
      <c r="AP5">
        <v>132</v>
      </c>
    </row>
    <row r="6" ht="16.5" spans="1:42">
      <c r="A6" s="5">
        <v>104</v>
      </c>
      <c r="B6" s="5" t="s">
        <v>78</v>
      </c>
      <c r="C6" s="6">
        <v>-546</v>
      </c>
      <c r="D6" s="6">
        <v>-116</v>
      </c>
      <c r="E6" s="6">
        <v>11000</v>
      </c>
      <c r="F6" s="6">
        <v>0</v>
      </c>
      <c r="G6" s="11">
        <v>-19</v>
      </c>
      <c r="H6" s="11">
        <v>50</v>
      </c>
      <c r="I6" s="11">
        <v>568</v>
      </c>
      <c r="J6" s="11">
        <v>-206</v>
      </c>
      <c r="K6" s="6">
        <v>125</v>
      </c>
      <c r="O6" s="5" t="s">
        <v>201</v>
      </c>
      <c r="P6" s="6" t="s">
        <v>202</v>
      </c>
      <c r="Q6" s="6">
        <v>-687</v>
      </c>
      <c r="R6" s="6">
        <v>-175</v>
      </c>
      <c r="S6" s="16">
        <f t="shared" si="4"/>
        <v>-85</v>
      </c>
      <c r="T6" s="16">
        <f t="shared" si="5"/>
        <v>40</v>
      </c>
      <c r="V6" s="5">
        <v>1021</v>
      </c>
      <c r="W6" s="5" t="str">
        <f>_xlfn.XLOOKUP(V6,[1]怪物设计!$D:$D,[1]怪物设计!$U:$U,"错误",0)</f>
        <v>鳄鱼2</v>
      </c>
      <c r="X6" s="15" t="str">
        <f t="shared" si="0"/>
        <v>鳄鱼</v>
      </c>
      <c r="Y6" s="16">
        <f t="shared" si="1"/>
        <v>-231</v>
      </c>
      <c r="Z6" s="16">
        <f t="shared" si="2"/>
        <v>-45</v>
      </c>
      <c r="AB6" s="5" t="s">
        <v>201</v>
      </c>
      <c r="AC6" s="6" t="s">
        <v>194</v>
      </c>
      <c r="AD6" s="6">
        <v>1.108</v>
      </c>
      <c r="AE6" s="6">
        <v>1.34</v>
      </c>
      <c r="AF6" s="6">
        <v>0.02</v>
      </c>
      <c r="AG6" s="6">
        <v>-0.22</v>
      </c>
      <c r="AH6" s="6">
        <v>0.365</v>
      </c>
      <c r="AI6" s="6">
        <v>0.65</v>
      </c>
      <c r="AJ6" s="6"/>
      <c r="AK6" s="6"/>
      <c r="AL6" s="6"/>
      <c r="AM6" s="6"/>
      <c r="AN6" s="6"/>
      <c r="AO6" s="16">
        <f t="shared" si="3"/>
        <v>10338</v>
      </c>
      <c r="AP6">
        <v>122</v>
      </c>
    </row>
    <row r="7" ht="16.5" spans="1:42">
      <c r="A7" s="5">
        <v>105</v>
      </c>
      <c r="B7" s="5" t="s">
        <v>79</v>
      </c>
      <c r="C7" s="6">
        <v>-447</v>
      </c>
      <c r="D7" s="6">
        <v>-145</v>
      </c>
      <c r="E7" s="6">
        <v>10000</v>
      </c>
      <c r="F7" s="6">
        <v>0</v>
      </c>
      <c r="G7" s="11">
        <v>25</v>
      </c>
      <c r="H7" s="11">
        <v>-67</v>
      </c>
      <c r="I7" s="11">
        <v>526</v>
      </c>
      <c r="J7" s="11">
        <v>-198</v>
      </c>
      <c r="K7" s="6">
        <v>120</v>
      </c>
      <c r="O7" s="5" t="s">
        <v>203</v>
      </c>
      <c r="P7" s="6" t="s">
        <v>204</v>
      </c>
      <c r="Q7" s="6">
        <v>-1079</v>
      </c>
      <c r="R7" s="6">
        <v>-225</v>
      </c>
      <c r="S7" s="16">
        <f t="shared" si="4"/>
        <v>-477</v>
      </c>
      <c r="T7" s="16">
        <f t="shared" si="5"/>
        <v>-10</v>
      </c>
      <c r="V7" s="5">
        <v>1022</v>
      </c>
      <c r="W7" s="5" t="str">
        <f>_xlfn.XLOOKUP(V7,[1]怪物设计!$D:$D,[1]怪物设计!$U:$U,"错误",0)</f>
        <v>猴子2</v>
      </c>
      <c r="X7" s="15" t="str">
        <f t="shared" si="0"/>
        <v>猴子</v>
      </c>
      <c r="Y7" s="16">
        <f t="shared" si="1"/>
        <v>0</v>
      </c>
      <c r="Z7" s="16">
        <f t="shared" si="2"/>
        <v>0</v>
      </c>
      <c r="AB7" s="5" t="s">
        <v>203</v>
      </c>
      <c r="AC7" s="6" t="s">
        <v>194</v>
      </c>
      <c r="AD7" s="6">
        <v>1.429</v>
      </c>
      <c r="AE7" s="6">
        <v>1.686</v>
      </c>
      <c r="AF7" s="6">
        <v>0.01</v>
      </c>
      <c r="AG7" s="6">
        <v>-0.1</v>
      </c>
      <c r="AH7" s="6">
        <v>0.365</v>
      </c>
      <c r="AI7" s="6">
        <v>0.65</v>
      </c>
      <c r="AJ7" s="6"/>
      <c r="AK7" s="6"/>
      <c r="AL7" s="6"/>
      <c r="AM7" s="6"/>
      <c r="AN7" s="6"/>
      <c r="AO7" s="16">
        <f t="shared" si="3"/>
        <v>14915</v>
      </c>
      <c r="AP7">
        <v>176</v>
      </c>
    </row>
    <row r="8" ht="16.5" spans="1:42">
      <c r="A8" s="5">
        <v>106</v>
      </c>
      <c r="B8" s="5" t="s">
        <v>80</v>
      </c>
      <c r="C8" s="6">
        <v>-580</v>
      </c>
      <c r="D8" s="6">
        <v>-162</v>
      </c>
      <c r="E8" s="6">
        <v>8000</v>
      </c>
      <c r="F8" s="6">
        <v>0</v>
      </c>
      <c r="G8" s="11">
        <v>44</v>
      </c>
      <c r="H8" s="11">
        <v>-83</v>
      </c>
      <c r="I8" s="11">
        <v>560</v>
      </c>
      <c r="J8" s="11">
        <v>-176</v>
      </c>
      <c r="K8" s="6">
        <v>120</v>
      </c>
      <c r="O8" s="5" t="s">
        <v>205</v>
      </c>
      <c r="P8" s="6" t="s">
        <v>206</v>
      </c>
      <c r="Q8" s="6">
        <v>-684</v>
      </c>
      <c r="R8" s="6">
        <v>-227</v>
      </c>
      <c r="S8" s="16">
        <f t="shared" si="4"/>
        <v>-82</v>
      </c>
      <c r="T8" s="16">
        <f t="shared" si="5"/>
        <v>-12</v>
      </c>
      <c r="V8" s="5">
        <v>1023</v>
      </c>
      <c r="W8" s="5" t="str">
        <f>_xlfn.XLOOKUP(V8,[1]怪物设计!$D:$D,[1]怪物设计!$U:$U,"错误",0)</f>
        <v>秃鹫2</v>
      </c>
      <c r="X8" s="15" t="str">
        <f t="shared" si="0"/>
        <v>秃鹫</v>
      </c>
      <c r="Y8" s="16">
        <f t="shared" si="1"/>
        <v>-14</v>
      </c>
      <c r="Z8" s="16">
        <f t="shared" si="2"/>
        <v>38</v>
      </c>
      <c r="AB8" s="5" t="s">
        <v>205</v>
      </c>
      <c r="AC8" s="6" t="s">
        <v>194</v>
      </c>
      <c r="AD8" s="6">
        <v>1.192</v>
      </c>
      <c r="AE8" s="6">
        <v>1.375</v>
      </c>
      <c r="AF8" s="6">
        <v>0.02</v>
      </c>
      <c r="AG8" s="6">
        <v>-0.05</v>
      </c>
      <c r="AH8" s="6">
        <v>0.365</v>
      </c>
      <c r="AI8" s="6">
        <v>0.65</v>
      </c>
      <c r="AJ8" s="6"/>
      <c r="AK8" s="6"/>
      <c r="AL8" s="6"/>
      <c r="AM8" s="6"/>
      <c r="AN8" s="6"/>
      <c r="AO8" s="16">
        <f t="shared" si="3"/>
        <v>13474</v>
      </c>
      <c r="AP8">
        <v>159</v>
      </c>
    </row>
    <row r="9" ht="16.5" spans="1:42">
      <c r="A9" s="5">
        <v>201</v>
      </c>
      <c r="B9" s="5" t="s">
        <v>207</v>
      </c>
      <c r="C9" s="6">
        <v>-378</v>
      </c>
      <c r="D9" s="6">
        <v>-69</v>
      </c>
      <c r="E9" s="6">
        <v>10000</v>
      </c>
      <c r="F9" s="6">
        <v>-25</v>
      </c>
      <c r="G9" s="11">
        <v>-23</v>
      </c>
      <c r="H9" s="11">
        <v>-113</v>
      </c>
      <c r="I9" s="11">
        <v>400</v>
      </c>
      <c r="J9" s="11">
        <v>-300</v>
      </c>
      <c r="K9" s="6">
        <v>125</v>
      </c>
      <c r="O9" s="5" t="s">
        <v>208</v>
      </c>
      <c r="P9" s="6" t="s">
        <v>209</v>
      </c>
      <c r="Q9" s="6">
        <v>-747</v>
      </c>
      <c r="R9" s="6">
        <v>-266</v>
      </c>
      <c r="S9" s="16">
        <f t="shared" si="4"/>
        <v>-145</v>
      </c>
      <c r="T9" s="16">
        <f t="shared" si="5"/>
        <v>-51</v>
      </c>
      <c r="V9" s="5">
        <v>1031</v>
      </c>
      <c r="W9" s="5" t="str">
        <f>_xlfn.XLOOKUP(V9,[1]怪物设计!$D:$D,[1]怪物设计!$U:$U,"错误",0)</f>
        <v>猴子3</v>
      </c>
      <c r="X9" s="15" t="str">
        <f t="shared" si="0"/>
        <v>猴子</v>
      </c>
      <c r="Y9" s="16">
        <f t="shared" si="1"/>
        <v>0</v>
      </c>
      <c r="Z9" s="16">
        <f t="shared" si="2"/>
        <v>0</v>
      </c>
      <c r="AB9" s="5" t="s">
        <v>208</v>
      </c>
      <c r="AC9" s="6" t="s">
        <v>194</v>
      </c>
      <c r="AD9" s="6">
        <v>1.217</v>
      </c>
      <c r="AE9" s="6">
        <v>1.483</v>
      </c>
      <c r="AF9" s="6">
        <v>-0.06</v>
      </c>
      <c r="AG9" s="6">
        <v>-0.08</v>
      </c>
      <c r="AH9" s="6">
        <v>0.365</v>
      </c>
      <c r="AI9" s="6">
        <v>0.65</v>
      </c>
      <c r="AJ9" s="6"/>
      <c r="AK9" s="6"/>
      <c r="AL9" s="6"/>
      <c r="AM9" s="6"/>
      <c r="AN9" s="6"/>
      <c r="AO9" s="16">
        <f t="shared" si="3"/>
        <v>13474</v>
      </c>
      <c r="AP9">
        <v>159</v>
      </c>
    </row>
    <row r="10" ht="16.5" spans="1:42">
      <c r="A10" s="5">
        <v>202</v>
      </c>
      <c r="B10" s="5" t="s">
        <v>82</v>
      </c>
      <c r="C10" s="6">
        <v>-347</v>
      </c>
      <c r="D10" s="6">
        <v>-134</v>
      </c>
      <c r="E10" s="6">
        <v>10000</v>
      </c>
      <c r="F10" s="6">
        <v>0</v>
      </c>
      <c r="G10" s="11">
        <v>-162</v>
      </c>
      <c r="H10" s="11">
        <v>10</v>
      </c>
      <c r="I10" s="11">
        <v>450</v>
      </c>
      <c r="J10" s="11">
        <v>0</v>
      </c>
      <c r="K10" s="6">
        <v>95</v>
      </c>
      <c r="O10" s="5" t="s">
        <v>210</v>
      </c>
      <c r="P10" s="6" t="s">
        <v>211</v>
      </c>
      <c r="Q10" s="6">
        <v>-867</v>
      </c>
      <c r="R10" s="6">
        <v>-335</v>
      </c>
      <c r="S10" s="16">
        <f t="shared" si="4"/>
        <v>-265</v>
      </c>
      <c r="T10" s="16">
        <f t="shared" si="5"/>
        <v>-120</v>
      </c>
      <c r="V10" s="5">
        <v>1032</v>
      </c>
      <c r="W10" s="5" t="str">
        <f>_xlfn.XLOOKUP(V10,[1]怪物设计!$D:$D,[1]怪物设计!$U:$U,"错误",0)</f>
        <v>鳄鱼3</v>
      </c>
      <c r="X10" s="15" t="str">
        <f t="shared" si="0"/>
        <v>鳄鱼</v>
      </c>
      <c r="Y10" s="16">
        <f t="shared" si="1"/>
        <v>-231</v>
      </c>
      <c r="Z10" s="16">
        <f t="shared" si="2"/>
        <v>-45</v>
      </c>
      <c r="AB10" s="5" t="s">
        <v>210</v>
      </c>
      <c r="AC10" s="6" t="s">
        <v>194</v>
      </c>
      <c r="AD10" s="6">
        <v>1.167</v>
      </c>
      <c r="AE10" s="6">
        <v>1.484</v>
      </c>
      <c r="AF10" s="6">
        <v>-0.04</v>
      </c>
      <c r="AG10" s="6">
        <v>0</v>
      </c>
      <c r="AH10" s="6">
        <v>0.365</v>
      </c>
      <c r="AI10" s="6">
        <v>0.65</v>
      </c>
      <c r="AJ10" s="6"/>
      <c r="AK10" s="6"/>
      <c r="AL10" s="6"/>
      <c r="AM10" s="6"/>
      <c r="AN10" s="6"/>
      <c r="AO10" s="16">
        <f t="shared" si="3"/>
        <v>9067</v>
      </c>
      <c r="AP10">
        <v>107</v>
      </c>
    </row>
    <row r="11" ht="16.5" spans="1:42">
      <c r="A11" s="5">
        <v>203</v>
      </c>
      <c r="B11" s="5" t="s">
        <v>83</v>
      </c>
      <c r="C11" s="6">
        <v>-390</v>
      </c>
      <c r="D11" s="6">
        <v>-164</v>
      </c>
      <c r="E11" s="6">
        <v>10000</v>
      </c>
      <c r="F11" s="6">
        <v>-10</v>
      </c>
      <c r="G11" s="11">
        <v>-124</v>
      </c>
      <c r="H11" s="11">
        <v>18</v>
      </c>
      <c r="I11" s="11">
        <v>370</v>
      </c>
      <c r="J11" s="11">
        <v>-70</v>
      </c>
      <c r="K11" s="6">
        <v>125</v>
      </c>
      <c r="O11" s="5" t="s">
        <v>212</v>
      </c>
      <c r="P11" s="6" t="s">
        <v>213</v>
      </c>
      <c r="Q11" s="6">
        <v>-898</v>
      </c>
      <c r="R11" s="6">
        <v>-247</v>
      </c>
      <c r="S11" s="16">
        <f t="shared" si="4"/>
        <v>-296</v>
      </c>
      <c r="T11" s="16">
        <f t="shared" si="5"/>
        <v>-32</v>
      </c>
      <c r="V11" s="5">
        <v>1033</v>
      </c>
      <c r="W11" s="5" t="str">
        <f>_xlfn.XLOOKUP(V11,[1]怪物设计!$D:$D,[1]怪物设计!$U:$U,"错误",0)</f>
        <v>秃鹫3</v>
      </c>
      <c r="X11" s="15" t="str">
        <f t="shared" si="0"/>
        <v>秃鹫</v>
      </c>
      <c r="Y11" s="16">
        <f t="shared" si="1"/>
        <v>-14</v>
      </c>
      <c r="Z11" s="16">
        <f t="shared" si="2"/>
        <v>38</v>
      </c>
      <c r="AB11" s="5" t="s">
        <v>212</v>
      </c>
      <c r="AC11" s="6" t="s">
        <v>194</v>
      </c>
      <c r="AD11" s="6">
        <v>1.598</v>
      </c>
      <c r="AE11" s="6">
        <v>1.57</v>
      </c>
      <c r="AF11" s="6">
        <v>0</v>
      </c>
      <c r="AG11" s="6">
        <v>-0.04</v>
      </c>
      <c r="AH11" s="6">
        <v>0.365</v>
      </c>
      <c r="AI11" s="6">
        <v>0.65</v>
      </c>
      <c r="AJ11" s="6"/>
      <c r="AK11" s="6"/>
      <c r="AL11" s="6"/>
      <c r="AM11" s="6"/>
      <c r="AN11" s="6"/>
      <c r="AO11" s="16">
        <f t="shared" si="3"/>
        <v>12627</v>
      </c>
      <c r="AP11">
        <v>149</v>
      </c>
    </row>
    <row r="12" ht="16.5" spans="1:28">
      <c r="A12" s="5">
        <v>204</v>
      </c>
      <c r="B12" s="5" t="s">
        <v>84</v>
      </c>
      <c r="C12" s="6">
        <v>-377</v>
      </c>
      <c r="D12" s="6">
        <v>-263</v>
      </c>
      <c r="E12" s="6">
        <v>5000</v>
      </c>
      <c r="F12" s="6">
        <v>0</v>
      </c>
      <c r="G12" s="11">
        <v>-19</v>
      </c>
      <c r="H12" s="11">
        <v>105</v>
      </c>
      <c r="I12" s="11">
        <v>450</v>
      </c>
      <c r="J12" s="11">
        <v>100</v>
      </c>
      <c r="K12" s="6">
        <v>95</v>
      </c>
      <c r="V12" s="5">
        <v>2011</v>
      </c>
      <c r="W12" s="5" t="str">
        <f>_xlfn.XLOOKUP(V12,[1]怪物设计!$D:$D,[1]怪物设计!$U:$U,"错误",0)</f>
        <v>兔子1</v>
      </c>
      <c r="X12" s="15" t="str">
        <f t="shared" si="0"/>
        <v>兔子</v>
      </c>
      <c r="Y12" s="16">
        <f t="shared" si="1"/>
        <v>-85</v>
      </c>
      <c r="Z12" s="16">
        <f t="shared" si="2"/>
        <v>40</v>
      </c>
      <c r="AB12" s="5"/>
    </row>
    <row r="13" ht="16.5" spans="1:28">
      <c r="A13" s="5">
        <v>205</v>
      </c>
      <c r="B13" s="5" t="s">
        <v>85</v>
      </c>
      <c r="C13" s="6">
        <v>-381</v>
      </c>
      <c r="D13" s="6">
        <v>-8</v>
      </c>
      <c r="E13" s="6">
        <v>10000</v>
      </c>
      <c r="F13" s="6">
        <v>-10</v>
      </c>
      <c r="G13" s="11">
        <v>-119</v>
      </c>
      <c r="H13" s="11">
        <v>-66</v>
      </c>
      <c r="I13" s="11">
        <v>360</v>
      </c>
      <c r="J13" s="11">
        <v>-150</v>
      </c>
      <c r="K13" s="6">
        <v>120</v>
      </c>
      <c r="V13" s="5">
        <v>2012</v>
      </c>
      <c r="W13" s="5" t="str">
        <f>_xlfn.XLOOKUP(V13,[1]怪物设计!$D:$D,[1]怪物设计!$U:$U,"错误",0)</f>
        <v>老虎1</v>
      </c>
      <c r="X13" s="15" t="str">
        <f t="shared" si="0"/>
        <v>老虎</v>
      </c>
      <c r="Y13" s="16">
        <f t="shared" si="1"/>
        <v>-477</v>
      </c>
      <c r="Z13" s="16">
        <f t="shared" si="2"/>
        <v>-10</v>
      </c>
      <c r="AB13" s="5"/>
    </row>
    <row r="14" ht="16.5" spans="1:28">
      <c r="A14" s="5">
        <v>206</v>
      </c>
      <c r="B14" s="5" t="s">
        <v>86</v>
      </c>
      <c r="C14" s="6">
        <v>-478</v>
      </c>
      <c r="D14" s="6">
        <v>-194</v>
      </c>
      <c r="E14" s="6">
        <v>7000</v>
      </c>
      <c r="F14" s="6">
        <v>150</v>
      </c>
      <c r="G14" s="11">
        <v>0</v>
      </c>
      <c r="H14" s="11">
        <v>0</v>
      </c>
      <c r="I14" s="11">
        <v>500</v>
      </c>
      <c r="J14" s="11">
        <v>0</v>
      </c>
      <c r="K14" s="6">
        <v>110</v>
      </c>
      <c r="V14" s="5">
        <v>2013</v>
      </c>
      <c r="W14" s="5" t="str">
        <f>_xlfn.XLOOKUP(V14,[1]怪物设计!$D:$D,[1]怪物设计!$U:$U,"错误",0)</f>
        <v>鸭子1</v>
      </c>
      <c r="X14" s="15" t="str">
        <f t="shared" si="0"/>
        <v>鸭子</v>
      </c>
      <c r="Y14" s="16">
        <f t="shared" si="1"/>
        <v>-82</v>
      </c>
      <c r="Z14" s="16">
        <f t="shared" si="2"/>
        <v>-12</v>
      </c>
      <c r="AB14" s="5"/>
    </row>
    <row r="15" ht="16.5" spans="1:28">
      <c r="A15" s="5">
        <v>207</v>
      </c>
      <c r="B15" s="5" t="s">
        <v>87</v>
      </c>
      <c r="C15" s="6">
        <v>-569</v>
      </c>
      <c r="D15" s="6">
        <v>-161</v>
      </c>
      <c r="E15" s="6">
        <v>10000</v>
      </c>
      <c r="F15" s="6">
        <v>15</v>
      </c>
      <c r="G15" s="11">
        <v>12</v>
      </c>
      <c r="H15" s="11">
        <v>-20</v>
      </c>
      <c r="I15" s="11">
        <v>570</v>
      </c>
      <c r="J15" s="11">
        <v>-140</v>
      </c>
      <c r="K15" s="6">
        <v>120</v>
      </c>
      <c r="V15" s="5">
        <v>2021</v>
      </c>
      <c r="W15" s="5" t="str">
        <f>_xlfn.XLOOKUP(V15,[1]怪物设计!$D:$D,[1]怪物设计!$U:$U,"错误",0)</f>
        <v>老虎2</v>
      </c>
      <c r="X15" s="15" t="str">
        <f t="shared" si="0"/>
        <v>老虎</v>
      </c>
      <c r="Y15" s="16">
        <f t="shared" si="1"/>
        <v>-477</v>
      </c>
      <c r="Z15" s="16">
        <f t="shared" si="2"/>
        <v>-10</v>
      </c>
      <c r="AB15" s="5"/>
    </row>
    <row r="16" ht="16.5" spans="1:28">
      <c r="A16" s="5">
        <v>301</v>
      </c>
      <c r="B16" s="5" t="s">
        <v>88</v>
      </c>
      <c r="C16" s="6">
        <v>-451</v>
      </c>
      <c r="D16" s="6">
        <v>9</v>
      </c>
      <c r="E16" s="6">
        <v>10000</v>
      </c>
      <c r="F16" s="6">
        <v>0</v>
      </c>
      <c r="G16" s="11">
        <v>-58</v>
      </c>
      <c r="H16" s="11">
        <v>-133</v>
      </c>
      <c r="I16" s="11">
        <v>460</v>
      </c>
      <c r="J16" s="11">
        <v>-320</v>
      </c>
      <c r="K16" s="6">
        <v>130</v>
      </c>
      <c r="V16" s="5">
        <v>2022</v>
      </c>
      <c r="W16" s="5" t="str">
        <f>_xlfn.XLOOKUP(V16,[1]怪物设计!$D:$D,[1]怪物设计!$U:$U,"错误",0)</f>
        <v>兔子2</v>
      </c>
      <c r="X16" s="15" t="str">
        <f t="shared" si="0"/>
        <v>兔子</v>
      </c>
      <c r="Y16" s="16">
        <f t="shared" si="1"/>
        <v>-85</v>
      </c>
      <c r="Z16" s="16">
        <f t="shared" si="2"/>
        <v>40</v>
      </c>
      <c r="AB16" s="5"/>
    </row>
    <row r="17" ht="16.5" spans="1:28">
      <c r="A17" s="5">
        <v>302</v>
      </c>
      <c r="B17" s="5" t="s">
        <v>89</v>
      </c>
      <c r="C17" s="6">
        <v>-488</v>
      </c>
      <c r="D17" s="6">
        <v>-75</v>
      </c>
      <c r="E17" s="6">
        <v>9000</v>
      </c>
      <c r="F17" s="6">
        <v>0</v>
      </c>
      <c r="G17" s="11">
        <v>-24</v>
      </c>
      <c r="H17" s="11">
        <v>-55</v>
      </c>
      <c r="I17" s="11">
        <v>490</v>
      </c>
      <c r="J17" s="11">
        <v>-220</v>
      </c>
      <c r="K17" s="6">
        <v>120</v>
      </c>
      <c r="V17" s="5">
        <v>2023</v>
      </c>
      <c r="W17" s="5" t="str">
        <f>_xlfn.XLOOKUP(V17,[1]怪物设计!$D:$D,[1]怪物设计!$U:$U,"错误",0)</f>
        <v>兔子3</v>
      </c>
      <c r="X17" s="15" t="str">
        <f t="shared" si="0"/>
        <v>兔子</v>
      </c>
      <c r="Y17" s="16">
        <f t="shared" si="1"/>
        <v>-85</v>
      </c>
      <c r="Z17" s="16">
        <f t="shared" si="2"/>
        <v>40</v>
      </c>
      <c r="AB17" s="5"/>
    </row>
    <row r="18" ht="16.5" spans="1:31">
      <c r="A18" s="5">
        <v>303</v>
      </c>
      <c r="B18" s="5" t="s">
        <v>90</v>
      </c>
      <c r="C18" s="6">
        <v>-422</v>
      </c>
      <c r="D18" s="6">
        <v>-94</v>
      </c>
      <c r="E18" s="6">
        <v>10000</v>
      </c>
      <c r="F18" s="6">
        <v>0</v>
      </c>
      <c r="G18" s="11">
        <v>-90</v>
      </c>
      <c r="H18" s="11">
        <v>-23</v>
      </c>
      <c r="I18" s="11">
        <v>478</v>
      </c>
      <c r="J18" s="11">
        <v>-292</v>
      </c>
      <c r="K18" s="6">
        <v>125</v>
      </c>
      <c r="V18" s="5">
        <v>2031</v>
      </c>
      <c r="W18" s="5" t="str">
        <f>_xlfn.XLOOKUP(V18,[1]怪物设计!$D:$D,[1]怪物设计!$U:$U,"错误",0)</f>
        <v>鸭子2</v>
      </c>
      <c r="X18" s="15" t="str">
        <f t="shared" si="0"/>
        <v>鸭子</v>
      </c>
      <c r="Y18" s="16">
        <f t="shared" si="1"/>
        <v>-82</v>
      </c>
      <c r="Z18" s="16">
        <f t="shared" si="2"/>
        <v>-12</v>
      </c>
      <c r="AD18" t="s">
        <v>214</v>
      </c>
      <c r="AE18" t="s">
        <v>215</v>
      </c>
    </row>
    <row r="19" ht="16.5" spans="1:51">
      <c r="A19" s="5">
        <v>304</v>
      </c>
      <c r="B19" s="5" t="s">
        <v>91</v>
      </c>
      <c r="C19" s="6">
        <v>-625</v>
      </c>
      <c r="D19" s="6">
        <v>-123</v>
      </c>
      <c r="E19" s="6">
        <v>10000</v>
      </c>
      <c r="F19" s="6">
        <v>5</v>
      </c>
      <c r="G19" s="11">
        <v>116</v>
      </c>
      <c r="H19" s="11">
        <v>-65</v>
      </c>
      <c r="I19" s="11">
        <v>610</v>
      </c>
      <c r="J19" s="11">
        <v>-225</v>
      </c>
      <c r="K19" s="6">
        <v>130</v>
      </c>
      <c r="V19" s="5">
        <v>2032</v>
      </c>
      <c r="W19" s="5" t="str">
        <f>_xlfn.XLOOKUP(V19,[1]怪物设计!$D:$D,[1]怪物设计!$U:$U,"错误",0)</f>
        <v>老虎3</v>
      </c>
      <c r="X19" s="15" t="str">
        <f t="shared" si="0"/>
        <v>老虎</v>
      </c>
      <c r="Y19" s="16">
        <f t="shared" si="1"/>
        <v>-477</v>
      </c>
      <c r="Z19" s="16">
        <f t="shared" si="2"/>
        <v>-10</v>
      </c>
      <c r="AA19" s="17" t="s">
        <v>216</v>
      </c>
      <c r="AB19" s="4" t="s">
        <v>176</v>
      </c>
      <c r="AC19" s="4" t="s">
        <v>28</v>
      </c>
      <c r="AD19" s="3" t="s">
        <v>179</v>
      </c>
      <c r="AE19" s="3" t="s">
        <v>180</v>
      </c>
      <c r="AF19" s="3" t="s">
        <v>181</v>
      </c>
      <c r="AG19" s="3" t="s">
        <v>182</v>
      </c>
      <c r="AH19" s="3" t="s">
        <v>183</v>
      </c>
      <c r="AI19" s="3" t="s">
        <v>184</v>
      </c>
      <c r="AJ19" s="3" t="s">
        <v>185</v>
      </c>
      <c r="AK19" s="3" t="s">
        <v>186</v>
      </c>
      <c r="AL19" s="3" t="s">
        <v>187</v>
      </c>
      <c r="AM19" s="3" t="s">
        <v>37</v>
      </c>
      <c r="AN19" s="3" t="s">
        <v>188</v>
      </c>
      <c r="AO19" s="3" t="s">
        <v>189</v>
      </c>
      <c r="AP19" s="10">
        <v>124</v>
      </c>
      <c r="AQ19" s="3" t="s">
        <v>217</v>
      </c>
      <c r="AR19" s="3" t="s">
        <v>218</v>
      </c>
      <c r="AS19" s="3" t="s">
        <v>219</v>
      </c>
      <c r="AT19" s="3" t="s">
        <v>220</v>
      </c>
      <c r="AU19" s="3" t="s">
        <v>221</v>
      </c>
      <c r="AV19" s="3" t="s">
        <v>222</v>
      </c>
      <c r="AW19" s="3" t="s">
        <v>223</v>
      </c>
      <c r="AX19" s="3" t="s">
        <v>224</v>
      </c>
      <c r="AY19">
        <v>164</v>
      </c>
    </row>
    <row r="20" ht="16.5" spans="1:52">
      <c r="A20" s="5">
        <v>305</v>
      </c>
      <c r="B20" s="5" t="s">
        <v>92</v>
      </c>
      <c r="C20" s="6">
        <v>-578</v>
      </c>
      <c r="D20" s="6">
        <v>-265</v>
      </c>
      <c r="E20" s="6">
        <v>9000</v>
      </c>
      <c r="F20" s="6">
        <v>-25</v>
      </c>
      <c r="G20" s="11">
        <v>25</v>
      </c>
      <c r="H20" s="11">
        <v>-100</v>
      </c>
      <c r="I20" s="11">
        <v>425</v>
      </c>
      <c r="J20" s="11">
        <v>-200</v>
      </c>
      <c r="K20" s="6">
        <v>150</v>
      </c>
      <c r="V20" s="5">
        <v>2033</v>
      </c>
      <c r="W20" s="5" t="str">
        <f>_xlfn.XLOOKUP(V20,[1]怪物设计!$D:$D,[1]怪物设计!$U:$U,"错误",0)</f>
        <v>鸭子3</v>
      </c>
      <c r="X20" s="15" t="str">
        <f t="shared" si="0"/>
        <v>鸭子</v>
      </c>
      <c r="Y20" s="16">
        <f t="shared" si="1"/>
        <v>-82</v>
      </c>
      <c r="Z20" s="16">
        <f t="shared" si="2"/>
        <v>-12</v>
      </c>
      <c r="AB20" s="18" t="s">
        <v>225</v>
      </c>
      <c r="AC20" s="6" t="s">
        <v>194</v>
      </c>
      <c r="AD20" s="6">
        <f t="shared" ref="AD20:AD25" si="6">ROUND(AS20/AQ20*AU20,3)</f>
        <v>0.961</v>
      </c>
      <c r="AE20" s="6">
        <f t="shared" ref="AE20:AE25" si="7">ROUND(AT20/AR20*AV20,3)</f>
        <v>1.036</v>
      </c>
      <c r="AF20" s="6">
        <f t="shared" ref="AF20:AF25" si="8">AW20</f>
        <v>-0.022</v>
      </c>
      <c r="AG20" s="16">
        <v>-0.07</v>
      </c>
      <c r="AH20" s="6">
        <v>0.365</v>
      </c>
      <c r="AI20" s="6"/>
      <c r="AJ20" s="6"/>
      <c r="AK20" s="6"/>
      <c r="AL20" s="6"/>
      <c r="AM20" s="6"/>
      <c r="AN20" s="6"/>
      <c r="AO20" s="16">
        <f>ROUNDDOWN(AZ20/$AP$19*10000,0)</f>
        <v>30564</v>
      </c>
      <c r="AP20" s="10">
        <v>260</v>
      </c>
      <c r="AQ20" s="21">
        <v>190</v>
      </c>
      <c r="AR20" s="21">
        <v>203</v>
      </c>
      <c r="AS20" s="16">
        <v>195</v>
      </c>
      <c r="AT20" s="16">
        <v>221</v>
      </c>
      <c r="AU20" s="21">
        <v>0.936</v>
      </c>
      <c r="AV20" s="21">
        <v>0.952</v>
      </c>
      <c r="AW20" s="16">
        <v>-0.022</v>
      </c>
      <c r="AX20" s="16">
        <v>-0.02</v>
      </c>
      <c r="AY20">
        <f>$AY$31/$AP$31*AP20</f>
        <v>501.703703703704</v>
      </c>
      <c r="AZ20" s="23">
        <f>ROUND($AP$19/$AY$19*AY20,0)</f>
        <v>379</v>
      </c>
    </row>
    <row r="21" ht="16.5" spans="1:52">
      <c r="A21" s="5">
        <v>401</v>
      </c>
      <c r="B21" s="5" t="s">
        <v>93</v>
      </c>
      <c r="C21" s="6">
        <v>-449</v>
      </c>
      <c r="D21" s="6">
        <v>-247</v>
      </c>
      <c r="E21" s="6">
        <v>10000</v>
      </c>
      <c r="F21" s="6">
        <v>0</v>
      </c>
      <c r="G21" s="11">
        <v>-63</v>
      </c>
      <c r="H21" s="11">
        <v>-49</v>
      </c>
      <c r="I21" s="11">
        <v>350</v>
      </c>
      <c r="J21" s="11">
        <v>-170</v>
      </c>
      <c r="K21" s="6">
        <v>135</v>
      </c>
      <c r="V21" s="5">
        <v>3011</v>
      </c>
      <c r="W21" s="5" t="str">
        <f>_xlfn.XLOOKUP(V21,[1]怪物设计!$D:$D,[1]怪物设计!$U:$U,"错误",0)</f>
        <v/>
      </c>
      <c r="X21" s="15" t="str">
        <f t="shared" si="0"/>
        <v/>
      </c>
      <c r="Y21" s="16" t="str">
        <f t="shared" si="1"/>
        <v>错误</v>
      </c>
      <c r="Z21" s="16" t="str">
        <f t="shared" si="2"/>
        <v>错误</v>
      </c>
      <c r="AB21" s="18" t="s">
        <v>226</v>
      </c>
      <c r="AC21" s="6" t="s">
        <v>194</v>
      </c>
      <c r="AD21" s="6">
        <f t="shared" si="6"/>
        <v>0.631</v>
      </c>
      <c r="AE21" s="6">
        <f t="shared" si="7"/>
        <v>1.021</v>
      </c>
      <c r="AF21" s="6">
        <f t="shared" si="8"/>
        <v>0</v>
      </c>
      <c r="AG21" s="16">
        <v>-0.165</v>
      </c>
      <c r="AH21" s="6">
        <v>0.365</v>
      </c>
      <c r="AI21" s="6"/>
      <c r="AJ21" s="6"/>
      <c r="AK21" s="6"/>
      <c r="AL21" s="6"/>
      <c r="AM21" s="6"/>
      <c r="AN21" s="6"/>
      <c r="AO21" s="16">
        <f t="shared" ref="AO21:AO34" si="9">ROUNDDOWN(AZ21/$AP$19*10000,0)</f>
        <v>29274</v>
      </c>
      <c r="AP21" s="10">
        <v>249</v>
      </c>
      <c r="AQ21" s="21">
        <v>100</v>
      </c>
      <c r="AR21" s="21">
        <v>195</v>
      </c>
      <c r="AS21" s="16">
        <v>124</v>
      </c>
      <c r="AT21" s="16">
        <v>207</v>
      </c>
      <c r="AU21" s="21">
        <v>0.509</v>
      </c>
      <c r="AV21" s="21">
        <v>0.962</v>
      </c>
      <c r="AW21" s="16">
        <v>0</v>
      </c>
      <c r="AX21" s="16">
        <v>0.15</v>
      </c>
      <c r="AY21">
        <f t="shared" ref="AY21:AY30" si="10">$AY$31/$AP$31*AP21</f>
        <v>480.477777777778</v>
      </c>
      <c r="AZ21" s="23">
        <f t="shared" ref="AZ21:AZ31" si="11">ROUND($AP$19/$AY$19*AY21,0)</f>
        <v>363</v>
      </c>
    </row>
    <row r="22" ht="16.5" spans="1:52">
      <c r="A22" s="5">
        <v>402</v>
      </c>
      <c r="B22" s="5" t="s">
        <v>95</v>
      </c>
      <c r="C22" s="6">
        <v>-455</v>
      </c>
      <c r="D22" s="6">
        <v>-241</v>
      </c>
      <c r="E22" s="6">
        <v>10000</v>
      </c>
      <c r="F22" s="6">
        <v>0</v>
      </c>
      <c r="G22" s="11">
        <v>-67</v>
      </c>
      <c r="H22" s="11">
        <v>59</v>
      </c>
      <c r="I22" s="11">
        <v>420</v>
      </c>
      <c r="J22" s="11">
        <v>-160</v>
      </c>
      <c r="K22" s="6">
        <v>135</v>
      </c>
      <c r="V22" s="5">
        <v>3012</v>
      </c>
      <c r="W22" s="5" t="str">
        <f>_xlfn.XLOOKUP(V22,[1]怪物设计!$D:$D,[1]怪物设计!$U:$U,"错误",0)</f>
        <v/>
      </c>
      <c r="X22" s="15" t="str">
        <f t="shared" si="0"/>
        <v/>
      </c>
      <c r="Y22" s="16" t="str">
        <f t="shared" si="1"/>
        <v>错误</v>
      </c>
      <c r="Z22" s="16" t="str">
        <f t="shared" si="2"/>
        <v>错误</v>
      </c>
      <c r="AB22" s="18" t="s">
        <v>227</v>
      </c>
      <c r="AC22" s="6" t="s">
        <v>194</v>
      </c>
      <c r="AD22" s="6">
        <f t="shared" si="6"/>
        <v>0.957</v>
      </c>
      <c r="AE22" s="6">
        <f t="shared" si="7"/>
        <v>1.122</v>
      </c>
      <c r="AF22" s="6">
        <f t="shared" si="8"/>
        <v>0.01</v>
      </c>
      <c r="AG22" s="16">
        <v>0.136</v>
      </c>
      <c r="AH22" s="6">
        <v>0.365</v>
      </c>
      <c r="AI22" s="6"/>
      <c r="AJ22" s="6"/>
      <c r="AK22" s="6"/>
      <c r="AL22" s="6"/>
      <c r="AM22" s="6"/>
      <c r="AN22" s="6"/>
      <c r="AO22" s="16">
        <f t="shared" si="9"/>
        <v>31451</v>
      </c>
      <c r="AP22" s="10">
        <v>267</v>
      </c>
      <c r="AQ22" s="21">
        <v>241</v>
      </c>
      <c r="AR22" s="21">
        <v>244</v>
      </c>
      <c r="AS22" s="16">
        <v>241</v>
      </c>
      <c r="AT22" s="16">
        <v>261</v>
      </c>
      <c r="AU22" s="21">
        <v>0.957</v>
      </c>
      <c r="AV22" s="21">
        <v>1.049</v>
      </c>
      <c r="AW22" s="16">
        <v>0.01</v>
      </c>
      <c r="AX22" s="16">
        <v>-0.1</v>
      </c>
      <c r="AY22">
        <f t="shared" si="10"/>
        <v>515.211111111111</v>
      </c>
      <c r="AZ22" s="23">
        <f t="shared" si="11"/>
        <v>390</v>
      </c>
    </row>
    <row r="23" ht="16.5" spans="1:52">
      <c r="A23" s="5">
        <v>403</v>
      </c>
      <c r="B23" s="5" t="s">
        <v>96</v>
      </c>
      <c r="C23" s="6">
        <v>-465</v>
      </c>
      <c r="D23" s="6">
        <v>-234</v>
      </c>
      <c r="E23" s="6">
        <v>10000</v>
      </c>
      <c r="F23" s="6">
        <v>0</v>
      </c>
      <c r="G23" s="11">
        <v>-95</v>
      </c>
      <c r="H23" s="11">
        <v>97</v>
      </c>
      <c r="I23" s="11">
        <v>493</v>
      </c>
      <c r="J23" s="11">
        <v>-122</v>
      </c>
      <c r="K23" s="6">
        <v>140</v>
      </c>
      <c r="V23" s="5">
        <v>3013</v>
      </c>
      <c r="W23" s="5" t="str">
        <f>_xlfn.XLOOKUP(V23,[1]怪物设计!$D:$D,[1]怪物设计!$U:$U,"错误",0)</f>
        <v/>
      </c>
      <c r="X23" s="15" t="str">
        <f t="shared" si="0"/>
        <v/>
      </c>
      <c r="Y23" s="16" t="str">
        <f t="shared" si="1"/>
        <v>错误</v>
      </c>
      <c r="Z23" s="16" t="str">
        <f t="shared" si="2"/>
        <v>错误</v>
      </c>
      <c r="AB23" s="18" t="s">
        <v>228</v>
      </c>
      <c r="AC23" s="6" t="s">
        <v>194</v>
      </c>
      <c r="AD23" s="6">
        <f t="shared" si="6"/>
        <v>0.774</v>
      </c>
      <c r="AE23" s="6">
        <f t="shared" si="7"/>
        <v>0.946</v>
      </c>
      <c r="AF23" s="6">
        <f t="shared" si="8"/>
        <v>0.026</v>
      </c>
      <c r="AG23" s="16">
        <v>-0.126</v>
      </c>
      <c r="AH23" s="6">
        <v>0.365</v>
      </c>
      <c r="AI23" s="6"/>
      <c r="AJ23" s="6"/>
      <c r="AK23" s="6"/>
      <c r="AL23" s="6"/>
      <c r="AM23" s="6"/>
      <c r="AN23" s="6"/>
      <c r="AO23" s="16">
        <f t="shared" si="9"/>
        <v>29193</v>
      </c>
      <c r="AP23" s="10">
        <v>248</v>
      </c>
      <c r="AQ23" s="21">
        <v>204</v>
      </c>
      <c r="AR23" s="21">
        <v>268</v>
      </c>
      <c r="AS23" s="16">
        <v>204</v>
      </c>
      <c r="AT23" s="16">
        <v>270</v>
      </c>
      <c r="AU23" s="21">
        <v>0.774</v>
      </c>
      <c r="AV23" s="21">
        <v>0.939</v>
      </c>
      <c r="AW23" s="16">
        <v>0.026</v>
      </c>
      <c r="AX23" s="16">
        <v>-0.12</v>
      </c>
      <c r="AY23">
        <f t="shared" si="10"/>
        <v>478.548148148148</v>
      </c>
      <c r="AZ23" s="23">
        <f t="shared" si="11"/>
        <v>362</v>
      </c>
    </row>
    <row r="24" ht="16.5" spans="1:52">
      <c r="A24" s="5">
        <v>404</v>
      </c>
      <c r="B24" s="5" t="s">
        <v>98</v>
      </c>
      <c r="C24" s="6">
        <v>-675</v>
      </c>
      <c r="D24" s="6">
        <v>-234</v>
      </c>
      <c r="E24" s="6">
        <v>10000</v>
      </c>
      <c r="F24" s="6">
        <v>0</v>
      </c>
      <c r="G24" s="11">
        <v>134</v>
      </c>
      <c r="H24" s="11">
        <v>73</v>
      </c>
      <c r="I24" s="11">
        <v>722</v>
      </c>
      <c r="J24" s="11">
        <v>-146</v>
      </c>
      <c r="K24" s="6">
        <v>120</v>
      </c>
      <c r="V24" s="5">
        <v>3021</v>
      </c>
      <c r="W24" s="5" t="str">
        <f>_xlfn.XLOOKUP(V24,[1]怪物设计!$D:$D,[1]怪物设计!$U:$U,"错误",0)</f>
        <v/>
      </c>
      <c r="X24" s="15" t="str">
        <f t="shared" si="0"/>
        <v/>
      </c>
      <c r="Y24" s="16" t="str">
        <f t="shared" si="1"/>
        <v>错误</v>
      </c>
      <c r="Z24" s="16" t="str">
        <f t="shared" si="2"/>
        <v>错误</v>
      </c>
      <c r="AB24" s="18" t="s">
        <v>229</v>
      </c>
      <c r="AC24" s="6" t="s">
        <v>194</v>
      </c>
      <c r="AD24" s="6">
        <f t="shared" si="6"/>
        <v>1.004</v>
      </c>
      <c r="AE24" s="6">
        <f t="shared" si="7"/>
        <v>0.998</v>
      </c>
      <c r="AF24" s="6">
        <f t="shared" si="8"/>
        <v>-0.02</v>
      </c>
      <c r="AG24" s="16">
        <v>-0.18</v>
      </c>
      <c r="AH24" s="6">
        <v>0.365</v>
      </c>
      <c r="AI24" s="6"/>
      <c r="AJ24" s="6"/>
      <c r="AK24" s="6"/>
      <c r="AL24" s="6"/>
      <c r="AM24" s="6"/>
      <c r="AN24" s="6"/>
      <c r="AO24" s="16">
        <f t="shared" si="9"/>
        <v>28790</v>
      </c>
      <c r="AP24" s="10">
        <v>245</v>
      </c>
      <c r="AQ24" s="21">
        <v>150</v>
      </c>
      <c r="AR24" s="21">
        <v>191</v>
      </c>
      <c r="AS24" s="16">
        <v>199</v>
      </c>
      <c r="AT24" s="16">
        <v>195</v>
      </c>
      <c r="AU24" s="21">
        <v>0.757</v>
      </c>
      <c r="AV24" s="21">
        <v>0.978</v>
      </c>
      <c r="AW24" s="16">
        <v>-0.02</v>
      </c>
      <c r="AX24" s="16">
        <v>-0.15</v>
      </c>
      <c r="AY24">
        <f t="shared" si="10"/>
        <v>472.759259259259</v>
      </c>
      <c r="AZ24" s="23">
        <f t="shared" si="11"/>
        <v>357</v>
      </c>
    </row>
    <row r="25" ht="16.5" spans="1:52">
      <c r="A25" s="5">
        <v>405</v>
      </c>
      <c r="B25" s="5" t="s">
        <v>99</v>
      </c>
      <c r="C25" s="6">
        <v>-482</v>
      </c>
      <c r="D25" s="6">
        <v>-236</v>
      </c>
      <c r="E25" s="6">
        <v>10000</v>
      </c>
      <c r="F25" s="6">
        <v>0</v>
      </c>
      <c r="G25" s="11">
        <v>-63</v>
      </c>
      <c r="H25" s="11">
        <v>92</v>
      </c>
      <c r="I25" s="11">
        <v>525</v>
      </c>
      <c r="J25" s="11">
        <v>-127</v>
      </c>
      <c r="K25" s="6">
        <v>135</v>
      </c>
      <c r="V25" s="5">
        <v>3022</v>
      </c>
      <c r="W25" s="5" t="str">
        <f>_xlfn.XLOOKUP(V25,[1]怪物设计!$D:$D,[1]怪物设计!$U:$U,"错误",0)</f>
        <v/>
      </c>
      <c r="X25" s="15" t="str">
        <f t="shared" si="0"/>
        <v/>
      </c>
      <c r="Y25" s="16" t="str">
        <f t="shared" si="1"/>
        <v>错误</v>
      </c>
      <c r="Z25" s="16" t="str">
        <f t="shared" si="2"/>
        <v>错误</v>
      </c>
      <c r="AB25" s="18" t="s">
        <v>230</v>
      </c>
      <c r="AC25" s="6" t="s">
        <v>194</v>
      </c>
      <c r="AD25" s="6">
        <f t="shared" si="6"/>
        <v>1.098</v>
      </c>
      <c r="AE25" s="6">
        <f t="shared" si="7"/>
        <v>1.057</v>
      </c>
      <c r="AF25" s="6">
        <f t="shared" si="8"/>
        <v>0.002</v>
      </c>
      <c r="AG25" s="16">
        <v>-0.13</v>
      </c>
      <c r="AH25" s="6">
        <v>0.365</v>
      </c>
      <c r="AI25" s="6"/>
      <c r="AJ25" s="6"/>
      <c r="AK25" s="6"/>
      <c r="AL25" s="6"/>
      <c r="AM25" s="6"/>
      <c r="AN25" s="6"/>
      <c r="AO25" s="16">
        <f t="shared" si="9"/>
        <v>29516</v>
      </c>
      <c r="AP25" s="10">
        <v>251</v>
      </c>
      <c r="AQ25" s="21">
        <v>225</v>
      </c>
      <c r="AR25" s="21">
        <v>233</v>
      </c>
      <c r="AS25" s="16">
        <v>252</v>
      </c>
      <c r="AT25" s="16">
        <v>249</v>
      </c>
      <c r="AU25" s="22">
        <v>0.98</v>
      </c>
      <c r="AV25" s="21">
        <v>0.989</v>
      </c>
      <c r="AW25" s="16">
        <v>0.002</v>
      </c>
      <c r="AX25" s="16">
        <v>-0.1</v>
      </c>
      <c r="AY25">
        <f t="shared" si="10"/>
        <v>484.337037037037</v>
      </c>
      <c r="AZ25" s="23">
        <f t="shared" si="11"/>
        <v>366</v>
      </c>
    </row>
    <row r="26" ht="16.5" spans="1:52">
      <c r="A26" s="5">
        <v>406</v>
      </c>
      <c r="B26" s="5" t="s">
        <v>101</v>
      </c>
      <c r="C26" s="6">
        <v>-539</v>
      </c>
      <c r="D26" s="6">
        <v>-224</v>
      </c>
      <c r="E26" s="6">
        <v>8000</v>
      </c>
      <c r="F26" s="6">
        <v>30</v>
      </c>
      <c r="G26" s="11">
        <v>84</v>
      </c>
      <c r="H26" s="11">
        <v>58</v>
      </c>
      <c r="I26" s="11">
        <v>584</v>
      </c>
      <c r="J26" s="11">
        <v>-547</v>
      </c>
      <c r="K26" s="6">
        <v>135</v>
      </c>
      <c r="V26" s="5">
        <v>3023</v>
      </c>
      <c r="W26" s="5" t="str">
        <f>_xlfn.XLOOKUP(V26,[1]怪物设计!$D:$D,[1]怪物设计!$U:$U,"错误",0)</f>
        <v/>
      </c>
      <c r="X26" s="15" t="str">
        <f t="shared" si="0"/>
        <v/>
      </c>
      <c r="Y26" s="16" t="str">
        <f t="shared" si="1"/>
        <v>错误</v>
      </c>
      <c r="Z26" s="16" t="str">
        <f t="shared" si="2"/>
        <v>错误</v>
      </c>
      <c r="AB26" s="19" t="s">
        <v>231</v>
      </c>
      <c r="AC26" s="6"/>
      <c r="AD26" s="6"/>
      <c r="AE26" s="6"/>
      <c r="AF26" s="6"/>
      <c r="AG26" s="16"/>
      <c r="AH26" s="6"/>
      <c r="AI26" s="6"/>
      <c r="AJ26" s="6"/>
      <c r="AK26" s="6"/>
      <c r="AL26" s="6"/>
      <c r="AM26" s="6"/>
      <c r="AN26" s="6"/>
      <c r="AO26" s="16">
        <v>31000</v>
      </c>
      <c r="AQ26" s="21"/>
      <c r="AR26" s="21"/>
      <c r="AS26" s="16"/>
      <c r="AT26" s="16"/>
      <c r="AU26" s="21"/>
      <c r="AV26" s="21"/>
      <c r="AW26" s="16"/>
      <c r="AX26" s="16"/>
      <c r="AY26">
        <f t="shared" si="10"/>
        <v>0</v>
      </c>
      <c r="AZ26" s="23">
        <f t="shared" si="11"/>
        <v>0</v>
      </c>
    </row>
    <row r="27" ht="16.5" spans="1:52">
      <c r="A27" s="5">
        <v>407</v>
      </c>
      <c r="B27" s="5" t="s">
        <v>102</v>
      </c>
      <c r="C27" s="6">
        <v>-443</v>
      </c>
      <c r="D27" s="6">
        <v>-184</v>
      </c>
      <c r="E27" s="6">
        <v>10000</v>
      </c>
      <c r="F27" s="6">
        <v>-5</v>
      </c>
      <c r="G27" s="11">
        <v>-66</v>
      </c>
      <c r="H27" s="11">
        <v>-13</v>
      </c>
      <c r="I27" s="11">
        <v>450</v>
      </c>
      <c r="J27" s="11">
        <v>-180</v>
      </c>
      <c r="K27" s="6">
        <v>120</v>
      </c>
      <c r="V27" s="5">
        <v>3031</v>
      </c>
      <c r="W27" s="5" t="str">
        <f>_xlfn.XLOOKUP(V27,[1]怪物设计!$D:$D,[1]怪物设计!$U:$U,"错误",0)</f>
        <v/>
      </c>
      <c r="X27" s="15" t="str">
        <f t="shared" si="0"/>
        <v/>
      </c>
      <c r="Y27" s="16" t="str">
        <f t="shared" si="1"/>
        <v>错误</v>
      </c>
      <c r="Z27" s="16" t="str">
        <f t="shared" si="2"/>
        <v>错误</v>
      </c>
      <c r="AB27" s="19" t="s">
        <v>232</v>
      </c>
      <c r="AC27" s="6"/>
      <c r="AD27" s="6"/>
      <c r="AE27" s="6"/>
      <c r="AF27" s="6"/>
      <c r="AG27" s="16"/>
      <c r="AH27" s="6"/>
      <c r="AI27" s="6"/>
      <c r="AJ27" s="6"/>
      <c r="AK27" s="6"/>
      <c r="AL27" s="6"/>
      <c r="AM27" s="6"/>
      <c r="AN27" s="6"/>
      <c r="AO27" s="16">
        <v>31000</v>
      </c>
      <c r="AQ27" s="21"/>
      <c r="AR27" s="21"/>
      <c r="AS27" s="16"/>
      <c r="AT27" s="16"/>
      <c r="AU27" s="21"/>
      <c r="AV27" s="21"/>
      <c r="AW27" s="16"/>
      <c r="AX27" s="16"/>
      <c r="AY27">
        <f t="shared" si="10"/>
        <v>0</v>
      </c>
      <c r="AZ27" s="23">
        <f t="shared" si="11"/>
        <v>0</v>
      </c>
    </row>
    <row r="28" ht="16.5" spans="1:52">
      <c r="A28" s="5">
        <v>408</v>
      </c>
      <c r="B28" s="5" t="s">
        <v>103</v>
      </c>
      <c r="C28" s="6">
        <v>-350</v>
      </c>
      <c r="D28" s="6">
        <v>-307</v>
      </c>
      <c r="E28" s="6">
        <v>11000</v>
      </c>
      <c r="F28" s="6">
        <v>-15</v>
      </c>
      <c r="G28" s="11">
        <v>-50</v>
      </c>
      <c r="H28" s="11">
        <v>20</v>
      </c>
      <c r="I28" s="11">
        <v>280</v>
      </c>
      <c r="J28" s="11">
        <v>-1100</v>
      </c>
      <c r="K28" s="6">
        <v>175</v>
      </c>
      <c r="V28" s="5">
        <v>3032</v>
      </c>
      <c r="W28" s="5" t="str">
        <f>_xlfn.XLOOKUP(V28,[1]怪物设计!$D:$D,[1]怪物设计!$U:$U,"错误",0)</f>
        <v/>
      </c>
      <c r="X28" s="15" t="str">
        <f t="shared" si="0"/>
        <v/>
      </c>
      <c r="Y28" s="16" t="str">
        <f t="shared" si="1"/>
        <v>错误</v>
      </c>
      <c r="Z28" s="16" t="str">
        <f t="shared" si="2"/>
        <v>错误</v>
      </c>
      <c r="AB28" s="19" t="s">
        <v>233</v>
      </c>
      <c r="AC28" s="6"/>
      <c r="AD28" s="6"/>
      <c r="AE28" s="6"/>
      <c r="AF28" s="6"/>
      <c r="AG28" s="16"/>
      <c r="AH28" s="6"/>
      <c r="AI28" s="6"/>
      <c r="AJ28" s="6"/>
      <c r="AK28" s="6"/>
      <c r="AL28" s="6"/>
      <c r="AM28" s="6"/>
      <c r="AN28" s="6"/>
      <c r="AO28" s="16">
        <v>31000</v>
      </c>
      <c r="AQ28" s="21"/>
      <c r="AR28" s="21"/>
      <c r="AS28" s="16"/>
      <c r="AT28" s="16"/>
      <c r="AU28" s="21"/>
      <c r="AV28" s="21"/>
      <c r="AW28" s="16"/>
      <c r="AX28" s="16"/>
      <c r="AY28">
        <f t="shared" si="10"/>
        <v>0</v>
      </c>
      <c r="AZ28" s="23">
        <f t="shared" si="11"/>
        <v>0</v>
      </c>
    </row>
    <row r="29" ht="16.5" spans="1:52">
      <c r="A29" s="5">
        <v>409</v>
      </c>
      <c r="B29" s="5" t="s">
        <v>104</v>
      </c>
      <c r="C29" s="6">
        <v>-554</v>
      </c>
      <c r="D29" s="6">
        <v>-156</v>
      </c>
      <c r="E29" s="6">
        <v>7500</v>
      </c>
      <c r="F29" s="6">
        <v>-15</v>
      </c>
      <c r="G29" s="11">
        <v>11</v>
      </c>
      <c r="H29" s="11">
        <v>45</v>
      </c>
      <c r="I29" s="11">
        <v>580</v>
      </c>
      <c r="J29" s="11">
        <v>-100</v>
      </c>
      <c r="K29" s="6">
        <v>110</v>
      </c>
      <c r="V29" s="5">
        <v>3033</v>
      </c>
      <c r="W29" s="5" t="str">
        <f>_xlfn.XLOOKUP(V29,[1]怪物设计!$D:$D,[1]怪物设计!$U:$U,"错误",0)</f>
        <v/>
      </c>
      <c r="X29" s="15" t="str">
        <f t="shared" si="0"/>
        <v/>
      </c>
      <c r="Y29" s="16" t="str">
        <f t="shared" si="1"/>
        <v>错误</v>
      </c>
      <c r="Z29" s="16" t="str">
        <f t="shared" si="2"/>
        <v>错误</v>
      </c>
      <c r="AB29" s="18" t="s">
        <v>234</v>
      </c>
      <c r="AC29" s="6" t="s">
        <v>194</v>
      </c>
      <c r="AD29" s="6">
        <f t="shared" ref="AD29:AD31" si="12">ROUND(AS29/AQ29*AU29,3)</f>
        <v>0.918</v>
      </c>
      <c r="AE29" s="6">
        <f t="shared" ref="AE29:AE31" si="13">ROUND(AT29/AR29*AV29,3)</f>
        <v>1.083</v>
      </c>
      <c r="AF29" s="6">
        <f t="shared" ref="AF29:AF31" si="14">AW29</f>
        <v>0</v>
      </c>
      <c r="AG29" s="16">
        <v>-0.16</v>
      </c>
      <c r="AH29" s="6">
        <v>0.365</v>
      </c>
      <c r="AI29" s="6"/>
      <c r="AJ29" s="6"/>
      <c r="AK29" s="6"/>
      <c r="AL29" s="6"/>
      <c r="AM29" s="6"/>
      <c r="AN29" s="6"/>
      <c r="AO29" s="16">
        <f t="shared" si="9"/>
        <v>31048</v>
      </c>
      <c r="AP29" s="10">
        <v>264</v>
      </c>
      <c r="AQ29" s="21">
        <v>171</v>
      </c>
      <c r="AR29" s="21">
        <v>196</v>
      </c>
      <c r="AS29" s="16">
        <v>191</v>
      </c>
      <c r="AT29" s="16">
        <v>213</v>
      </c>
      <c r="AU29" s="21">
        <v>0.822</v>
      </c>
      <c r="AV29" s="21">
        <v>0.997</v>
      </c>
      <c r="AW29" s="16">
        <v>0</v>
      </c>
      <c r="AX29" s="16">
        <v>-0.12</v>
      </c>
      <c r="AY29">
        <f t="shared" si="10"/>
        <v>509.422222222222</v>
      </c>
      <c r="AZ29" s="23">
        <f t="shared" si="11"/>
        <v>385</v>
      </c>
    </row>
    <row r="30" ht="16.5" spans="1:52">
      <c r="A30" s="5">
        <v>501</v>
      </c>
      <c r="B30" s="5" t="s">
        <v>105</v>
      </c>
      <c r="C30" s="6">
        <v>-529</v>
      </c>
      <c r="D30" s="6">
        <v>-39</v>
      </c>
      <c r="E30" s="6">
        <v>11000</v>
      </c>
      <c r="F30" s="6">
        <v>45</v>
      </c>
      <c r="G30" s="11">
        <v>-34</v>
      </c>
      <c r="H30" s="11">
        <v>-52</v>
      </c>
      <c r="I30" s="11">
        <v>520</v>
      </c>
      <c r="J30" s="11">
        <v>-600</v>
      </c>
      <c r="K30" s="6">
        <v>135</v>
      </c>
      <c r="V30" s="5">
        <v>4011</v>
      </c>
      <c r="W30" s="5" t="str">
        <f>_xlfn.XLOOKUP(V30,[1]怪物设计!$D:$D,[1]怪物设计!$U:$U,"错误",0)</f>
        <v>孔雀1</v>
      </c>
      <c r="X30" s="15" t="str">
        <f t="shared" si="0"/>
        <v>孔雀</v>
      </c>
      <c r="Y30" s="16">
        <f t="shared" si="1"/>
        <v>-145</v>
      </c>
      <c r="Z30" s="16">
        <f t="shared" si="2"/>
        <v>-51</v>
      </c>
      <c r="AB30" s="18" t="s">
        <v>235</v>
      </c>
      <c r="AC30" s="6" t="s">
        <v>194</v>
      </c>
      <c r="AD30" s="6">
        <f t="shared" si="12"/>
        <v>1.003</v>
      </c>
      <c r="AE30" s="6">
        <f t="shared" si="13"/>
        <v>1.109</v>
      </c>
      <c r="AF30" s="6">
        <f t="shared" si="14"/>
        <v>-0.02</v>
      </c>
      <c r="AG30" s="16">
        <v>-0.19</v>
      </c>
      <c r="AH30" s="6">
        <v>0.365</v>
      </c>
      <c r="AI30" s="6"/>
      <c r="AJ30" s="6"/>
      <c r="AK30" s="6"/>
      <c r="AL30" s="6"/>
      <c r="AM30" s="6"/>
      <c r="AN30" s="6"/>
      <c r="AO30" s="16">
        <f t="shared" si="9"/>
        <v>31612</v>
      </c>
      <c r="AP30" s="10">
        <v>269</v>
      </c>
      <c r="AQ30" s="21">
        <v>259</v>
      </c>
      <c r="AR30" s="21">
        <v>280</v>
      </c>
      <c r="AS30" s="16">
        <v>296</v>
      </c>
      <c r="AT30" s="16">
        <v>316</v>
      </c>
      <c r="AU30" s="21">
        <v>0.878</v>
      </c>
      <c r="AV30" s="21">
        <v>0.983</v>
      </c>
      <c r="AW30" s="16">
        <v>-0.02</v>
      </c>
      <c r="AX30" s="16">
        <v>-0.12</v>
      </c>
      <c r="AY30">
        <f t="shared" si="10"/>
        <v>519.07037037037</v>
      </c>
      <c r="AZ30" s="23">
        <f t="shared" si="11"/>
        <v>392</v>
      </c>
    </row>
    <row r="31" ht="16.5" spans="1:52">
      <c r="A31" s="5">
        <v>502</v>
      </c>
      <c r="B31" s="5" t="s">
        <v>106</v>
      </c>
      <c r="C31" s="6">
        <v>-549</v>
      </c>
      <c r="D31" s="6">
        <v>-156</v>
      </c>
      <c r="E31" s="6">
        <v>8500</v>
      </c>
      <c r="F31" s="6">
        <v>0</v>
      </c>
      <c r="G31" s="11">
        <v>47</v>
      </c>
      <c r="H31" s="11">
        <v>-19</v>
      </c>
      <c r="I31" s="11">
        <v>400</v>
      </c>
      <c r="J31" s="11">
        <v>0</v>
      </c>
      <c r="K31" s="6">
        <v>100</v>
      </c>
      <c r="V31" s="5">
        <v>4012</v>
      </c>
      <c r="W31" s="5" t="str">
        <f>_xlfn.XLOOKUP(V31,[1]怪物设计!$D:$D,[1]怪物设计!$U:$U,"错误",0)</f>
        <v>孔雀2</v>
      </c>
      <c r="X31" s="15" t="str">
        <f t="shared" si="0"/>
        <v>孔雀</v>
      </c>
      <c r="Y31" s="16">
        <f t="shared" si="1"/>
        <v>-145</v>
      </c>
      <c r="Z31" s="16">
        <f t="shared" si="2"/>
        <v>-51</v>
      </c>
      <c r="AB31" s="18" t="s">
        <v>236</v>
      </c>
      <c r="AC31" s="6" t="s">
        <v>194</v>
      </c>
      <c r="AD31" s="6">
        <f t="shared" si="12"/>
        <v>1.143</v>
      </c>
      <c r="AE31" s="6">
        <f t="shared" si="13"/>
        <v>1.051</v>
      </c>
      <c r="AF31" s="6">
        <f t="shared" si="14"/>
        <v>0.02</v>
      </c>
      <c r="AG31" s="16">
        <v>-0.19</v>
      </c>
      <c r="AH31" s="6">
        <v>0.365</v>
      </c>
      <c r="AI31" s="6"/>
      <c r="AJ31" s="6"/>
      <c r="AK31" s="6"/>
      <c r="AL31" s="6"/>
      <c r="AM31" s="6"/>
      <c r="AN31" s="6"/>
      <c r="AO31" s="16">
        <f t="shared" si="9"/>
        <v>31774</v>
      </c>
      <c r="AP31" s="10">
        <v>270</v>
      </c>
      <c r="AQ31" s="21">
        <v>266</v>
      </c>
      <c r="AR31" s="21">
        <v>287</v>
      </c>
      <c r="AS31" s="16">
        <v>322</v>
      </c>
      <c r="AT31" s="16">
        <v>304</v>
      </c>
      <c r="AU31" s="21">
        <v>0.944</v>
      </c>
      <c r="AV31" s="21">
        <v>0.992</v>
      </c>
      <c r="AW31" s="16">
        <v>0.02</v>
      </c>
      <c r="AX31" s="16">
        <v>-0.16</v>
      </c>
      <c r="AY31">
        <v>521</v>
      </c>
      <c r="AZ31" s="23">
        <f t="shared" si="11"/>
        <v>394</v>
      </c>
    </row>
    <row r="32" ht="16.5" spans="1:50">
      <c r="A32" s="5">
        <v>503</v>
      </c>
      <c r="B32" s="5" t="s">
        <v>107</v>
      </c>
      <c r="C32" s="6">
        <v>-621</v>
      </c>
      <c r="D32" s="6">
        <v>-207</v>
      </c>
      <c r="E32" s="6">
        <v>10000</v>
      </c>
      <c r="F32" s="6">
        <v>-15</v>
      </c>
      <c r="G32" s="11">
        <v>86</v>
      </c>
      <c r="H32" s="11">
        <v>109</v>
      </c>
      <c r="I32" s="11">
        <v>712</v>
      </c>
      <c r="J32" s="11">
        <v>50</v>
      </c>
      <c r="K32" s="6">
        <v>115</v>
      </c>
      <c r="V32" s="5">
        <v>4013</v>
      </c>
      <c r="W32" s="5" t="str">
        <f>_xlfn.XLOOKUP(V32,[1]怪物设计!$D:$D,[1]怪物设计!$U:$U,"错误",0)</f>
        <v>鹦鹉1</v>
      </c>
      <c r="X32" s="15" t="str">
        <f t="shared" si="0"/>
        <v>鹦鹉</v>
      </c>
      <c r="Y32" s="16">
        <f t="shared" si="1"/>
        <v>-265</v>
      </c>
      <c r="Z32" s="16">
        <f t="shared" si="2"/>
        <v>-120</v>
      </c>
      <c r="AB32" s="19" t="s">
        <v>237</v>
      </c>
      <c r="AC32" s="6"/>
      <c r="AD32" s="6"/>
      <c r="AE32" s="6"/>
      <c r="AF32" s="6"/>
      <c r="AG32" s="16"/>
      <c r="AH32" s="6"/>
      <c r="AI32" s="6"/>
      <c r="AJ32" s="6"/>
      <c r="AK32" s="6"/>
      <c r="AL32" s="6"/>
      <c r="AM32" s="6"/>
      <c r="AN32" s="6"/>
      <c r="AO32" s="16">
        <v>31000</v>
      </c>
      <c r="AQ32" s="21"/>
      <c r="AR32" s="21"/>
      <c r="AS32" s="16"/>
      <c r="AT32" s="16"/>
      <c r="AU32" s="21"/>
      <c r="AV32" s="21"/>
      <c r="AW32" s="16"/>
      <c r="AX32" s="16"/>
    </row>
    <row r="33" ht="16.5" spans="1:50">
      <c r="A33" s="5">
        <v>504</v>
      </c>
      <c r="B33" s="5" t="s">
        <v>108</v>
      </c>
      <c r="C33" s="6">
        <v>-513</v>
      </c>
      <c r="D33" s="6">
        <v>-251</v>
      </c>
      <c r="E33" s="6">
        <v>9000</v>
      </c>
      <c r="F33" s="6">
        <v>-10</v>
      </c>
      <c r="G33" s="11">
        <v>16</v>
      </c>
      <c r="H33" s="11">
        <v>111</v>
      </c>
      <c r="I33" s="11">
        <v>550</v>
      </c>
      <c r="J33" s="11">
        <v>-15</v>
      </c>
      <c r="K33" s="6">
        <v>120</v>
      </c>
      <c r="V33" s="5">
        <v>4021</v>
      </c>
      <c r="W33" s="5" t="str">
        <f>_xlfn.XLOOKUP(V33,[1]怪物设计!$D:$D,[1]怪物设计!$U:$U,"错误",0)</f>
        <v>鹦鹉2</v>
      </c>
      <c r="X33" s="15" t="str">
        <f t="shared" si="0"/>
        <v>鹦鹉</v>
      </c>
      <c r="Y33" s="16">
        <f t="shared" si="1"/>
        <v>-265</v>
      </c>
      <c r="Z33" s="16">
        <f t="shared" si="2"/>
        <v>-120</v>
      </c>
      <c r="AB33" s="19" t="s">
        <v>238</v>
      </c>
      <c r="AC33" s="6"/>
      <c r="AD33" s="6"/>
      <c r="AE33" s="6"/>
      <c r="AF33" s="6"/>
      <c r="AG33" s="16"/>
      <c r="AH33" s="6"/>
      <c r="AI33" s="6"/>
      <c r="AJ33" s="6"/>
      <c r="AK33" s="6"/>
      <c r="AL33" s="6"/>
      <c r="AM33" s="6"/>
      <c r="AN33" s="6"/>
      <c r="AO33" s="16">
        <v>31000</v>
      </c>
      <c r="AQ33" s="21"/>
      <c r="AR33" s="21"/>
      <c r="AS33" s="16"/>
      <c r="AT33" s="16"/>
      <c r="AU33" s="21"/>
      <c r="AV33" s="21"/>
      <c r="AW33" s="16"/>
      <c r="AX33" s="16"/>
    </row>
    <row r="34" ht="16.5" spans="1:50">
      <c r="A34" s="5">
        <v>505</v>
      </c>
      <c r="B34" s="5" t="s">
        <v>109</v>
      </c>
      <c r="C34" s="6">
        <v>-620</v>
      </c>
      <c r="D34" s="6">
        <v>-255</v>
      </c>
      <c r="E34" s="6">
        <v>10000</v>
      </c>
      <c r="F34" s="6">
        <v>-5</v>
      </c>
      <c r="G34" s="11">
        <v>100</v>
      </c>
      <c r="H34" s="11">
        <v>128</v>
      </c>
      <c r="I34" s="11">
        <v>705</v>
      </c>
      <c r="J34" s="11">
        <v>-39</v>
      </c>
      <c r="K34" s="6">
        <v>120</v>
      </c>
      <c r="V34" s="5">
        <v>4022</v>
      </c>
      <c r="W34" s="5" t="str">
        <f>_xlfn.XLOOKUP(V34,[1]怪物设计!$D:$D,[1]怪物设计!$U:$U,"错误",0)</f>
        <v>蜥蜴1</v>
      </c>
      <c r="X34" s="15" t="str">
        <f t="shared" si="0"/>
        <v>蜥蜴</v>
      </c>
      <c r="Y34" s="16">
        <f t="shared" si="1"/>
        <v>-296</v>
      </c>
      <c r="Z34" s="16">
        <f t="shared" si="2"/>
        <v>-32</v>
      </c>
      <c r="AB34" s="19" t="s">
        <v>239</v>
      </c>
      <c r="AC34" s="6"/>
      <c r="AD34" s="6"/>
      <c r="AE34" s="6"/>
      <c r="AF34" s="6"/>
      <c r="AG34" s="16"/>
      <c r="AH34" s="6"/>
      <c r="AI34" s="6"/>
      <c r="AJ34" s="6"/>
      <c r="AK34" s="6"/>
      <c r="AL34" s="6"/>
      <c r="AM34" s="6"/>
      <c r="AN34" s="6"/>
      <c r="AO34" s="16">
        <v>31000</v>
      </c>
      <c r="AQ34" s="21"/>
      <c r="AR34" s="21"/>
      <c r="AS34" s="16"/>
      <c r="AT34" s="16"/>
      <c r="AU34" s="21"/>
      <c r="AV34" s="21"/>
      <c r="AW34" s="16"/>
      <c r="AX34" s="16"/>
    </row>
    <row r="35" ht="16.5" spans="1:26">
      <c r="A35" s="5">
        <v>506</v>
      </c>
      <c r="B35" s="5" t="s">
        <v>110</v>
      </c>
      <c r="C35" s="6">
        <v>-354</v>
      </c>
      <c r="D35" s="6">
        <v>-201</v>
      </c>
      <c r="E35" s="6">
        <v>8000</v>
      </c>
      <c r="F35" s="6">
        <v>0</v>
      </c>
      <c r="G35" s="11">
        <v>-184</v>
      </c>
      <c r="H35" s="11">
        <v>73</v>
      </c>
      <c r="I35" s="11">
        <v>460</v>
      </c>
      <c r="J35" s="11">
        <v>-200</v>
      </c>
      <c r="K35" s="6">
        <v>115</v>
      </c>
      <c r="V35" s="5">
        <v>4023</v>
      </c>
      <c r="W35" s="5" t="str">
        <f>_xlfn.XLOOKUP(V35,[1]怪物设计!$D:$D,[1]怪物设计!$U:$U,"错误",0)</f>
        <v>蜥蜴2</v>
      </c>
      <c r="X35" s="15" t="str">
        <f t="shared" si="0"/>
        <v>蜥蜴</v>
      </c>
      <c r="Y35" s="16">
        <f t="shared" si="1"/>
        <v>-296</v>
      </c>
      <c r="Z35" s="16">
        <f t="shared" si="2"/>
        <v>-32</v>
      </c>
    </row>
    <row r="36" ht="16.5" spans="1:26">
      <c r="A36" s="5">
        <v>507</v>
      </c>
      <c r="B36" s="5" t="s">
        <v>111</v>
      </c>
      <c r="C36" s="6">
        <v>-454</v>
      </c>
      <c r="D36" s="6">
        <v>-220</v>
      </c>
      <c r="E36" s="6">
        <v>10000</v>
      </c>
      <c r="F36" s="6">
        <v>5</v>
      </c>
      <c r="G36" s="11">
        <v>-62</v>
      </c>
      <c r="H36" s="11">
        <v>89</v>
      </c>
      <c r="I36" s="11">
        <v>505</v>
      </c>
      <c r="J36" s="11">
        <v>-180</v>
      </c>
      <c r="K36" s="6">
        <v>120</v>
      </c>
      <c r="V36" s="5">
        <v>4031</v>
      </c>
      <c r="W36" s="5" t="str">
        <f>_xlfn.XLOOKUP(V36,[1]怪物设计!$D:$D,[1]怪物设计!$U:$U,"错误",0)</f>
        <v>蜥蜴3</v>
      </c>
      <c r="X36" s="15" t="str">
        <f t="shared" si="0"/>
        <v>蜥蜴</v>
      </c>
      <c r="Y36" s="16">
        <f t="shared" si="1"/>
        <v>-296</v>
      </c>
      <c r="Z36" s="16">
        <f t="shared" si="2"/>
        <v>-32</v>
      </c>
    </row>
    <row r="37" ht="16.5" spans="22:26">
      <c r="V37" s="5">
        <v>4032</v>
      </c>
      <c r="W37" s="5" t="str">
        <f>_xlfn.XLOOKUP(V37,[1]怪物设计!$D:$D,[1]怪物设计!$U:$U,"错误",0)</f>
        <v>孔雀3</v>
      </c>
      <c r="X37" s="15" t="str">
        <f t="shared" si="0"/>
        <v>孔雀</v>
      </c>
      <c r="Y37" s="16">
        <f t="shared" si="1"/>
        <v>-145</v>
      </c>
      <c r="Z37" s="16">
        <f t="shared" si="2"/>
        <v>-51</v>
      </c>
    </row>
    <row r="38" ht="16.5" spans="22:26">
      <c r="V38" s="5">
        <v>4033</v>
      </c>
      <c r="W38" s="5" t="str">
        <f>_xlfn.XLOOKUP(V38,[1]怪物设计!$D:$D,[1]怪物设计!$U:$U,"错误",0)</f>
        <v>鹦鹉3</v>
      </c>
      <c r="X38" s="15" t="str">
        <f t="shared" si="0"/>
        <v>鹦鹉</v>
      </c>
      <c r="Y38" s="16">
        <f t="shared" si="1"/>
        <v>-265</v>
      </c>
      <c r="Z38" s="16">
        <f t="shared" si="2"/>
        <v>-120</v>
      </c>
    </row>
    <row r="39" ht="16.5" spans="22:26">
      <c r="V39" s="5">
        <v>5011</v>
      </c>
      <c r="W39" s="5" t="str">
        <f>_xlfn.XLOOKUP(V39,[1]怪物设计!$D:$D,[1]怪物设计!$U:$U,"错误",0)</f>
        <v/>
      </c>
      <c r="X39" s="15" t="str">
        <f t="shared" si="0"/>
        <v/>
      </c>
      <c r="Y39" s="16" t="str">
        <f t="shared" si="1"/>
        <v>错误</v>
      </c>
      <c r="Z39" s="16" t="str">
        <f t="shared" si="2"/>
        <v>错误</v>
      </c>
    </row>
    <row r="40" ht="16.5" spans="22:26">
      <c r="V40" s="5">
        <v>5012</v>
      </c>
      <c r="W40" s="5" t="str">
        <f>_xlfn.XLOOKUP(V40,[1]怪物设计!$D:$D,[1]怪物设计!$U:$U,"错误",0)</f>
        <v/>
      </c>
      <c r="X40" s="15" t="str">
        <f t="shared" si="0"/>
        <v/>
      </c>
      <c r="Y40" s="16" t="str">
        <f t="shared" si="1"/>
        <v>错误</v>
      </c>
      <c r="Z40" s="16" t="str">
        <f t="shared" si="2"/>
        <v>错误</v>
      </c>
    </row>
    <row r="41" ht="16.5" spans="22:26">
      <c r="V41" s="5">
        <v>5013</v>
      </c>
      <c r="W41" s="5" t="str">
        <f>_xlfn.XLOOKUP(V41,[1]怪物设计!$D:$D,[1]怪物设计!$U:$U,"错误",0)</f>
        <v/>
      </c>
      <c r="X41" s="15" t="str">
        <f t="shared" si="0"/>
        <v/>
      </c>
      <c r="Y41" s="16" t="str">
        <f t="shared" si="1"/>
        <v>错误</v>
      </c>
      <c r="Z41" s="16" t="str">
        <f t="shared" si="2"/>
        <v>错误</v>
      </c>
    </row>
    <row r="42" ht="16.5" spans="22:26">
      <c r="V42" s="5">
        <v>5021</v>
      </c>
      <c r="W42" s="5" t="str">
        <f>_xlfn.XLOOKUP(V42,[1]怪物设计!$D:$D,[1]怪物设计!$U:$U,"错误",0)</f>
        <v/>
      </c>
      <c r="X42" s="15" t="str">
        <f t="shared" si="0"/>
        <v/>
      </c>
      <c r="Y42" s="16" t="str">
        <f t="shared" si="1"/>
        <v>错误</v>
      </c>
      <c r="Z42" s="16" t="str">
        <f t="shared" si="2"/>
        <v>错误</v>
      </c>
    </row>
    <row r="43" ht="16.5" spans="22:26">
      <c r="V43" s="5">
        <v>5022</v>
      </c>
      <c r="W43" s="5" t="str">
        <f>_xlfn.XLOOKUP(V43,[1]怪物设计!$D:$D,[1]怪物设计!$U:$U,"错误",0)</f>
        <v/>
      </c>
      <c r="X43" s="15" t="str">
        <f t="shared" si="0"/>
        <v/>
      </c>
      <c r="Y43" s="16" t="str">
        <f t="shared" si="1"/>
        <v>错误</v>
      </c>
      <c r="Z43" s="16" t="str">
        <f t="shared" si="2"/>
        <v>错误</v>
      </c>
    </row>
    <row r="44" ht="16.5" spans="22:26">
      <c r="V44" s="5">
        <v>5023</v>
      </c>
      <c r="W44" s="5" t="str">
        <f>_xlfn.XLOOKUP(V44,[1]怪物设计!$D:$D,[1]怪物设计!$U:$U,"错误",0)</f>
        <v/>
      </c>
      <c r="X44" s="15" t="str">
        <f t="shared" si="0"/>
        <v/>
      </c>
      <c r="Y44" s="16" t="str">
        <f t="shared" si="1"/>
        <v>错误</v>
      </c>
      <c r="Z44" s="16" t="str">
        <f t="shared" si="2"/>
        <v>错误</v>
      </c>
    </row>
    <row r="45" ht="16.5" spans="22:26">
      <c r="V45" s="5">
        <v>5031</v>
      </c>
      <c r="W45" s="5" t="str">
        <f>_xlfn.XLOOKUP(V45,[1]怪物设计!$D:$D,[1]怪物设计!$U:$U,"错误",0)</f>
        <v/>
      </c>
      <c r="X45" s="15" t="str">
        <f t="shared" si="0"/>
        <v/>
      </c>
      <c r="Y45" s="16" t="str">
        <f t="shared" si="1"/>
        <v>错误</v>
      </c>
      <c r="Z45" s="16" t="str">
        <f t="shared" si="2"/>
        <v>错误</v>
      </c>
    </row>
    <row r="46" ht="16.5" spans="22:26">
      <c r="V46" s="5">
        <v>5032</v>
      </c>
      <c r="W46" s="5" t="str">
        <f>_xlfn.XLOOKUP(V46,[1]怪物设计!$D:$D,[1]怪物设计!$U:$U,"错误",0)</f>
        <v/>
      </c>
      <c r="X46" s="15" t="str">
        <f t="shared" si="0"/>
        <v/>
      </c>
      <c r="Y46" s="16" t="str">
        <f t="shared" si="1"/>
        <v>错误</v>
      </c>
      <c r="Z46" s="16" t="str">
        <f t="shared" si="2"/>
        <v>错误</v>
      </c>
    </row>
    <row r="47" ht="16.5" spans="22:26">
      <c r="V47" s="5">
        <v>5033</v>
      </c>
      <c r="W47" s="5" t="str">
        <f>_xlfn.XLOOKUP(V47,[1]怪物设计!$D:$D,[1]怪物设计!$U:$U,"错误",0)</f>
        <v/>
      </c>
      <c r="X47" s="15" t="str">
        <f t="shared" si="0"/>
        <v/>
      </c>
      <c r="Y47" s="16" t="str">
        <f t="shared" si="1"/>
        <v>错误</v>
      </c>
      <c r="Z47" s="16" t="str">
        <f t="shared" si="2"/>
        <v>错误</v>
      </c>
    </row>
  </sheetData>
  <autoFilter xmlns:etc="http://www.wps.cn/officeDocument/2017/etCustomData" ref="A2:AP4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I22" sqref="E7:I22"/>
    </sheetView>
  </sheetViews>
  <sheetFormatPr defaultColWidth="9" defaultRowHeight="13.5"/>
  <cols>
    <col min="7" max="7" width="9.00833333333333" customWidth="1"/>
  </cols>
  <sheetData>
    <row r="1" ht="18" spans="1:15">
      <c r="A1" s="1" t="s">
        <v>240</v>
      </c>
      <c r="B1" s="2"/>
      <c r="C1" s="2"/>
      <c r="D1" s="2"/>
      <c r="E1" s="2"/>
      <c r="F1" s="2"/>
      <c r="H1" s="1" t="s">
        <v>241</v>
      </c>
      <c r="I1" s="2"/>
      <c r="J1" s="7" t="s">
        <v>242</v>
      </c>
      <c r="K1" s="2"/>
      <c r="L1" s="1" t="s">
        <v>162</v>
      </c>
      <c r="M1" s="1"/>
      <c r="O1" s="1" t="s">
        <v>243</v>
      </c>
    </row>
    <row r="2" ht="16.5" spans="1:13">
      <c r="A2" s="3" t="s">
        <v>157</v>
      </c>
      <c r="B2" s="3" t="s">
        <v>27</v>
      </c>
      <c r="C2" s="3" t="s">
        <v>166</v>
      </c>
      <c r="D2" s="3" t="s">
        <v>167</v>
      </c>
      <c r="E2" s="3" t="s">
        <v>168</v>
      </c>
      <c r="F2" s="3" t="s">
        <v>169</v>
      </c>
      <c r="H2" s="4" t="s">
        <v>156</v>
      </c>
      <c r="I2" s="4" t="s">
        <v>244</v>
      </c>
      <c r="J2" s="3" t="s">
        <v>166</v>
      </c>
      <c r="K2" s="3" t="s">
        <v>167</v>
      </c>
      <c r="L2" s="8"/>
      <c r="M2" s="8"/>
    </row>
    <row r="3" ht="16.5" spans="1:13">
      <c r="A3" s="5">
        <v>10101</v>
      </c>
      <c r="B3" s="5" t="s">
        <v>245</v>
      </c>
      <c r="C3" s="6">
        <v>-390</v>
      </c>
      <c r="D3" s="6">
        <v>-217</v>
      </c>
      <c r="E3" s="6">
        <v>10000</v>
      </c>
      <c r="F3" s="6">
        <v>-5</v>
      </c>
      <c r="H3" s="5">
        <v>1</v>
      </c>
      <c r="I3" s="5" t="str">
        <f>_xlfn.XLOOKUP(H3,'[4]player_role|玩家角色'!A:A,'[4]player_role|玩家角色'!B:B)</f>
        <v>猴</v>
      </c>
      <c r="J3" s="6">
        <v>-390</v>
      </c>
      <c r="K3" s="6">
        <v>-217</v>
      </c>
      <c r="L3" s="6">
        <v>0</v>
      </c>
      <c r="M3" s="6">
        <v>0</v>
      </c>
    </row>
    <row r="4" ht="16.5" spans="1:6">
      <c r="A4" s="5">
        <v>10104</v>
      </c>
      <c r="B4" s="5" t="s">
        <v>246</v>
      </c>
      <c r="C4" s="6">
        <v>-388</v>
      </c>
      <c r="D4" s="6">
        <v>-189</v>
      </c>
      <c r="E4" s="6">
        <v>10000</v>
      </c>
      <c r="F4" s="6">
        <v>-5</v>
      </c>
    </row>
    <row r="5" ht="16.5" spans="1:6">
      <c r="A5" s="5">
        <v>10201</v>
      </c>
      <c r="B5" s="5" t="s">
        <v>247</v>
      </c>
      <c r="C5" s="6">
        <v>-326</v>
      </c>
      <c r="D5" s="6">
        <v>-271</v>
      </c>
      <c r="E5" s="6">
        <v>7500</v>
      </c>
      <c r="F5" s="6">
        <v>0</v>
      </c>
    </row>
    <row r="6" ht="16.5" spans="1:6">
      <c r="A6" s="5">
        <v>10204</v>
      </c>
      <c r="B6" s="5" t="s">
        <v>248</v>
      </c>
      <c r="C6" s="6">
        <v>-325</v>
      </c>
      <c r="D6" s="6">
        <v>-240</v>
      </c>
      <c r="E6" s="6">
        <v>7500</v>
      </c>
      <c r="F6" s="6">
        <v>0</v>
      </c>
    </row>
    <row r="7" ht="16.5" spans="1:6">
      <c r="A7" s="5">
        <v>10301</v>
      </c>
      <c r="B7" s="5" t="s">
        <v>249</v>
      </c>
      <c r="C7" s="6">
        <v>-324</v>
      </c>
      <c r="D7" s="6">
        <v>-258</v>
      </c>
      <c r="E7" s="6">
        <v>9500</v>
      </c>
      <c r="F7" s="6">
        <v>-25</v>
      </c>
    </row>
    <row r="8" ht="16.5" spans="1:6">
      <c r="A8" s="5">
        <v>10304</v>
      </c>
      <c r="B8" s="5" t="s">
        <v>250</v>
      </c>
      <c r="C8" s="6">
        <v>-324</v>
      </c>
      <c r="D8" s="6">
        <v>-258</v>
      </c>
      <c r="E8" s="6">
        <v>9500</v>
      </c>
      <c r="F8" s="6">
        <v>-25</v>
      </c>
    </row>
    <row r="9" ht="16.5" spans="1:6">
      <c r="A9" s="5">
        <v>10401</v>
      </c>
      <c r="B9" s="5" t="s">
        <v>251</v>
      </c>
      <c r="C9" s="6">
        <v>-282</v>
      </c>
      <c r="D9" s="6">
        <v>-322</v>
      </c>
      <c r="E9" s="6">
        <v>10000</v>
      </c>
      <c r="F9" s="6">
        <v>5</v>
      </c>
    </row>
    <row r="10" ht="16.5" spans="1:6">
      <c r="A10" s="5">
        <v>10404</v>
      </c>
      <c r="B10" s="5" t="s">
        <v>252</v>
      </c>
      <c r="C10" s="6">
        <v>-278</v>
      </c>
      <c r="D10" s="6">
        <v>-366</v>
      </c>
      <c r="E10" s="6">
        <v>10000</v>
      </c>
      <c r="F10" s="6">
        <v>5</v>
      </c>
    </row>
    <row r="11" ht="16.5" spans="1:6">
      <c r="A11" s="5">
        <v>10501</v>
      </c>
      <c r="B11" s="5" t="s">
        <v>253</v>
      </c>
      <c r="C11" s="6">
        <v>-361</v>
      </c>
      <c r="D11" s="6">
        <v>-253</v>
      </c>
      <c r="E11" s="6">
        <v>10000</v>
      </c>
      <c r="F11" s="6">
        <v>10</v>
      </c>
    </row>
    <row r="12" ht="16.5" spans="1:6">
      <c r="A12" s="5">
        <v>10504</v>
      </c>
      <c r="B12" s="5" t="s">
        <v>254</v>
      </c>
      <c r="C12" s="6">
        <v>-361</v>
      </c>
      <c r="D12" s="6">
        <v>-253</v>
      </c>
      <c r="E12" s="6">
        <v>10000</v>
      </c>
      <c r="F12" s="6">
        <v>10</v>
      </c>
    </row>
    <row r="13" ht="16.5" spans="1:6">
      <c r="A13" s="5">
        <v>15104</v>
      </c>
      <c r="B13" s="5" t="s">
        <v>141</v>
      </c>
      <c r="C13" s="6">
        <v>-198</v>
      </c>
      <c r="D13" s="6">
        <v>-251</v>
      </c>
      <c r="E13" s="6">
        <v>6000</v>
      </c>
      <c r="F13" s="6">
        <v>-15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weapon|武器</vt:lpstr>
      <vt:lpstr>player_weapon_index|武器挂载</vt:lpstr>
      <vt:lpstr>怪物武器挂载坐标辅助表</vt:lpstr>
      <vt:lpstr>角色武器配置辅助表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2023-05-12T11:15:00Z</dcterms:created>
  <dcterms:modified xsi:type="dcterms:W3CDTF">2025-07-04T12:45:58Z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5B58270E95D145A3B62336DAE7E282C2_12</vt:lpwstr>
  </property>
</Properties>
</file>