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WeberBasinWCD\WeberDroughtVulnerability\JacobCode\GitHub\3 - Post Processing\WillardBayEvapScratch\"/>
    </mc:Choice>
  </mc:AlternateContent>
  <xr:revisionPtr revIDLastSave="0" documentId="13_ncr:1_{194CF822-CBAE-4CC6-BED2-F4594A6FA6DC}" xr6:coauthVersionLast="36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illardBay" sheetId="1" r:id="rId1"/>
    <sheet name="WillardBayVolumes" sheetId="2" r:id="rId2"/>
  </sheets>
  <calcPr calcId="191029"/>
</workbook>
</file>

<file path=xl/calcChain.xml><?xml version="1.0" encoding="utf-8"?>
<calcChain xmlns="http://schemas.openxmlformats.org/spreadsheetml/2006/main">
  <c r="H37" i="1" l="1"/>
  <c r="F37" i="1"/>
  <c r="D37" i="1"/>
  <c r="D36" i="1"/>
  <c r="D35" i="1"/>
  <c r="B37" i="1" l="1"/>
  <c r="C36" i="1"/>
  <c r="E36" i="1"/>
  <c r="F36" i="1"/>
  <c r="G36" i="1"/>
  <c r="H36" i="1"/>
  <c r="B36" i="1"/>
  <c r="H43" i="1"/>
  <c r="F43" i="1"/>
  <c r="D40" i="1"/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8" i="2"/>
  <c r="J3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8" i="2"/>
  <c r="C22" i="2"/>
  <c r="H45" i="1" l="1"/>
  <c r="F45" i="1"/>
  <c r="D45" i="1"/>
  <c r="B45" i="1"/>
  <c r="H42" i="1"/>
  <c r="F42" i="1"/>
  <c r="D42" i="1"/>
  <c r="H49" i="1" l="1"/>
  <c r="F48" i="1"/>
  <c r="F51" i="1" s="1"/>
  <c r="F49" i="1"/>
  <c r="D48" i="1"/>
  <c r="D51" i="1" s="1"/>
  <c r="H48" i="1"/>
  <c r="H51" i="1" s="1"/>
  <c r="D36" i="2"/>
  <c r="D23" i="2" l="1"/>
  <c r="C23" i="2"/>
  <c r="D22" i="2"/>
  <c r="C17" i="2"/>
  <c r="B17" i="2"/>
  <c r="E23" i="1" l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H22" i="1"/>
  <c r="G22" i="1"/>
  <c r="F22" i="1"/>
  <c r="E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D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22" i="1"/>
  <c r="B22" i="1"/>
  <c r="F34" i="1" l="1"/>
  <c r="F35" i="1" s="1"/>
  <c r="G34" i="1"/>
  <c r="C34" i="1"/>
  <c r="E34" i="1"/>
  <c r="B34" i="1"/>
  <c r="B35" i="1" s="1"/>
  <c r="D34" i="1"/>
  <c r="H34" i="1"/>
  <c r="H35" i="1" s="1"/>
</calcChain>
</file>

<file path=xl/sharedStrings.xml><?xml version="1.0" encoding="utf-8"?>
<sst xmlns="http://schemas.openxmlformats.org/spreadsheetml/2006/main" count="87" uniqueCount="68">
  <si>
    <t>month</t>
  </si>
  <si>
    <t>precipitation(mm)</t>
  </si>
  <si>
    <t>evaporation(mm)</t>
  </si>
  <si>
    <t>Wilard Bay Evaporation Rates from Alex Weech, Courtenay Strong, and Paul Brooks, University of Utah (August 14, 2019)</t>
  </si>
  <si>
    <t>RiverWare</t>
  </si>
  <si>
    <t>Evaporation</t>
  </si>
  <si>
    <t>Evaporation (ft/month)</t>
  </si>
  <si>
    <t>Month</t>
  </si>
  <si>
    <t>Riverware</t>
  </si>
  <si>
    <t>Precipitation</t>
  </si>
  <si>
    <t>NET EVAP</t>
  </si>
  <si>
    <t>TOTAL</t>
  </si>
  <si>
    <t>From: Alex Weech &lt;u0813292@umail.utah.edu&gt;</t>
  </si>
  <si>
    <t>Subject: Re: Evaporation data from Willard Bay</t>
  </si>
  <si>
    <t>Cc: ALEXANDER BRYCE WEECH &lt;alex.weech@utah.edu&gt;</t>
  </si>
  <si>
    <t>Reply-To: alex.weech@utah.edu</t>
  </si>
  <si>
    <t>Hello,</t>
  </si>
  <si>
    <t>Here are the monthly numbers for evaporation off of Willard Bay. The file hist_adjusted represents an average over 1995-2005, the file mid_adjusted represents an average over 2035-2045, and the file late_adjusted represents an average over 2085-2095. The values are in millimeters, and I only included the absolute values, as flawed as they are. I've been using a reservoir size of 9900 acres if they want to convert to acre-feet.</t>
  </si>
  <si>
    <t>Here's a quick summary of the flaws:</t>
  </si>
  <si>
    <t>Original bulk-aerodynamic calculations assumed a hypersaline lake. I applied an adjustment which is approximately correct but doesn't account for non-linear feedbacks and doesn't keep conservation of energy.</t>
  </si>
  <si>
    <t>Willard Bay currently freezes in the dead of winter, which isn't reflected in the model.</t>
  </si>
  <si>
    <t>Don't have any real observations to validate off of, so the absolute values could easily be very biased.</t>
  </si>
  <si>
    <t>Thanks,</t>
  </si>
  <si>
    <t>Alex Weech</t>
  </si>
  <si>
    <r>
      <t xml:space="preserve">Date: </t>
    </r>
    <r>
      <rPr>
        <sz val="12"/>
        <color theme="1"/>
        <rFont val="Calibri"/>
        <family val="2"/>
        <scheme val="minor"/>
      </rPr>
      <t>August 14, 2019 at 2:24:51 PM MDT</t>
    </r>
  </si>
  <si>
    <r>
      <t xml:space="preserve">To: </t>
    </r>
    <r>
      <rPr>
        <sz val="12"/>
        <color theme="1"/>
        <rFont val="Calibri"/>
        <family val="2"/>
        <scheme val="minor"/>
      </rPr>
      <t>Courtenay Strong &lt;court.strong@utah.edu&gt;, Seth Arens &lt;wwa.arens@gmail.com&gt;</t>
    </r>
  </si>
  <si>
    <t>Late (2085 to 2095)</t>
  </si>
  <si>
    <t>Mid (2035 to 2045)</t>
  </si>
  <si>
    <t>Historical (1995 to 2005)</t>
  </si>
  <si>
    <t>Percent chagne Historial to Late</t>
  </si>
  <si>
    <t>Month </t>
  </si>
  <si>
    <t>Mid-Century</t>
  </si>
  <si>
    <t>End-of-Century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</si>
  <si>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</si>
  <si>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</si>
  <si>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</si>
  <si>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</si>
  <si>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</si>
  <si>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</si>
  <si>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</si>
  <si>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</si>
  <si>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</si>
  <si>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</si>
  <si>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</si>
  <si>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</si>
  <si>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</si>
  <si>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# Table Slot: RES8 Willard Bay.Elevation Area Table</t>
  </si>
  <si>
    <t># Column: [0] Pool Elevation [1 feet]</t>
  </si>
  <si>
    <t># Column: [1] Surface Area [1 acre]</t>
  </si>
  <si>
    <t>Elevation (ft)</t>
  </si>
  <si>
    <t>Surface Area (acres)</t>
  </si>
  <si>
    <t>Table 10 from Vulnernability Report. Monthly projections of Evaporation for RCP 6.0 (acre-feet)</t>
  </si>
  <si>
    <t>Elevation - Area Curve for Willard Bay (from RiverWare)</t>
  </si>
  <si>
    <t>Pool</t>
  </si>
  <si>
    <t>Full</t>
  </si>
  <si>
    <t>Near Empty</t>
  </si>
  <si>
    <t>Evaporation Rate (ft/year)</t>
  </si>
  <si>
    <t>Estimated Evaporation Rates for Different Reservoir Elevations</t>
  </si>
  <si>
    <t>Volume @ Full (ac-feet)</t>
  </si>
  <si>
    <t>Incremental volum (ac-feet)</t>
  </si>
  <si>
    <t>Volume (acre-feet)</t>
  </si>
  <si>
    <t>$/ac-ft</t>
  </si>
  <si>
    <t>Percent change from</t>
  </si>
  <si>
    <t>Historical</t>
  </si>
  <si>
    <t>Change in volume from [ac-feet]</t>
  </si>
  <si>
    <t>NET EVAP (No winter precip or evap)</t>
  </si>
  <si>
    <t>All values in feet</t>
  </si>
  <si>
    <t>Winter (Months 11, 12, 1,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</si>
</sst>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/>
    <xf numFmtId="2" fontId="0" fillId="0" borderId="0" xfId="0" applyNumberFormat="1" applyAlignment="1">
      <alignment horizontal="center"/>
    </xf>
    <xf numFmtId="0" fontId="19" fillId="0" borderId="0" xfId="0" applyFont="1"/>
    <xf numFmtId="0" fontId="20" fillId="0" borderId="0" xfId="43" applyFont="1" applyAlignment="1"/>
    <xf numFmtId="0" fontId="21" fillId="0" borderId="0" xfId="0" applyFont="1" applyAlignment="1"/>
    <xf numFmtId="0" fontId="19" fillId="0" borderId="0" xfId="0" applyFont="1" applyAlignment="1"/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21" fillId="0" borderId="0" xfId="0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0" xfId="0" applyFont="1" applyFill="1" applyBorder="1"/>
    <xf numFmtId="164" fontId="16" fillId="34" borderId="10" xfId="0" applyNumberFormat="1" applyFont="1" applyFill="1" applyBorder="1" applyAlignment="1">
      <alignment horizontal="center"/>
    </xf>
    <xf numFmtId="0" fontId="16" fillId="35" borderId="10" xfId="0" applyFont="1" applyFill="1" applyBorder="1"/>
    <xf numFmtId="0" fontId="0" fillId="35" borderId="10" xfId="0" applyFill="1" applyBorder="1"/>
    <xf numFmtId="165" fontId="0" fillId="0" borderId="0" xfId="1" applyNumberFormat="1" applyFont="1" applyAlignment="1">
      <alignment horizontal="center"/>
    </xf>
    <xf numFmtId="0" fontId="23" fillId="36" borderId="11" xfId="0" applyFont="1" applyFill="1" applyBorder="1" applyAlignment="1">
      <alignment vertical="center"/>
    </xf>
    <xf numFmtId="0" fontId="23" fillId="36" borderId="12" xfId="0" applyFont="1" applyFill="1" applyBorder="1" applyAlignment="1">
      <alignment horizontal="right" vertical="center"/>
    </xf>
    <xf numFmtId="0" fontId="23" fillId="36" borderId="13" xfId="0" applyFont="1" applyFill="1" applyBorder="1" applyAlignment="1">
      <alignment horizontal="right" vertical="center"/>
    </xf>
    <xf numFmtId="0" fontId="24" fillId="37" borderId="14" xfId="0" applyFont="1" applyFill="1" applyBorder="1" applyAlignment="1">
      <alignment vertical="center"/>
    </xf>
    <xf numFmtId="0" fontId="24" fillId="37" borderId="15" xfId="0" applyFont="1" applyFill="1" applyBorder="1" applyAlignment="1">
      <alignment horizontal="right" vertical="center"/>
    </xf>
    <xf numFmtId="0" fontId="24" fillId="37" borderId="16" xfId="0" applyFont="1" applyFill="1" applyBorder="1" applyAlignment="1">
      <alignment horizontal="right" vertical="center"/>
    </xf>
    <xf numFmtId="0" fontId="24" fillId="0" borderId="14" xfId="0" applyFont="1" applyBorder="1" applyAlignment="1">
      <alignment vertical="center"/>
    </xf>
    <xf numFmtId="0" fontId="24" fillId="0" borderId="15" xfId="0" applyFont="1" applyBorder="1" applyAlignment="1">
      <alignment horizontal="right" vertical="center"/>
    </xf>
    <xf numFmtId="0" fontId="24" fillId="0" borderId="16" xfId="0" applyFont="1" applyBorder="1" applyAlignment="1">
      <alignment horizontal="right" vertical="center"/>
    </xf>
    <xf numFmtId="0" fontId="25" fillId="37" borderId="14" xfId="0" applyFont="1" applyFill="1" applyBorder="1" applyAlignment="1">
      <alignment vertical="center"/>
    </xf>
    <xf numFmtId="0" fontId="25" fillId="37" borderId="15" xfId="0" applyFont="1" applyFill="1" applyBorder="1" applyAlignment="1">
      <alignment horizontal="right" vertical="center"/>
    </xf>
    <xf numFmtId="0" fontId="25" fillId="37" borderId="16" xfId="0" applyFont="1" applyFill="1" applyBorder="1" applyAlignment="1">
      <alignment horizontal="right" vertical="center"/>
    </xf>
    <xf numFmtId="0" fontId="0" fillId="0" borderId="10" xfId="0" applyBorder="1"/>
    <xf numFmtId="166" fontId="0" fillId="0" borderId="10" xfId="44" applyNumberFormat="1" applyFont="1" applyBorder="1" applyAlignment="1"/>
    <xf numFmtId="0" fontId="16" fillId="38" borderId="10" xfId="0" applyFont="1" applyFill="1" applyBorder="1"/>
    <xf numFmtId="0" fontId="0" fillId="0" borderId="0" xfId="0" applyFont="1"/>
    <xf numFmtId="9" fontId="0" fillId="0" borderId="0" xfId="1" applyFont="1"/>
    <xf numFmtId="166" fontId="0" fillId="0" borderId="0" xfId="44" applyNumberFormat="1" applyFont="1"/>
    <xf numFmtId="166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6" fillId="35" borderId="10" xfId="0" applyFont="1" applyFill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WillardBayVolumes!$H$7:$H$35</c:f>
              <c:numCache>
                <c:formatCode>General</c:formatCode>
                <c:ptCount val="29"/>
                <c:pt idx="0">
                  <c:v>4199.99999999999</c:v>
                </c:pt>
                <c:pt idx="1">
                  <c:v>4200.99999999999</c:v>
                </c:pt>
                <c:pt idx="2">
                  <c:v>4201.99999999999</c:v>
                </c:pt>
                <c:pt idx="3">
                  <c:v>4202.99999999999</c:v>
                </c:pt>
                <c:pt idx="4">
                  <c:v>4203.99999999999</c:v>
                </c:pt>
                <c:pt idx="5">
                  <c:v>4204.99999999999</c:v>
                </c:pt>
                <c:pt idx="6">
                  <c:v>4205.99999999999</c:v>
                </c:pt>
                <c:pt idx="7">
                  <c:v>4206.99999999999</c:v>
                </c:pt>
                <c:pt idx="8">
                  <c:v>4207.99999999999</c:v>
                </c:pt>
                <c:pt idx="9">
                  <c:v>4208.99999999999</c:v>
                </c:pt>
                <c:pt idx="10">
                  <c:v>4209.99999999999</c:v>
                </c:pt>
                <c:pt idx="11">
                  <c:v>4210.99999999999</c:v>
                </c:pt>
                <c:pt idx="12">
                  <c:v>4211.99999999999</c:v>
                </c:pt>
                <c:pt idx="13">
                  <c:v>4212.99999999999</c:v>
                </c:pt>
                <c:pt idx="14">
                  <c:v>4213.99999999999</c:v>
                </c:pt>
                <c:pt idx="15">
                  <c:v>4214.99999999999</c:v>
                </c:pt>
                <c:pt idx="16">
                  <c:v>4215.99999999999</c:v>
                </c:pt>
                <c:pt idx="17">
                  <c:v>4216.99999999999</c:v>
                </c:pt>
                <c:pt idx="18">
                  <c:v>4217.99999999999</c:v>
                </c:pt>
                <c:pt idx="19">
                  <c:v>4218.99999999999</c:v>
                </c:pt>
                <c:pt idx="20">
                  <c:v>4219.99999999999</c:v>
                </c:pt>
                <c:pt idx="21">
                  <c:v>4220.99999999999</c:v>
                </c:pt>
                <c:pt idx="22">
                  <c:v>4221.99999999999</c:v>
                </c:pt>
                <c:pt idx="23">
                  <c:v>4222.99999999999</c:v>
                </c:pt>
                <c:pt idx="24">
                  <c:v>4223.99999999999</c:v>
                </c:pt>
                <c:pt idx="25">
                  <c:v>4224.99999999999</c:v>
                </c:pt>
                <c:pt idx="26">
                  <c:v>4225.99999999999</c:v>
                </c:pt>
                <c:pt idx="27">
                  <c:v>4227.99999999999</c:v>
                </c:pt>
                <c:pt idx="28">
                  <c:v>4228.99999999999</c:v>
                </c:pt>
              </c:numCache>
            </c:numRef>
          </c:xVal>
          <c:yVal>
            <c:numRef>
              <c:f>WillardBayVolumes!$I$7:$I$35</c:f>
              <c:numCache>
                <c:formatCode>General</c:formatCode>
                <c:ptCount val="29"/>
                <c:pt idx="0">
                  <c:v>261.00000000088897</c:v>
                </c:pt>
                <c:pt idx="1">
                  <c:v>1059.99999999901</c:v>
                </c:pt>
                <c:pt idx="2">
                  <c:v>2209.999999999</c:v>
                </c:pt>
                <c:pt idx="3">
                  <c:v>4200.0000000049304</c:v>
                </c:pt>
                <c:pt idx="4">
                  <c:v>6080.00000000196</c:v>
                </c:pt>
                <c:pt idx="5">
                  <c:v>6540.0000000009704</c:v>
                </c:pt>
                <c:pt idx="6">
                  <c:v>7999.99999999998</c:v>
                </c:pt>
                <c:pt idx="7">
                  <c:v>8490.0000000059099</c:v>
                </c:pt>
                <c:pt idx="8">
                  <c:v>8830.0000000019609</c:v>
                </c:pt>
                <c:pt idx="9">
                  <c:v>9080.0000000019609</c:v>
                </c:pt>
                <c:pt idx="10">
                  <c:v>9269.9999999881202</c:v>
                </c:pt>
                <c:pt idx="11">
                  <c:v>9389.9999999910906</c:v>
                </c:pt>
                <c:pt idx="12">
                  <c:v>9490.0000000059099</c:v>
                </c:pt>
                <c:pt idx="13">
                  <c:v>9580.0000000019609</c:v>
                </c:pt>
                <c:pt idx="14">
                  <c:v>9660.0000000039308</c:v>
                </c:pt>
                <c:pt idx="15">
                  <c:v>9719.9999999930606</c:v>
                </c:pt>
                <c:pt idx="16">
                  <c:v>9759.9999999940501</c:v>
                </c:pt>
                <c:pt idx="17">
                  <c:v>9790.0000000009695</c:v>
                </c:pt>
                <c:pt idx="18">
                  <c:v>9809.9999999891097</c:v>
                </c:pt>
                <c:pt idx="19">
                  <c:v>9839.9999999960291</c:v>
                </c:pt>
                <c:pt idx="20">
                  <c:v>9860.0000000088803</c:v>
                </c:pt>
                <c:pt idx="21">
                  <c:v>9879.9999999970205</c:v>
                </c:pt>
                <c:pt idx="22">
                  <c:v>9900.0000000098607</c:v>
                </c:pt>
                <c:pt idx="23">
                  <c:v>9919.9999999979991</c:v>
                </c:pt>
                <c:pt idx="24">
                  <c:v>9929.9999999920801</c:v>
                </c:pt>
                <c:pt idx="25">
                  <c:v>9940.0000000108503</c:v>
                </c:pt>
                <c:pt idx="26">
                  <c:v>9950.0000000049204</c:v>
                </c:pt>
                <c:pt idx="27">
                  <c:v>9969.9999999930606</c:v>
                </c:pt>
                <c:pt idx="28">
                  <c:v>9969.9999999930606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F-484B-89BA-9DDB434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36512"/>
        <c:axId val="1707921520"/>
      </c:scatterChart>
      <c:scatterChart>
        <c:scatterStyle val="lineMarker"/>
        <c:varyColors val="0"/>
        <c:ser>
          <c:idx val="1"/>
          <c:order val="1"/>
          <c:tx>
            <c:strRef>
              <c:f>WillardBayVolumes!$K$6</c:f>
              <c:strCache>
                <c:ptCount val="1"/>
                <c:pt idx="0">
                  <c:v>Volume (acre-feet)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WillardBayVolumes!$H$8:$H$35</c:f>
              <c:numCache>
                <c:formatCode>General</c:formatCode>
                <c:ptCount val="28"/>
                <c:pt idx="0">
                  <c:v>4200.99999999999</c:v>
                </c:pt>
                <c:pt idx="1">
                  <c:v>4201.99999999999</c:v>
                </c:pt>
                <c:pt idx="2">
                  <c:v>4202.99999999999</c:v>
                </c:pt>
                <c:pt idx="3">
                  <c:v>4203.99999999999</c:v>
                </c:pt>
                <c:pt idx="4">
                  <c:v>4204.99999999999</c:v>
                </c:pt>
                <c:pt idx="5">
                  <c:v>4205.99999999999</c:v>
                </c:pt>
                <c:pt idx="6">
                  <c:v>4206.99999999999</c:v>
                </c:pt>
                <c:pt idx="7">
                  <c:v>4207.99999999999</c:v>
                </c:pt>
                <c:pt idx="8">
                  <c:v>4208.99999999999</c:v>
                </c:pt>
                <c:pt idx="9">
                  <c:v>4209.99999999999</c:v>
                </c:pt>
                <c:pt idx="10">
                  <c:v>4210.99999999999</c:v>
                </c:pt>
                <c:pt idx="11">
                  <c:v>4211.99999999999</c:v>
                </c:pt>
                <c:pt idx="12">
                  <c:v>4212.99999999999</c:v>
                </c:pt>
                <c:pt idx="13">
                  <c:v>4213.99999999999</c:v>
                </c:pt>
                <c:pt idx="14">
                  <c:v>4214.99999999999</c:v>
                </c:pt>
                <c:pt idx="15">
                  <c:v>4215.99999999999</c:v>
                </c:pt>
                <c:pt idx="16">
                  <c:v>4216.99999999999</c:v>
                </c:pt>
                <c:pt idx="17">
                  <c:v>4217.99999999999</c:v>
                </c:pt>
                <c:pt idx="18">
                  <c:v>4218.99999999999</c:v>
                </c:pt>
                <c:pt idx="19">
                  <c:v>4219.99999999999</c:v>
                </c:pt>
                <c:pt idx="20">
                  <c:v>4220.99999999999</c:v>
                </c:pt>
                <c:pt idx="21">
                  <c:v>4221.99999999999</c:v>
                </c:pt>
                <c:pt idx="22">
                  <c:v>4222.99999999999</c:v>
                </c:pt>
                <c:pt idx="23">
                  <c:v>4223.99999999999</c:v>
                </c:pt>
                <c:pt idx="24">
                  <c:v>4224.99999999999</c:v>
                </c:pt>
                <c:pt idx="25">
                  <c:v>4225.99999999999</c:v>
                </c:pt>
                <c:pt idx="26">
                  <c:v>4227.99999999999</c:v>
                </c:pt>
                <c:pt idx="27">
                  <c:v>4228.99999999999</c:v>
                </c:pt>
              </c:numCache>
            </c:numRef>
          </c:xVal>
          <c:yVal>
            <c:numRef>
              <c:f>WillardBayVolumes!$K$8:$K$35</c:f>
              <c:numCache>
                <c:formatCode>_(* #,##0_);_(* \(#,##0\);_(* "-"??_);_(@_)</c:formatCode>
                <c:ptCount val="28"/>
                <c:pt idx="0">
                  <c:v>440.33333333329966</c:v>
                </c:pt>
                <c:pt idx="1">
                  <c:v>1530.3333333326364</c:v>
                </c:pt>
                <c:pt idx="2">
                  <c:v>3667.0000000006135</c:v>
                </c:pt>
                <c:pt idx="3">
                  <c:v>7093.6666666695764</c:v>
                </c:pt>
                <c:pt idx="4">
                  <c:v>11300.333333337221</c:v>
                </c:pt>
                <c:pt idx="5">
                  <c:v>16147.000000004206</c:v>
                </c:pt>
                <c:pt idx="6">
                  <c:v>21643.666666672834</c:v>
                </c:pt>
                <c:pt idx="7">
                  <c:v>27417.000000008793</c:v>
                </c:pt>
                <c:pt idx="8">
                  <c:v>33387.000000010099</c:v>
                </c:pt>
                <c:pt idx="9">
                  <c:v>39503.66666667346</c:v>
                </c:pt>
                <c:pt idx="10">
                  <c:v>45723.666666666533</c:v>
                </c:pt>
                <c:pt idx="11">
                  <c:v>52016.999999998865</c:v>
                </c:pt>
                <c:pt idx="12">
                  <c:v>58373.666666668156</c:v>
                </c:pt>
                <c:pt idx="13">
                  <c:v>64787.000000003456</c:v>
                </c:pt>
                <c:pt idx="14">
                  <c:v>71247.000000002459</c:v>
                </c:pt>
                <c:pt idx="15">
                  <c:v>77740.333333331495</c:v>
                </c:pt>
                <c:pt idx="16">
                  <c:v>84256.999999996508</c:v>
                </c:pt>
                <c:pt idx="17">
                  <c:v>90790.333333326533</c:v>
                </c:pt>
                <c:pt idx="18">
                  <c:v>97340.333333321585</c:v>
                </c:pt>
                <c:pt idx="19">
                  <c:v>103906.99999998989</c:v>
                </c:pt>
                <c:pt idx="20">
                  <c:v>110486.99999999185</c:v>
                </c:pt>
                <c:pt idx="21">
                  <c:v>117080.33333332748</c:v>
                </c:pt>
                <c:pt idx="22">
                  <c:v>123686.99999999677</c:v>
                </c:pt>
                <c:pt idx="23">
                  <c:v>130303.66666666012</c:v>
                </c:pt>
                <c:pt idx="24">
                  <c:v>136926.99999999444</c:v>
                </c:pt>
                <c:pt idx="25">
                  <c:v>143556.99999999971</c:v>
                </c:pt>
                <c:pt idx="26">
                  <c:v>156836.99999999837</c:v>
                </c:pt>
                <c:pt idx="27">
                  <c:v>163483.6666666604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F-484B-89BA-9DDB4349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04368"/>
        <c:axId val="1646518384"/>
      </c:scatterChart>
      <c:valAx>
        <c:axId val="17084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21520"/>
        <c:crosses val="autoZero"/>
        <c:crossBetween val="midCat"/>
      </c:valAx>
      <c:valAx>
        <c:axId val="1707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36512"/>
        <c:crosses val="autoZero"/>
        <c:crossBetween val="midCat"/>
      </c:valAx>
      <c:valAx>
        <c:axId val="164651838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04368"/>
        <c:crosses val="max"/>
        <c:crossBetween val="midCat"/>
      </c:valAx>
      <c:valAx>
        <c:axId val="163780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5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11</xdr:row>
      <xdr:rowOff>185737</xdr:rowOff>
    </xdr:from>
    <xdr:to>
      <xdr:col>17</xdr:col>
      <xdr:colOff>352425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DA3F2-F5BF-47AA-A6A2-0F4E46A7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.weech@utah.edu" TargetMode="External"/><Relationship Id="rId2" Type="http://schemas.openxmlformats.org/officeDocument/2006/relationships/hyperlink" Target="mailto:alex.weech@utah.edu" TargetMode="External"/><Relationship Id="rId1" Type="http://schemas.openxmlformats.org/officeDocument/2006/relationships/hyperlink" Target="mailto:u0813292@umail.utah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topLeftCell="A18" workbookViewId="0">
      <selection activeCell="C36" sqref="C36"/>
    </sheetView>
  </sheetViews>
  <sheetFormatPr defaultRowHeight="15.5" x14ac:dyDescent="0.35"/>
  <cols>
    <col min="2" max="2" width="11.1796875" customWidth="1"/>
    <col min="3" max="3" width="10.54296875" customWidth="1"/>
    <col min="4" max="4" width="11.1796875" customWidth="1"/>
    <col min="6" max="6" width="10.453125" customWidth="1"/>
    <col min="7" max="7" width="12.1796875" customWidth="1"/>
    <col min="8" max="8" width="11.54296875" customWidth="1"/>
    <col min="17" max="17" width="8.7265625" style="3"/>
  </cols>
  <sheetData>
    <row r="1" spans="1:17" x14ac:dyDescent="0.35">
      <c r="A1" s="1" t="s">
        <v>3</v>
      </c>
    </row>
    <row r="3" spans="1:17" s="1" customFormat="1" x14ac:dyDescent="0.35">
      <c r="A3" s="1" t="s">
        <v>28</v>
      </c>
      <c r="E3" s="1" t="s">
        <v>27</v>
      </c>
      <c r="I3" s="1" t="s">
        <v>26</v>
      </c>
      <c r="M3" s="1" t="s">
        <v>4</v>
      </c>
      <c r="Q3" s="11"/>
    </row>
    <row r="4" spans="1:17" x14ac:dyDescent="0.35">
      <c r="A4" t="s">
        <v>0</v>
      </c>
      <c r="B4" t="s">
        <v>1</v>
      </c>
      <c r="C4" t="s">
        <v>2</v>
      </c>
      <c r="E4" t="s">
        <v>0</v>
      </c>
      <c r="F4" t="s">
        <v>1</v>
      </c>
      <c r="G4" t="s">
        <v>2</v>
      </c>
      <c r="I4" t="s">
        <v>0</v>
      </c>
      <c r="J4" t="s">
        <v>1</v>
      </c>
      <c r="K4" t="s">
        <v>2</v>
      </c>
      <c r="M4" t="s">
        <v>0</v>
      </c>
      <c r="N4" t="s">
        <v>6</v>
      </c>
      <c r="Q4" s="4" t="s">
        <v>12</v>
      </c>
    </row>
    <row r="5" spans="1:17" x14ac:dyDescent="0.35">
      <c r="A5">
        <v>1</v>
      </c>
      <c r="B5">
        <v>86</v>
      </c>
      <c r="C5">
        <v>23</v>
      </c>
      <c r="E5">
        <v>1</v>
      </c>
      <c r="F5">
        <v>96</v>
      </c>
      <c r="G5">
        <v>24</v>
      </c>
      <c r="I5">
        <v>1</v>
      </c>
      <c r="J5">
        <v>92</v>
      </c>
      <c r="K5">
        <v>25</v>
      </c>
      <c r="M5">
        <v>1</v>
      </c>
      <c r="N5">
        <v>0</v>
      </c>
      <c r="Q5" s="5" t="s">
        <v>13</v>
      </c>
    </row>
    <row r="6" spans="1:17" x14ac:dyDescent="0.35">
      <c r="A6">
        <v>2</v>
      </c>
      <c r="B6">
        <v>60</v>
      </c>
      <c r="C6">
        <v>30</v>
      </c>
      <c r="E6">
        <v>2</v>
      </c>
      <c r="F6">
        <v>73</v>
      </c>
      <c r="G6">
        <v>32</v>
      </c>
      <c r="I6">
        <v>2</v>
      </c>
      <c r="J6">
        <v>66</v>
      </c>
      <c r="K6">
        <v>35</v>
      </c>
      <c r="M6">
        <v>2</v>
      </c>
      <c r="N6">
        <v>0</v>
      </c>
      <c r="Q6" s="5" t="s">
        <v>24</v>
      </c>
    </row>
    <row r="7" spans="1:17" x14ac:dyDescent="0.35">
      <c r="A7">
        <v>3</v>
      </c>
      <c r="B7">
        <v>46</v>
      </c>
      <c r="C7">
        <v>61</v>
      </c>
      <c r="E7">
        <v>3</v>
      </c>
      <c r="F7">
        <v>43</v>
      </c>
      <c r="G7">
        <v>64</v>
      </c>
      <c r="I7">
        <v>3</v>
      </c>
      <c r="J7">
        <v>39</v>
      </c>
      <c r="K7">
        <v>76</v>
      </c>
      <c r="M7">
        <v>3</v>
      </c>
      <c r="N7">
        <v>0.02</v>
      </c>
      <c r="Q7" s="5" t="s">
        <v>25</v>
      </c>
    </row>
    <row r="8" spans="1:17" x14ac:dyDescent="0.35">
      <c r="A8">
        <v>4</v>
      </c>
      <c r="B8">
        <v>41</v>
      </c>
      <c r="C8">
        <v>108</v>
      </c>
      <c r="E8">
        <v>4</v>
      </c>
      <c r="F8">
        <v>43</v>
      </c>
      <c r="G8">
        <v>112</v>
      </c>
      <c r="I8">
        <v>4</v>
      </c>
      <c r="J8">
        <v>41</v>
      </c>
      <c r="K8">
        <v>127</v>
      </c>
      <c r="M8">
        <v>4</v>
      </c>
      <c r="N8">
        <v>0.15</v>
      </c>
      <c r="Q8" s="4" t="s">
        <v>14</v>
      </c>
    </row>
    <row r="9" spans="1:17" x14ac:dyDescent="0.35">
      <c r="A9">
        <v>5</v>
      </c>
      <c r="B9">
        <v>38</v>
      </c>
      <c r="C9">
        <v>151</v>
      </c>
      <c r="E9">
        <v>5</v>
      </c>
      <c r="F9">
        <v>36</v>
      </c>
      <c r="G9">
        <v>159</v>
      </c>
      <c r="I9">
        <v>5</v>
      </c>
      <c r="J9">
        <v>36</v>
      </c>
      <c r="K9">
        <v>176</v>
      </c>
      <c r="M9">
        <v>5</v>
      </c>
      <c r="N9">
        <v>0.33</v>
      </c>
      <c r="Q9" s="4" t="s">
        <v>15</v>
      </c>
    </row>
    <row r="10" spans="1:17" x14ac:dyDescent="0.35">
      <c r="A10">
        <v>6</v>
      </c>
      <c r="B10">
        <v>17</v>
      </c>
      <c r="C10">
        <v>226</v>
      </c>
      <c r="E10">
        <v>6</v>
      </c>
      <c r="F10">
        <v>12</v>
      </c>
      <c r="G10">
        <v>233</v>
      </c>
      <c r="I10">
        <v>6</v>
      </c>
      <c r="J10">
        <v>13</v>
      </c>
      <c r="K10">
        <v>249</v>
      </c>
      <c r="M10">
        <v>6</v>
      </c>
      <c r="N10">
        <v>0.55000000000000004</v>
      </c>
      <c r="Q10" s="6"/>
    </row>
    <row r="11" spans="1:17" x14ac:dyDescent="0.35">
      <c r="A11">
        <v>7</v>
      </c>
      <c r="B11">
        <v>3</v>
      </c>
      <c r="C11">
        <v>253</v>
      </c>
      <c r="E11">
        <v>7</v>
      </c>
      <c r="F11">
        <v>6</v>
      </c>
      <c r="G11">
        <v>257</v>
      </c>
      <c r="I11">
        <v>7</v>
      </c>
      <c r="J11">
        <v>5</v>
      </c>
      <c r="K11">
        <v>272</v>
      </c>
      <c r="M11">
        <v>7</v>
      </c>
      <c r="N11">
        <v>0.81</v>
      </c>
      <c r="Q11" s="7" t="s">
        <v>16</v>
      </c>
    </row>
    <row r="12" spans="1:17" x14ac:dyDescent="0.35">
      <c r="A12">
        <v>8</v>
      </c>
      <c r="B12">
        <v>4</v>
      </c>
      <c r="C12">
        <v>271</v>
      </c>
      <c r="E12">
        <v>8</v>
      </c>
      <c r="F12">
        <v>4</v>
      </c>
      <c r="G12">
        <v>276</v>
      </c>
      <c r="I12">
        <v>8</v>
      </c>
      <c r="J12">
        <v>5</v>
      </c>
      <c r="K12">
        <v>276</v>
      </c>
      <c r="M12">
        <v>8</v>
      </c>
      <c r="N12">
        <v>0.7</v>
      </c>
      <c r="Q12" s="6"/>
    </row>
    <row r="13" spans="1:17" x14ac:dyDescent="0.35">
      <c r="A13">
        <v>9</v>
      </c>
      <c r="B13">
        <v>16</v>
      </c>
      <c r="C13">
        <v>210</v>
      </c>
      <c r="E13">
        <v>9</v>
      </c>
      <c r="F13">
        <v>18</v>
      </c>
      <c r="G13">
        <v>216</v>
      </c>
      <c r="I13">
        <v>9</v>
      </c>
      <c r="J13">
        <v>29</v>
      </c>
      <c r="K13">
        <v>207</v>
      </c>
      <c r="M13">
        <v>9</v>
      </c>
      <c r="N13">
        <v>0.41</v>
      </c>
      <c r="Q13" s="7" t="s">
        <v>17</v>
      </c>
    </row>
    <row r="14" spans="1:17" x14ac:dyDescent="0.35">
      <c r="A14">
        <v>10</v>
      </c>
      <c r="B14">
        <v>22</v>
      </c>
      <c r="C14">
        <v>140</v>
      </c>
      <c r="E14">
        <v>10</v>
      </c>
      <c r="F14">
        <v>23</v>
      </c>
      <c r="G14">
        <v>144</v>
      </c>
      <c r="I14">
        <v>10</v>
      </c>
      <c r="J14">
        <v>23</v>
      </c>
      <c r="K14">
        <v>135</v>
      </c>
      <c r="M14">
        <v>10</v>
      </c>
      <c r="N14">
        <v>0.18</v>
      </c>
      <c r="Q14" s="6"/>
    </row>
    <row r="15" spans="1:17" x14ac:dyDescent="0.35">
      <c r="A15">
        <v>11</v>
      </c>
      <c r="B15">
        <v>35</v>
      </c>
      <c r="C15">
        <v>71</v>
      </c>
      <c r="E15">
        <v>11</v>
      </c>
      <c r="F15">
        <v>35</v>
      </c>
      <c r="G15">
        <v>74</v>
      </c>
      <c r="I15">
        <v>11</v>
      </c>
      <c r="J15">
        <v>43</v>
      </c>
      <c r="K15">
        <v>68</v>
      </c>
      <c r="M15">
        <v>11</v>
      </c>
      <c r="N15">
        <v>0</v>
      </c>
      <c r="Q15" s="7" t="s">
        <v>18</v>
      </c>
    </row>
    <row r="16" spans="1:17" x14ac:dyDescent="0.35">
      <c r="A16">
        <v>12</v>
      </c>
      <c r="B16">
        <v>80</v>
      </c>
      <c r="C16">
        <v>40</v>
      </c>
      <c r="E16">
        <v>12</v>
      </c>
      <c r="F16">
        <v>80</v>
      </c>
      <c r="G16">
        <v>40</v>
      </c>
      <c r="I16">
        <v>12</v>
      </c>
      <c r="J16">
        <v>89</v>
      </c>
      <c r="K16">
        <v>41</v>
      </c>
      <c r="M16">
        <v>12</v>
      </c>
      <c r="N16">
        <v>0</v>
      </c>
      <c r="Q16" s="8"/>
    </row>
    <row r="17" spans="1:17" x14ac:dyDescent="0.35">
      <c r="Q17" s="9" t="s">
        <v>19</v>
      </c>
    </row>
    <row r="18" spans="1:17" x14ac:dyDescent="0.35">
      <c r="Q18" s="10"/>
    </row>
    <row r="19" spans="1:17" x14ac:dyDescent="0.35">
      <c r="A19" t="s">
        <v>66</v>
      </c>
      <c r="Q19" s="9" t="s">
        <v>20</v>
      </c>
    </row>
    <row r="20" spans="1:17" x14ac:dyDescent="0.35">
      <c r="A20" s="40" t="s">
        <v>7</v>
      </c>
      <c r="B20" s="16" t="s">
        <v>8</v>
      </c>
      <c r="C20" s="40" t="s">
        <v>28</v>
      </c>
      <c r="D20" s="40"/>
      <c r="E20" s="40" t="s">
        <v>27</v>
      </c>
      <c r="F20" s="40"/>
      <c r="G20" s="40" t="s">
        <v>26</v>
      </c>
      <c r="H20" s="40"/>
      <c r="Q20" s="9" t="s">
        <v>21</v>
      </c>
    </row>
    <row r="21" spans="1:17" x14ac:dyDescent="0.35">
      <c r="A21" s="40"/>
      <c r="B21" s="17" t="s">
        <v>5</v>
      </c>
      <c r="C21" s="17" t="s">
        <v>9</v>
      </c>
      <c r="D21" s="17" t="s">
        <v>5</v>
      </c>
      <c r="E21" s="17" t="s">
        <v>9</v>
      </c>
      <c r="F21" s="17" t="s">
        <v>5</v>
      </c>
      <c r="G21" s="17" t="s">
        <v>9</v>
      </c>
      <c r="H21" s="17" t="s">
        <v>5</v>
      </c>
      <c r="Q21" s="6"/>
    </row>
    <row r="22" spans="1:17" x14ac:dyDescent="0.35">
      <c r="A22" s="12">
        <f t="shared" ref="A22:A33" si="0">A5</f>
        <v>1</v>
      </c>
      <c r="B22" s="12">
        <f t="shared" ref="B22:B33" si="1">N5</f>
        <v>0</v>
      </c>
      <c r="C22" s="13">
        <f t="shared" ref="C22:D33" si="2">CONVERT(B5/1000,"m","ft")</f>
        <v>0.28215223097112857</v>
      </c>
      <c r="D22" s="13">
        <f t="shared" si="2"/>
        <v>7.5459317585301833E-2</v>
      </c>
      <c r="E22" s="13">
        <f t="shared" ref="E22:F33" si="3">CONVERT(F5/1000,"m","ft")</f>
        <v>0.31496062992125984</v>
      </c>
      <c r="F22" s="13">
        <f t="shared" si="3"/>
        <v>7.874015748031496E-2</v>
      </c>
      <c r="G22" s="13">
        <f t="shared" ref="G22:G33" si="4">CONVERT(J5/1000,"m","ft")</f>
        <v>0.30183727034120733</v>
      </c>
      <c r="H22" s="13">
        <f t="shared" ref="H22:H33" si="5">CONVERT(K5/1000,"m","ft")</f>
        <v>8.2020997375328086E-2</v>
      </c>
      <c r="Q22" s="7" t="s">
        <v>22</v>
      </c>
    </row>
    <row r="23" spans="1:17" x14ac:dyDescent="0.35">
      <c r="A23" s="12">
        <f t="shared" si="0"/>
        <v>2</v>
      </c>
      <c r="B23" s="12">
        <f t="shared" si="1"/>
        <v>0</v>
      </c>
      <c r="C23" s="13">
        <f t="shared" si="2"/>
        <v>0.19685039370078741</v>
      </c>
      <c r="D23" s="13">
        <f t="shared" si="2"/>
        <v>9.8425196850393706E-2</v>
      </c>
      <c r="E23" s="13">
        <f t="shared" si="3"/>
        <v>0.23950131233595801</v>
      </c>
      <c r="F23" s="13">
        <f t="shared" si="3"/>
        <v>0.10498687664041995</v>
      </c>
      <c r="G23" s="13">
        <f t="shared" si="4"/>
        <v>0.21653543307086615</v>
      </c>
      <c r="H23" s="13">
        <f t="shared" si="5"/>
        <v>0.11482939632545934</v>
      </c>
      <c r="Q23" s="6"/>
    </row>
    <row r="24" spans="1:17" x14ac:dyDescent="0.35">
      <c r="A24" s="12">
        <f t="shared" si="0"/>
        <v>3</v>
      </c>
      <c r="B24" s="12">
        <f t="shared" si="1"/>
        <v>0.02</v>
      </c>
      <c r="C24" s="13">
        <f t="shared" si="2"/>
        <v>0.15091863517060367</v>
      </c>
      <c r="D24" s="13">
        <f t="shared" si="2"/>
        <v>0.20013123359580051</v>
      </c>
      <c r="E24" s="13">
        <f t="shared" si="3"/>
        <v>0.14107611548556429</v>
      </c>
      <c r="F24" s="13">
        <f t="shared" si="3"/>
        <v>0.20997375328083989</v>
      </c>
      <c r="G24" s="13">
        <f t="shared" si="4"/>
        <v>0.12795275590551181</v>
      </c>
      <c r="H24" s="13">
        <f t="shared" si="5"/>
        <v>0.24934383202099739</v>
      </c>
      <c r="Q24" s="7" t="s">
        <v>23</v>
      </c>
    </row>
    <row r="25" spans="1:17" x14ac:dyDescent="0.35">
      <c r="A25" s="12">
        <f t="shared" si="0"/>
        <v>4</v>
      </c>
      <c r="B25" s="12">
        <f t="shared" si="1"/>
        <v>0.15</v>
      </c>
      <c r="C25" s="13">
        <f t="shared" si="2"/>
        <v>0.13451443569553806</v>
      </c>
      <c r="D25" s="13">
        <f t="shared" si="2"/>
        <v>0.3543307086614173</v>
      </c>
      <c r="E25" s="13">
        <f t="shared" si="3"/>
        <v>0.14107611548556429</v>
      </c>
      <c r="F25" s="13">
        <f t="shared" si="3"/>
        <v>0.36745406824146981</v>
      </c>
      <c r="G25" s="13">
        <f t="shared" si="4"/>
        <v>0.13451443569553806</v>
      </c>
      <c r="H25" s="13">
        <f t="shared" si="5"/>
        <v>0.41666666666666669</v>
      </c>
    </row>
    <row r="26" spans="1:17" x14ac:dyDescent="0.35">
      <c r="A26" s="12">
        <f t="shared" si="0"/>
        <v>5</v>
      </c>
      <c r="B26" s="12">
        <f t="shared" si="1"/>
        <v>0.33</v>
      </c>
      <c r="C26" s="13">
        <f t="shared" si="2"/>
        <v>0.12467191601049869</v>
      </c>
      <c r="D26" s="13">
        <f t="shared" si="2"/>
        <v>0.49540682414698162</v>
      </c>
      <c r="E26" s="13">
        <f t="shared" si="3"/>
        <v>0.11811023622047244</v>
      </c>
      <c r="F26" s="13">
        <f t="shared" si="3"/>
        <v>0.52165354330708658</v>
      </c>
      <c r="G26" s="13">
        <f t="shared" si="4"/>
        <v>0.11811023622047244</v>
      </c>
      <c r="H26" s="13">
        <f t="shared" si="5"/>
        <v>0.57742782152230976</v>
      </c>
    </row>
    <row r="27" spans="1:17" x14ac:dyDescent="0.35">
      <c r="A27" s="12">
        <f t="shared" si="0"/>
        <v>6</v>
      </c>
      <c r="B27" s="12">
        <f t="shared" si="1"/>
        <v>0.55000000000000004</v>
      </c>
      <c r="C27" s="13">
        <f t="shared" si="2"/>
        <v>5.57742782152231E-2</v>
      </c>
      <c r="D27" s="13">
        <f t="shared" si="2"/>
        <v>0.74146981627296593</v>
      </c>
      <c r="E27" s="13">
        <f t="shared" si="3"/>
        <v>3.937007874015748E-2</v>
      </c>
      <c r="F27" s="13">
        <f t="shared" si="3"/>
        <v>0.76443569553805779</v>
      </c>
      <c r="G27" s="13">
        <f t="shared" si="4"/>
        <v>4.2650918635170607E-2</v>
      </c>
      <c r="H27" s="13">
        <f t="shared" si="5"/>
        <v>0.81692913385826771</v>
      </c>
    </row>
    <row r="28" spans="1:17" x14ac:dyDescent="0.35">
      <c r="A28" s="12">
        <f t="shared" si="0"/>
        <v>7</v>
      </c>
      <c r="B28" s="12">
        <f t="shared" si="1"/>
        <v>0.81</v>
      </c>
      <c r="C28" s="13">
        <f t="shared" si="2"/>
        <v>9.8425196850393699E-3</v>
      </c>
      <c r="D28" s="13">
        <f t="shared" si="2"/>
        <v>0.83005249343832022</v>
      </c>
      <c r="E28" s="13">
        <f t="shared" si="3"/>
        <v>1.968503937007874E-2</v>
      </c>
      <c r="F28" s="13">
        <f t="shared" si="3"/>
        <v>0.84317585301837272</v>
      </c>
      <c r="G28" s="13">
        <f t="shared" si="4"/>
        <v>1.6404199475065617E-2</v>
      </c>
      <c r="H28" s="13">
        <f t="shared" si="5"/>
        <v>0.8923884514435696</v>
      </c>
    </row>
    <row r="29" spans="1:17" x14ac:dyDescent="0.35">
      <c r="A29" s="12">
        <f t="shared" si="0"/>
        <v>8</v>
      </c>
      <c r="B29" s="12">
        <f t="shared" si="1"/>
        <v>0.7</v>
      </c>
      <c r="C29" s="13">
        <f t="shared" si="2"/>
        <v>1.3123359580052493E-2</v>
      </c>
      <c r="D29" s="13">
        <f t="shared" si="2"/>
        <v>0.88910761154855644</v>
      </c>
      <c r="E29" s="13">
        <f t="shared" si="3"/>
        <v>1.3123359580052493E-2</v>
      </c>
      <c r="F29" s="13">
        <f t="shared" si="3"/>
        <v>0.90551181102362199</v>
      </c>
      <c r="G29" s="13">
        <f t="shared" si="4"/>
        <v>1.6404199475065617E-2</v>
      </c>
      <c r="H29" s="13">
        <f t="shared" si="5"/>
        <v>0.90551181102362199</v>
      </c>
    </row>
    <row r="30" spans="1:17" x14ac:dyDescent="0.35">
      <c r="A30" s="12">
        <f t="shared" si="0"/>
        <v>9</v>
      </c>
      <c r="B30" s="12">
        <f t="shared" si="1"/>
        <v>0.41</v>
      </c>
      <c r="C30" s="13">
        <f t="shared" si="2"/>
        <v>5.2493438320209973E-2</v>
      </c>
      <c r="D30" s="13">
        <f t="shared" si="2"/>
        <v>0.6889763779527559</v>
      </c>
      <c r="E30" s="13">
        <f t="shared" si="3"/>
        <v>5.905511811023622E-2</v>
      </c>
      <c r="F30" s="13">
        <f t="shared" si="3"/>
        <v>0.70866141732283461</v>
      </c>
      <c r="G30" s="13">
        <f t="shared" si="4"/>
        <v>9.514435695538058E-2</v>
      </c>
      <c r="H30" s="13">
        <f t="shared" si="5"/>
        <v>0.67913385826771655</v>
      </c>
    </row>
    <row r="31" spans="1:17" x14ac:dyDescent="0.35">
      <c r="A31" s="12">
        <f t="shared" si="0"/>
        <v>10</v>
      </c>
      <c r="B31" s="12">
        <f t="shared" si="1"/>
        <v>0.18</v>
      </c>
      <c r="C31" s="13">
        <f t="shared" si="2"/>
        <v>7.217847769028872E-2</v>
      </c>
      <c r="D31" s="13">
        <f t="shared" si="2"/>
        <v>0.45931758530183736</v>
      </c>
      <c r="E31" s="13">
        <f t="shared" si="3"/>
        <v>7.5459317585301833E-2</v>
      </c>
      <c r="F31" s="13">
        <f t="shared" si="3"/>
        <v>0.47244094488188976</v>
      </c>
      <c r="G31" s="13">
        <f t="shared" si="4"/>
        <v>7.5459317585301833E-2</v>
      </c>
      <c r="H31" s="13">
        <f t="shared" si="5"/>
        <v>0.44291338582677164</v>
      </c>
    </row>
    <row r="32" spans="1:17" x14ac:dyDescent="0.35">
      <c r="A32" s="12">
        <f t="shared" si="0"/>
        <v>11</v>
      </c>
      <c r="B32" s="12">
        <f t="shared" si="1"/>
        <v>0</v>
      </c>
      <c r="C32" s="13">
        <f t="shared" si="2"/>
        <v>0.11482939632545934</v>
      </c>
      <c r="D32" s="13">
        <f t="shared" si="2"/>
        <v>0.23293963254593172</v>
      </c>
      <c r="E32" s="13">
        <f t="shared" si="3"/>
        <v>0.11482939632545934</v>
      </c>
      <c r="F32" s="13">
        <f t="shared" si="3"/>
        <v>0.24278215223097113</v>
      </c>
      <c r="G32" s="13">
        <f t="shared" si="4"/>
        <v>0.14107611548556429</v>
      </c>
      <c r="H32" s="13">
        <f t="shared" si="5"/>
        <v>0.2230971128608924</v>
      </c>
    </row>
    <row r="33" spans="1:8" x14ac:dyDescent="0.35">
      <c r="A33" s="12">
        <f t="shared" si="0"/>
        <v>12</v>
      </c>
      <c r="B33" s="12">
        <f t="shared" si="1"/>
        <v>0</v>
      </c>
      <c r="C33" s="13">
        <f t="shared" si="2"/>
        <v>0.26246719160104987</v>
      </c>
      <c r="D33" s="13">
        <f t="shared" si="2"/>
        <v>0.13123359580052493</v>
      </c>
      <c r="E33" s="13">
        <f t="shared" si="3"/>
        <v>0.26246719160104987</v>
      </c>
      <c r="F33" s="13">
        <f t="shared" si="3"/>
        <v>0.13123359580052493</v>
      </c>
      <c r="G33" s="13">
        <f t="shared" si="4"/>
        <v>0.29199475065616798</v>
      </c>
      <c r="H33" s="13">
        <f t="shared" si="5"/>
        <v>0.13451443569553806</v>
      </c>
    </row>
    <row r="34" spans="1:8" x14ac:dyDescent="0.35">
      <c r="A34" s="14" t="s">
        <v>11</v>
      </c>
      <c r="B34" s="15">
        <f>SUM(B22:B33)</f>
        <v>3.1500000000000004</v>
      </c>
      <c r="C34" s="15">
        <f t="shared" ref="C34:H34" si="6">SUM(C22:C33)</f>
        <v>1.4698162729658795</v>
      </c>
      <c r="D34" s="15">
        <f t="shared" si="6"/>
        <v>5.1968503937007879</v>
      </c>
      <c r="E34" s="15">
        <f t="shared" si="6"/>
        <v>1.5387139107611549</v>
      </c>
      <c r="F34" s="15">
        <f t="shared" si="6"/>
        <v>5.3510498687664043</v>
      </c>
      <c r="G34" s="15">
        <f t="shared" si="6"/>
        <v>1.5780839895013123</v>
      </c>
      <c r="H34" s="15">
        <f t="shared" si="6"/>
        <v>5.5347769028871383</v>
      </c>
    </row>
    <row r="35" spans="1:8" x14ac:dyDescent="0.35">
      <c r="A35" s="14" t="s">
        <v>10</v>
      </c>
      <c r="B35" s="15">
        <f>B34</f>
        <v>3.1500000000000004</v>
      </c>
      <c r="C35" s="14"/>
      <c r="D35" s="15">
        <f>D34-C34</f>
        <v>3.7270341207349085</v>
      </c>
      <c r="E35" s="14"/>
      <c r="F35" s="15">
        <f>F34-E34</f>
        <v>3.8123359580052494</v>
      </c>
      <c r="G35" s="14"/>
      <c r="H35" s="15">
        <f>H34-G34</f>
        <v>3.956692913385826</v>
      </c>
    </row>
    <row r="36" spans="1:8" x14ac:dyDescent="0.35">
      <c r="A36" t="s">
        <v>67</v>
      </c>
      <c r="B36" s="39">
        <f>SUM(B22:B23,B32:B33)</f>
        <v>0</v>
      </c>
      <c r="C36" s="39">
        <f t="shared" ref="C36:H36" si="7">SUM(C22:C23,C32:C33)</f>
        <v>0.85629921259842523</v>
      </c>
      <c r="D36" s="39">
        <f>SUM(D22:D23,D32:D33)</f>
        <v>0.53805774278215224</v>
      </c>
      <c r="E36" s="39">
        <f t="shared" si="7"/>
        <v>0.93175853018372701</v>
      </c>
      <c r="F36" s="39">
        <f t="shared" si="7"/>
        <v>0.55774278215223094</v>
      </c>
      <c r="G36" s="39">
        <f t="shared" si="7"/>
        <v>0.95144356955380582</v>
      </c>
      <c r="H36" s="39">
        <f t="shared" si="7"/>
        <v>0.5544619422572179</v>
      </c>
    </row>
    <row r="37" spans="1:8" x14ac:dyDescent="0.35">
      <c r="A37" t="s">
        <v>65</v>
      </c>
      <c r="B37" s="39">
        <f>B35</f>
        <v>3.1500000000000004</v>
      </c>
      <c r="D37" s="39">
        <f>SUM(D24:D31)-SUM(C24:C31)</f>
        <v>4.0452755905511815</v>
      </c>
      <c r="F37" s="39">
        <f>SUM(F24:F31)-SUM(E24:E31)</f>
        <v>4.1863517060367457</v>
      </c>
      <c r="H37" s="39">
        <f>SUM(H24:H31)-SUM(G24:G31)</f>
        <v>4.3536745406824142</v>
      </c>
    </row>
    <row r="38" spans="1:8" x14ac:dyDescent="0.35">
      <c r="D38" s="39"/>
      <c r="F38" s="39"/>
      <c r="H38" s="39"/>
    </row>
    <row r="39" spans="1:8" x14ac:dyDescent="0.35">
      <c r="D39" s="2"/>
    </row>
    <row r="40" spans="1:8" x14ac:dyDescent="0.35">
      <c r="A40" t="s">
        <v>29</v>
      </c>
      <c r="D40" s="18">
        <f>(H35-D35)/D35</f>
        <v>6.1619718309858844E-2</v>
      </c>
      <c r="H40" s="18"/>
    </row>
    <row r="41" spans="1:8" x14ac:dyDescent="0.35">
      <c r="A41" t="s">
        <v>62</v>
      </c>
    </row>
    <row r="42" spans="1:8" x14ac:dyDescent="0.35">
      <c r="B42" t="s">
        <v>8</v>
      </c>
      <c r="D42" s="35">
        <f>(D35-$B$35)/$B$35</f>
        <v>0.18318543515393906</v>
      </c>
      <c r="F42" s="35">
        <f>(F35-$B$35)/$B$35</f>
        <v>0.21026538349372983</v>
      </c>
      <c r="H42" s="35">
        <f>(H35-$B$35)/$B$35</f>
        <v>0.25609298837645256</v>
      </c>
    </row>
    <row r="43" spans="1:8" x14ac:dyDescent="0.35">
      <c r="B43" t="s">
        <v>63</v>
      </c>
      <c r="D43" s="35"/>
      <c r="F43" s="35">
        <f>(F35-$D$35)/$D$35</f>
        <v>2.2887323943661889E-2</v>
      </c>
      <c r="H43" s="35">
        <f>(H35-$D$35)/$D$35</f>
        <v>6.1619718309858844E-2</v>
      </c>
    </row>
    <row r="45" spans="1:8" x14ac:dyDescent="0.35">
      <c r="A45" t="s">
        <v>58</v>
      </c>
      <c r="B45" s="36">
        <f>B35*WillardBayVolumes!$I$35</f>
        <v>31405.499999978143</v>
      </c>
      <c r="D45" s="36">
        <f>D35*WillardBayVolumes!$I$35</f>
        <v>37158.530183701172</v>
      </c>
      <c r="F45" s="36">
        <f>F35*WillardBayVolumes!$I$35</f>
        <v>38008.989501285883</v>
      </c>
      <c r="H45" s="36">
        <f>H35*WillardBayVolumes!$I$35</f>
        <v>39448.228346429227</v>
      </c>
    </row>
    <row r="46" spans="1:8" x14ac:dyDescent="0.35">
      <c r="B46" s="36"/>
      <c r="D46" s="36"/>
      <c r="F46" s="36"/>
      <c r="H46" s="36"/>
    </row>
    <row r="47" spans="1:8" x14ac:dyDescent="0.35">
      <c r="A47" t="s">
        <v>64</v>
      </c>
    </row>
    <row r="48" spans="1:8" x14ac:dyDescent="0.35">
      <c r="B48" t="s">
        <v>8</v>
      </c>
      <c r="D48" s="37">
        <f>D45-$B$45</f>
        <v>5753.030183723029</v>
      </c>
      <c r="F48" s="37">
        <f>F$45-$B$45</f>
        <v>6603.4895013077403</v>
      </c>
      <c r="H48" s="37">
        <f>H45-$B$45</f>
        <v>8042.7283464510838</v>
      </c>
    </row>
    <row r="49" spans="1:8" x14ac:dyDescent="0.35">
      <c r="B49" t="s">
        <v>63</v>
      </c>
      <c r="D49" s="37"/>
      <c r="F49" s="37">
        <f>F$45-$D$45</f>
        <v>850.45931758471124</v>
      </c>
      <c r="H49" s="37">
        <f>H$45-$D$45</f>
        <v>2289.6981627280547</v>
      </c>
    </row>
    <row r="51" spans="1:8" x14ac:dyDescent="0.35">
      <c r="A51" t="s">
        <v>61</v>
      </c>
      <c r="B51">
        <v>300</v>
      </c>
      <c r="D51" s="36">
        <f>$B$51*D48</f>
        <v>1725909.0551169086</v>
      </c>
      <c r="E51" s="36"/>
      <c r="F51" s="36">
        <f>$B$51*F48</f>
        <v>1981046.8503923221</v>
      </c>
      <c r="G51" s="36"/>
      <c r="H51" s="36">
        <f>$B$51*H48</f>
        <v>2412818.503935325</v>
      </c>
    </row>
  </sheetData>
  <mergeCells count="4">
    <mergeCell ref="C20:D20"/>
    <mergeCell ref="E20:F20"/>
    <mergeCell ref="G20:H20"/>
    <mergeCell ref="A20:A21"/>
  </mergeCells>
  <hyperlinks>
    <hyperlink ref="Q4" r:id="rId1" display="mailto:u0813292@umail.utah.edu" xr:uid="{00000000-0004-0000-0000-000000000000}"/>
    <hyperlink ref="Q8" r:id="rId2" display="mailto:alex.weech@utah.edu" xr:uid="{00000000-0004-0000-0000-000001000000}"/>
    <hyperlink ref="Q9" r:id="rId3" display="mailto:alex.weech@utah.edu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7AC3-1310-43F6-A710-EC7BEACFCE39}">
  <dimension ref="A1:K36"/>
  <sheetViews>
    <sheetView topLeftCell="A19" workbookViewId="0">
      <selection activeCell="I35" sqref="I35"/>
    </sheetView>
  </sheetViews>
  <sheetFormatPr defaultRowHeight="14.5" x14ac:dyDescent="0.35"/>
  <cols>
    <col min="1" max="1" width="11.453125" customWidth="1"/>
    <col min="2" max="2" width="12.26953125" customWidth="1"/>
    <col min="3" max="3" width="14.26953125" customWidth="1"/>
    <col min="4" max="4" width="10.1796875" customWidth="1"/>
    <col min="7" max="7" width="22.453125" customWidth="1"/>
    <col min="11" max="11" width="11.54296875" bestFit="1" customWidth="1"/>
  </cols>
  <sheetData>
    <row r="1" spans="1:11" x14ac:dyDescent="0.35">
      <c r="A1" s="1" t="s">
        <v>51</v>
      </c>
      <c r="H1" s="1" t="s">
        <v>52</v>
      </c>
    </row>
    <row r="2" spans="1:11" ht="15" thickBot="1" x14ac:dyDescent="0.4"/>
    <row r="3" spans="1:11" ht="15" thickBot="1" x14ac:dyDescent="0.4">
      <c r="A3" s="19" t="s">
        <v>30</v>
      </c>
      <c r="B3" s="20" t="s">
        <v>31</v>
      </c>
      <c r="C3" s="21" t="s">
        <v>32</v>
      </c>
      <c r="H3" t="s">
        <v>46</v>
      </c>
    </row>
    <row r="4" spans="1:11" ht="15" thickBot="1" x14ac:dyDescent="0.4">
      <c r="A4" s="22" t="s">
        <v>33</v>
      </c>
      <c r="B4" s="23">
        <v>28</v>
      </c>
      <c r="C4" s="24">
        <v>60</v>
      </c>
      <c r="H4" t="s">
        <v>47</v>
      </c>
    </row>
    <row r="5" spans="1:11" ht="15" thickBot="1" x14ac:dyDescent="0.4">
      <c r="A5" s="25" t="s">
        <v>34</v>
      </c>
      <c r="B5" s="26">
        <v>51</v>
      </c>
      <c r="C5" s="27">
        <v>166</v>
      </c>
      <c r="H5" t="s">
        <v>48</v>
      </c>
    </row>
    <row r="6" spans="1:11" ht="15" thickBot="1" x14ac:dyDescent="0.4">
      <c r="A6" s="22" t="s">
        <v>35</v>
      </c>
      <c r="B6" s="23">
        <v>96</v>
      </c>
      <c r="C6" s="24">
        <v>495</v>
      </c>
      <c r="H6" t="s">
        <v>49</v>
      </c>
      <c r="I6" t="s">
        <v>50</v>
      </c>
      <c r="J6" t="s">
        <v>59</v>
      </c>
      <c r="K6" t="s">
        <v>60</v>
      </c>
    </row>
    <row r="7" spans="1:11" ht="15" thickBot="1" x14ac:dyDescent="0.4">
      <c r="A7" s="25" t="s">
        <v>36</v>
      </c>
      <c r="B7" s="26">
        <v>160</v>
      </c>
      <c r="C7" s="27">
        <v>649</v>
      </c>
      <c r="H7">
        <v>4199.99999999999</v>
      </c>
      <c r="I7">
        <v>261.00000000088897</v>
      </c>
    </row>
    <row r="8" spans="1:11" ht="15" thickBot="1" x14ac:dyDescent="0.4">
      <c r="A8" s="22" t="s">
        <v>37</v>
      </c>
      <c r="B8" s="23">
        <v>255</v>
      </c>
      <c r="C8" s="24">
        <v>820</v>
      </c>
      <c r="H8">
        <v>4200.99999999999</v>
      </c>
      <c r="I8">
        <v>1059.99999999901</v>
      </c>
      <c r="J8" s="38">
        <f>AVERAGE(I7:I8,)*(H8-H7)</f>
        <v>440.33333333329966</v>
      </c>
      <c r="K8" s="36">
        <f>SUM(J$8:J8)</f>
        <v>440.33333333329966</v>
      </c>
    </row>
    <row r="9" spans="1:11" ht="15" thickBot="1" x14ac:dyDescent="0.4">
      <c r="A9" s="25" t="s">
        <v>38</v>
      </c>
      <c r="B9" s="26">
        <v>248</v>
      </c>
      <c r="C9" s="27">
        <v>759</v>
      </c>
      <c r="H9">
        <v>4201.99999999999</v>
      </c>
      <c r="I9">
        <v>2209.999999999</v>
      </c>
      <c r="J9" s="38">
        <f t="shared" ref="J9:J35" si="0">AVERAGE(I8:I9,)*(H9-H8)</f>
        <v>1089.9999999993368</v>
      </c>
      <c r="K9" s="36">
        <f>SUM(J$8:J9)</f>
        <v>1530.3333333326364</v>
      </c>
    </row>
    <row r="10" spans="1:11" ht="15" thickBot="1" x14ac:dyDescent="0.4">
      <c r="A10" s="22" t="s">
        <v>39</v>
      </c>
      <c r="B10" s="23">
        <v>139</v>
      </c>
      <c r="C10" s="24">
        <v>621</v>
      </c>
      <c r="H10">
        <v>4202.99999999999</v>
      </c>
      <c r="I10">
        <v>4200.0000000049304</v>
      </c>
      <c r="J10" s="38">
        <f t="shared" si="0"/>
        <v>2136.6666666679771</v>
      </c>
      <c r="K10" s="36">
        <f>SUM(J$8:J10)</f>
        <v>3667.0000000006135</v>
      </c>
    </row>
    <row r="11" spans="1:11" ht="15" thickBot="1" x14ac:dyDescent="0.4">
      <c r="A11" s="25" t="s">
        <v>40</v>
      </c>
      <c r="B11" s="26">
        <v>178</v>
      </c>
      <c r="C11" s="27">
        <v>161</v>
      </c>
      <c r="H11">
        <v>4203.99999999999</v>
      </c>
      <c r="I11">
        <v>6080.00000000196</v>
      </c>
      <c r="J11" s="38">
        <f t="shared" si="0"/>
        <v>3426.6666666689634</v>
      </c>
      <c r="K11" s="36">
        <f>SUM(J$8:J11)</f>
        <v>7093.6666666695764</v>
      </c>
    </row>
    <row r="12" spans="1:11" ht="15" thickBot="1" x14ac:dyDescent="0.4">
      <c r="A12" s="22" t="s">
        <v>41</v>
      </c>
      <c r="B12" s="23">
        <v>198</v>
      </c>
      <c r="C12" s="24">
        <v>-112</v>
      </c>
      <c r="H12">
        <v>4204.99999999999</v>
      </c>
      <c r="I12">
        <v>6540.0000000009704</v>
      </c>
      <c r="J12" s="38">
        <f t="shared" si="0"/>
        <v>4206.6666666676438</v>
      </c>
      <c r="K12" s="36">
        <f>SUM(J$8:J12)</f>
        <v>11300.333333337221</v>
      </c>
    </row>
    <row r="13" spans="1:11" ht="15" thickBot="1" x14ac:dyDescent="0.4">
      <c r="A13" s="25" t="s">
        <v>42</v>
      </c>
      <c r="B13" s="26">
        <v>118</v>
      </c>
      <c r="C13" s="27">
        <v>-190</v>
      </c>
      <c r="H13">
        <v>4205.99999999999</v>
      </c>
      <c r="I13">
        <v>7999.99999999998</v>
      </c>
      <c r="J13" s="38">
        <f t="shared" si="0"/>
        <v>4846.6666666669835</v>
      </c>
      <c r="K13" s="36">
        <f>SUM(J$8:J13)</f>
        <v>16147.000000004206</v>
      </c>
    </row>
    <row r="14" spans="1:11" ht="15" thickBot="1" x14ac:dyDescent="0.4">
      <c r="A14" s="22" t="s">
        <v>43</v>
      </c>
      <c r="B14" s="23">
        <v>86</v>
      </c>
      <c r="C14" s="24">
        <v>-92</v>
      </c>
      <c r="H14">
        <v>4206.99999999999</v>
      </c>
      <c r="I14">
        <v>8490.0000000059099</v>
      </c>
      <c r="J14" s="38">
        <f t="shared" si="0"/>
        <v>5496.6666666686297</v>
      </c>
      <c r="K14" s="36">
        <f>SUM(J$8:J14)</f>
        <v>21643.666666672834</v>
      </c>
    </row>
    <row r="15" spans="1:11" ht="15" thickBot="1" x14ac:dyDescent="0.4">
      <c r="A15" s="25" t="s">
        <v>44</v>
      </c>
      <c r="B15" s="26">
        <v>8</v>
      </c>
      <c r="C15" s="27">
        <v>23</v>
      </c>
      <c r="H15">
        <v>4207.99999999999</v>
      </c>
      <c r="I15">
        <v>8830.0000000019609</v>
      </c>
      <c r="J15" s="38">
        <f t="shared" si="0"/>
        <v>5773.3333333359578</v>
      </c>
      <c r="K15" s="36">
        <f>SUM(J$8:J15)</f>
        <v>27417.000000008793</v>
      </c>
    </row>
    <row r="16" spans="1:11" ht="15" thickBot="1" x14ac:dyDescent="0.4">
      <c r="A16" s="28" t="s">
        <v>45</v>
      </c>
      <c r="B16" s="29">
        <v>1565</v>
      </c>
      <c r="C16" s="30">
        <v>3368</v>
      </c>
      <c r="H16">
        <v>4208.99999999999</v>
      </c>
      <c r="I16">
        <v>9080.0000000019609</v>
      </c>
      <c r="J16" s="38">
        <f t="shared" si="0"/>
        <v>5970.0000000013069</v>
      </c>
      <c r="K16" s="36">
        <f>SUM(J$8:J16)</f>
        <v>33387.000000010099</v>
      </c>
    </row>
    <row r="17" spans="1:11" x14ac:dyDescent="0.35">
      <c r="B17">
        <f>SUM(B4:B15)</f>
        <v>1565</v>
      </c>
      <c r="C17">
        <f>SUM(C4:C15)</f>
        <v>3360</v>
      </c>
      <c r="H17">
        <v>4209.99999999999</v>
      </c>
      <c r="I17">
        <v>9269.9999999881202</v>
      </c>
      <c r="J17" s="38">
        <f t="shared" si="0"/>
        <v>6116.666666663361</v>
      </c>
      <c r="K17" s="36">
        <f>SUM(J$8:J17)</f>
        <v>39503.66666667346</v>
      </c>
    </row>
    <row r="18" spans="1:11" x14ac:dyDescent="0.35">
      <c r="H18">
        <v>4210.99999999999</v>
      </c>
      <c r="I18">
        <v>9389.9999999910906</v>
      </c>
      <c r="J18" s="38">
        <f t="shared" si="0"/>
        <v>6219.9999999930706</v>
      </c>
      <c r="K18" s="36">
        <f>SUM(J$8:J18)</f>
        <v>45723.666666666533</v>
      </c>
    </row>
    <row r="19" spans="1:11" x14ac:dyDescent="0.35">
      <c r="A19" s="1" t="s">
        <v>57</v>
      </c>
      <c r="H19">
        <v>4211.99999999999</v>
      </c>
      <c r="I19">
        <v>9490.0000000059099</v>
      </c>
      <c r="J19" s="38">
        <f t="shared" si="0"/>
        <v>6293.3333333323344</v>
      </c>
      <c r="K19" s="36">
        <f>SUM(J$8:J19)</f>
        <v>52016.999999998865</v>
      </c>
    </row>
    <row r="20" spans="1:11" x14ac:dyDescent="0.35">
      <c r="H20">
        <v>4212.99999999999</v>
      </c>
      <c r="I20">
        <v>9580.0000000019609</v>
      </c>
      <c r="J20" s="38">
        <f t="shared" si="0"/>
        <v>6356.6666666692909</v>
      </c>
      <c r="K20" s="36">
        <f>SUM(J$8:J20)</f>
        <v>58373.666666668156</v>
      </c>
    </row>
    <row r="21" spans="1:11" s="1" customFormat="1" x14ac:dyDescent="0.35">
      <c r="A21" s="33" t="s">
        <v>53</v>
      </c>
      <c r="B21" s="33" t="s">
        <v>49</v>
      </c>
      <c r="C21" s="33" t="s">
        <v>56</v>
      </c>
      <c r="D21" s="33"/>
      <c r="H21" s="34">
        <v>4213.99999999999</v>
      </c>
      <c r="I21" s="34">
        <v>9660.0000000039308</v>
      </c>
      <c r="J21" s="38">
        <f t="shared" si="0"/>
        <v>6413.3333333352975</v>
      </c>
      <c r="K21" s="36">
        <f>SUM(J$8:J21)</f>
        <v>64787.000000003456</v>
      </c>
    </row>
    <row r="22" spans="1:11" x14ac:dyDescent="0.35">
      <c r="A22" s="31" t="s">
        <v>54</v>
      </c>
      <c r="B22" s="32">
        <v>4229</v>
      </c>
      <c r="C22" s="13">
        <f>B$17/VLOOKUP(B22,$H$7:$I$35,2)</f>
        <v>0.15697091273832389</v>
      </c>
      <c r="D22" s="13">
        <f>C$17/$I$35</f>
        <v>0.33701103309953245</v>
      </c>
      <c r="H22">
        <v>4214.99999999999</v>
      </c>
      <c r="I22">
        <v>9719.9999999930606</v>
      </c>
      <c r="J22" s="38">
        <f t="shared" si="0"/>
        <v>6459.9999999989968</v>
      </c>
      <c r="K22" s="36">
        <f>SUM(J$8:J22)</f>
        <v>71247.000000002459</v>
      </c>
    </row>
    <row r="23" spans="1:11" x14ac:dyDescent="0.35">
      <c r="A23" s="31" t="s">
        <v>55</v>
      </c>
      <c r="B23" s="32">
        <v>4201</v>
      </c>
      <c r="C23" s="13">
        <f>B$17/$I$8</f>
        <v>1.4764150943410015</v>
      </c>
      <c r="D23" s="13">
        <f>C$17/$I$8</f>
        <v>3.1698113207576775</v>
      </c>
      <c r="H23">
        <v>4215.99999999999</v>
      </c>
      <c r="I23">
        <v>9759.9999999940501</v>
      </c>
      <c r="J23" s="38">
        <f t="shared" si="0"/>
        <v>6493.3333333290366</v>
      </c>
      <c r="K23" s="36">
        <f>SUM(J$8:J23)</f>
        <v>77740.333333331495</v>
      </c>
    </row>
    <row r="24" spans="1:11" x14ac:dyDescent="0.35">
      <c r="H24">
        <v>4216.99999999999</v>
      </c>
      <c r="I24">
        <v>9790.0000000009695</v>
      </c>
      <c r="J24" s="38">
        <f t="shared" si="0"/>
        <v>6516.6666666650062</v>
      </c>
      <c r="K24" s="36">
        <f>SUM(J$8:J24)</f>
        <v>84256.999999996508</v>
      </c>
    </row>
    <row r="25" spans="1:11" x14ac:dyDescent="0.35">
      <c r="H25">
        <v>4217.99999999999</v>
      </c>
      <c r="I25">
        <v>9809.9999999891097</v>
      </c>
      <c r="J25" s="38">
        <f t="shared" si="0"/>
        <v>6533.3333333300261</v>
      </c>
      <c r="K25" s="36">
        <f>SUM(J$8:J25)</f>
        <v>90790.333333326533</v>
      </c>
    </row>
    <row r="26" spans="1:11" x14ac:dyDescent="0.35">
      <c r="H26">
        <v>4218.99999999999</v>
      </c>
      <c r="I26">
        <v>9839.9999999960291</v>
      </c>
      <c r="J26" s="38">
        <f t="shared" si="0"/>
        <v>6549.999999995046</v>
      </c>
      <c r="K26" s="36">
        <f>SUM(J$8:J26)</f>
        <v>97340.333333321585</v>
      </c>
    </row>
    <row r="27" spans="1:11" x14ac:dyDescent="0.35">
      <c r="H27">
        <v>4219.99999999999</v>
      </c>
      <c r="I27">
        <v>9860.0000000088803</v>
      </c>
      <c r="J27" s="38">
        <f t="shared" si="0"/>
        <v>6566.6666666683041</v>
      </c>
      <c r="K27" s="36">
        <f>SUM(J$8:J27)</f>
        <v>103906.99999998989</v>
      </c>
    </row>
    <row r="28" spans="1:11" x14ac:dyDescent="0.35">
      <c r="H28">
        <v>4220.99999999999</v>
      </c>
      <c r="I28">
        <v>9879.9999999970205</v>
      </c>
      <c r="J28" s="38">
        <f t="shared" si="0"/>
        <v>6580.0000000019672</v>
      </c>
      <c r="K28" s="36">
        <f>SUM(J$8:J28)</f>
        <v>110486.99999999185</v>
      </c>
    </row>
    <row r="29" spans="1:11" x14ac:dyDescent="0.35">
      <c r="H29">
        <v>4221.99999999999</v>
      </c>
      <c r="I29">
        <v>9900.0000000098607</v>
      </c>
      <c r="J29" s="38">
        <f t="shared" si="0"/>
        <v>6593.3333333356277</v>
      </c>
      <c r="K29" s="36">
        <f>SUM(J$8:J29)</f>
        <v>117080.33333332748</v>
      </c>
    </row>
    <row r="30" spans="1:11" x14ac:dyDescent="0.35">
      <c r="H30">
        <v>4222.99999999999</v>
      </c>
      <c r="I30">
        <v>9919.9999999979991</v>
      </c>
      <c r="J30" s="38">
        <f t="shared" si="0"/>
        <v>6606.6666666692863</v>
      </c>
      <c r="K30" s="36">
        <f>SUM(J$8:J30)</f>
        <v>123686.99999999677</v>
      </c>
    </row>
    <row r="31" spans="1:11" x14ac:dyDescent="0.35">
      <c r="H31">
        <v>4223.99999999999</v>
      </c>
      <c r="I31">
        <v>9929.9999999920801</v>
      </c>
      <c r="J31" s="38">
        <f t="shared" si="0"/>
        <v>6616.66666666336</v>
      </c>
      <c r="K31" s="36">
        <f>SUM(J$8:J31)</f>
        <v>130303.66666666012</v>
      </c>
    </row>
    <row r="32" spans="1:11" x14ac:dyDescent="0.35">
      <c r="H32">
        <v>4224.99999999999</v>
      </c>
      <c r="I32">
        <v>9940.0000000108503</v>
      </c>
      <c r="J32" s="38">
        <f t="shared" si="0"/>
        <v>6623.3333333343107</v>
      </c>
      <c r="K32" s="36">
        <f>SUM(J$8:J32)</f>
        <v>136926.99999999444</v>
      </c>
    </row>
    <row r="33" spans="4:11" x14ac:dyDescent="0.35">
      <c r="H33">
        <v>4225.99999999999</v>
      </c>
      <c r="I33">
        <v>9950.0000000049204</v>
      </c>
      <c r="J33" s="38">
        <f t="shared" si="0"/>
        <v>6630.0000000052569</v>
      </c>
      <c r="K33" s="36">
        <f>SUM(J$8:J33)</f>
        <v>143556.99999999971</v>
      </c>
    </row>
    <row r="34" spans="4:11" x14ac:dyDescent="0.35">
      <c r="H34">
        <v>4227.99999999999</v>
      </c>
      <c r="I34">
        <v>9969.9999999930606</v>
      </c>
      <c r="J34" s="38">
        <f t="shared" si="0"/>
        <v>13279.999999998654</v>
      </c>
      <c r="K34" s="36">
        <f>SUM(J$8:J34)</f>
        <v>156836.99999999837</v>
      </c>
    </row>
    <row r="35" spans="4:11" x14ac:dyDescent="0.35">
      <c r="D35">
        <v>33000</v>
      </c>
      <c r="H35">
        <v>4228.99999999999</v>
      </c>
      <c r="I35">
        <v>9969.9999999930606</v>
      </c>
      <c r="J35" s="38">
        <f t="shared" si="0"/>
        <v>6646.6666666620404</v>
      </c>
      <c r="K35" s="36">
        <f>SUM(J$8:J35)</f>
        <v>163483.6666666604</v>
      </c>
    </row>
    <row r="36" spans="4:11" x14ac:dyDescent="0.35">
      <c r="D36">
        <f>D35/I35</f>
        <v>3.309929789370408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WillardBay</vt:lpstr>
      <vt:lpstr>WillardBayVolumes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Rosenberg</dc:creator>
  <cp:lastModifiedBy>david</cp:lastModifiedBy>
  <dcterms:created xsi:type="dcterms:W3CDTF">2019-11-06T18:58:38Z</dcterms:created>
  <dcterms:modified xsi:type="dcterms:W3CDTF">2020-02-28T17:52:12Z</dcterms:modified>
</cp:coreProperties>
</file>