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"/>
    </mc:Choice>
  </mc:AlternateContent>
  <xr:revisionPtr revIDLastSave="0" documentId="13_ncr:1_{B14D63D8-F75F-4F80-8035-85D0BD56BCDB}" xr6:coauthVersionLast="41" xr6:coauthVersionMax="41" xr10:uidLastSave="{00000000-0000-0000-0000-000000000000}"/>
  <bookViews>
    <workbookView xWindow="-5265" yWindow="1350" windowWidth="15375" windowHeight="7875" xr2:uid="{F15B97B4-9653-4CD1-BEE1-683BE5A04140}"/>
  </bookViews>
  <sheets>
    <sheet name="Sheet1" sheetId="1" r:id="rId1"/>
    <sheet name="Sheet2" sheetId="3" r:id="rId2"/>
    <sheet name="Division of Water Resources Ta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2" l="1"/>
  <c r="N20" i="1" s="1"/>
  <c r="G8" i="1" l="1"/>
  <c r="G15" i="1"/>
  <c r="G22" i="1"/>
  <c r="F21" i="1"/>
  <c r="F20" i="1"/>
  <c r="F19" i="1"/>
  <c r="F18" i="1"/>
  <c r="F17" i="1"/>
  <c r="F14" i="1"/>
  <c r="F13" i="1"/>
  <c r="F12" i="1"/>
  <c r="F11" i="1"/>
  <c r="F10" i="1"/>
  <c r="U27" i="1" l="1"/>
  <c r="V27" i="1"/>
  <c r="W27" i="1"/>
  <c r="X27" i="1"/>
  <c r="T27" i="1"/>
  <c r="F22" i="1"/>
  <c r="C23" i="1"/>
  <c r="E23" i="1"/>
  <c r="D23" i="1"/>
  <c r="C22" i="1"/>
  <c r="F15" i="1"/>
  <c r="L21" i="1"/>
  <c r="V29" i="1"/>
  <c r="W29" i="1" l="1"/>
  <c r="X29" i="1"/>
  <c r="X30" i="1"/>
  <c r="W30" i="1"/>
  <c r="V30" i="1"/>
  <c r="U29" i="1"/>
  <c r="U30" i="1"/>
  <c r="X28" i="1"/>
  <c r="W28" i="1"/>
  <c r="V28" i="1"/>
  <c r="U28" i="1"/>
  <c r="T29" i="1"/>
  <c r="T30" i="1"/>
  <c r="T28" i="1"/>
  <c r="X26" i="1"/>
  <c r="X25" i="1"/>
  <c r="X24" i="1"/>
  <c r="W26" i="1"/>
  <c r="W25" i="1"/>
  <c r="W24" i="1"/>
  <c r="V26" i="1"/>
  <c r="V25" i="1"/>
  <c r="V24" i="1"/>
  <c r="U26" i="1"/>
  <c r="U25" i="1"/>
  <c r="U24" i="1"/>
  <c r="T26" i="1"/>
  <c r="T25" i="1"/>
  <c r="T24" i="1"/>
  <c r="N21" i="1" l="1"/>
  <c r="M21" i="1"/>
  <c r="C21" i="1"/>
  <c r="C14" i="1"/>
  <c r="R8" i="3"/>
  <c r="O3" i="3"/>
  <c r="I3" i="3"/>
  <c r="I8" i="3"/>
  <c r="D18" i="1"/>
  <c r="E18" i="1"/>
  <c r="D19" i="1"/>
  <c r="E19" i="1"/>
  <c r="E20" i="1"/>
  <c r="D21" i="1"/>
  <c r="E21" i="1"/>
  <c r="D22" i="1"/>
  <c r="E22" i="1"/>
  <c r="E17" i="1"/>
  <c r="D17" i="1"/>
  <c r="D11" i="1"/>
  <c r="E11" i="1"/>
  <c r="D12" i="1"/>
  <c r="E12" i="1"/>
  <c r="E13" i="1"/>
  <c r="D14" i="1"/>
  <c r="E14" i="1"/>
  <c r="D15" i="1"/>
  <c r="E15" i="1"/>
  <c r="E10" i="1"/>
  <c r="D10" i="1"/>
  <c r="C10" i="1"/>
  <c r="C15" i="1" s="1"/>
  <c r="C17" i="1"/>
  <c r="F7" i="1"/>
  <c r="I4" i="3" l="1"/>
  <c r="L4" i="3"/>
  <c r="O8" i="3"/>
  <c r="O4" i="3"/>
  <c r="O5" i="3"/>
  <c r="O6" i="3"/>
  <c r="R6" i="3" s="1"/>
  <c r="O7" i="3"/>
  <c r="R7" i="3" s="1"/>
  <c r="R3" i="3"/>
  <c r="L8" i="3"/>
  <c r="I5" i="3"/>
  <c r="I6" i="3"/>
  <c r="I7" i="3"/>
  <c r="L7" i="3" s="1"/>
  <c r="L3" i="3"/>
  <c r="R5" i="3"/>
  <c r="R4" i="3"/>
  <c r="L6" i="3"/>
  <c r="L5" i="3"/>
  <c r="F8" i="3"/>
  <c r="F7" i="3"/>
  <c r="F6" i="3"/>
  <c r="F5" i="3"/>
  <c r="F4" i="3"/>
  <c r="F3" i="3"/>
  <c r="Q3" i="1" l="1"/>
  <c r="C22" i="2" l="1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F4" i="1"/>
  <c r="F5" i="1"/>
  <c r="F6" i="1"/>
  <c r="F8" i="1" s="1"/>
  <c r="F3" i="1"/>
  <c r="D27" i="2" l="1"/>
  <c r="E27" i="2"/>
  <c r="E30" i="2"/>
  <c r="E29" i="2"/>
  <c r="E25" i="2"/>
  <c r="E28" i="2"/>
  <c r="D25" i="2"/>
  <c r="L2" i="1" s="1"/>
  <c r="E26" i="2"/>
  <c r="D30" i="2"/>
  <c r="D26" i="2"/>
  <c r="D28" i="2"/>
  <c r="L11" i="1" l="1"/>
  <c r="S11" i="1" s="1"/>
  <c r="L12" i="1"/>
  <c r="S12" i="1" s="1"/>
  <c r="L15" i="1"/>
  <c r="S15" i="1" s="1"/>
  <c r="L19" i="1"/>
  <c r="S19" i="1" s="1"/>
  <c r="L16" i="1"/>
  <c r="S16" i="1" s="1"/>
  <c r="L20" i="1"/>
  <c r="S20" i="1" s="1"/>
  <c r="L18" i="1"/>
  <c r="S18" i="1" s="1"/>
  <c r="L13" i="1"/>
  <c r="S13" i="1" s="1"/>
  <c r="L17" i="1"/>
  <c r="S17" i="1" s="1"/>
  <c r="M18" i="1"/>
  <c r="L14" i="1"/>
  <c r="S14" i="1" s="1"/>
  <c r="U2" i="1"/>
  <c r="S2" i="1"/>
  <c r="T2" i="1"/>
  <c r="L3" i="1"/>
  <c r="S3" i="1" s="1"/>
  <c r="L4" i="1"/>
  <c r="S4" i="1" s="1"/>
  <c r="L8" i="1"/>
  <c r="S8" i="1" s="1"/>
  <c r="L7" i="1"/>
  <c r="S7" i="1" s="1"/>
  <c r="L10" i="1"/>
  <c r="S10" i="1" s="1"/>
  <c r="L6" i="1"/>
  <c r="S6" i="1" s="1"/>
  <c r="L5" i="1"/>
  <c r="S5" i="1" s="1"/>
  <c r="L9" i="1"/>
  <c r="S9" i="1" s="1"/>
  <c r="N3" i="1"/>
  <c r="N8" i="1"/>
  <c r="U8" i="1" s="1"/>
  <c r="N4" i="1"/>
  <c r="N16" i="1"/>
  <c r="U16" i="1" s="1"/>
  <c r="U20" i="1"/>
  <c r="N13" i="1"/>
  <c r="U13" i="1" s="1"/>
  <c r="N17" i="1"/>
  <c r="U17" i="1" s="1"/>
  <c r="N15" i="1"/>
  <c r="N14" i="1"/>
  <c r="U14" i="1" s="1"/>
  <c r="N18" i="1"/>
  <c r="U18" i="1" s="1"/>
  <c r="N19" i="1"/>
  <c r="N12" i="1"/>
  <c r="U12" i="1" s="1"/>
  <c r="N11" i="1"/>
  <c r="U11" i="1" s="1"/>
  <c r="N7" i="1"/>
  <c r="N9" i="1"/>
  <c r="N6" i="1"/>
  <c r="N5" i="1"/>
  <c r="U5" i="1" s="1"/>
  <c r="N10" i="1"/>
  <c r="M15" i="1"/>
  <c r="M14" i="1"/>
  <c r="M13" i="1"/>
  <c r="M16" i="1"/>
  <c r="T16" i="1" s="1"/>
  <c r="M20" i="1"/>
  <c r="T20" i="1" s="1"/>
  <c r="M19" i="1"/>
  <c r="M17" i="1"/>
  <c r="T17" i="1" s="1"/>
  <c r="M12" i="1"/>
  <c r="T12" i="1" s="1"/>
  <c r="M11" i="1"/>
  <c r="T11" i="1" s="1"/>
  <c r="M4" i="1"/>
  <c r="M3" i="1"/>
  <c r="M8" i="1"/>
  <c r="T8" i="1" s="1"/>
  <c r="M5" i="1"/>
  <c r="T5" i="1" s="1"/>
  <c r="M7" i="1"/>
  <c r="T7" i="1" s="1"/>
  <c r="M10" i="1"/>
  <c r="M9" i="1"/>
  <c r="M6" i="1"/>
  <c r="E31" i="2"/>
  <c r="U15" i="1" l="1"/>
  <c r="T15" i="1"/>
  <c r="T4" i="1"/>
  <c r="T19" i="1"/>
  <c r="T14" i="1"/>
  <c r="U6" i="1"/>
  <c r="T13" i="1"/>
  <c r="T6" i="1"/>
  <c r="U19" i="1"/>
  <c r="U4" i="1"/>
  <c r="T10" i="1"/>
  <c r="U10" i="1"/>
  <c r="U7" i="1"/>
  <c r="T18" i="1"/>
  <c r="U3" i="1"/>
  <c r="O2" i="1"/>
  <c r="Q22" i="1" s="1"/>
  <c r="T9" i="1"/>
  <c r="U9" i="1"/>
  <c r="T3" i="1"/>
  <c r="O3" i="1"/>
  <c r="O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tc={47265DE4-89B6-48AA-9BFE-4AAA046BE1AF}</author>
    <author>tc={D84E2EEC-0DE5-489F-8F8F-E7DF9C4AA9B1}</author>
  </authors>
  <commentList>
    <comment ref="D13" authorId="0" shapeId="0" xr:uid="{47265DE4-89B6-48AA-9BFE-4AAA046BE1A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actually 256 GPCD</t>
      </text>
    </comment>
    <comment ref="D20" authorId="1" shapeId="0" xr:uid="{D84E2EEC-0DE5-489F-8F8F-E7DF9C4AA9B1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Original 256 GPCD</t>
      </text>
    </comment>
  </commentList>
</comments>
</file>

<file path=xl/sharedStrings.xml><?xml version="1.0" encoding="utf-8"?>
<sst xmlns="http://schemas.openxmlformats.org/spreadsheetml/2006/main" count="197" uniqueCount="80">
  <si>
    <t>Counties</t>
  </si>
  <si>
    <t>Box Elder</t>
  </si>
  <si>
    <t>Davis</t>
  </si>
  <si>
    <t>Morgan</t>
  </si>
  <si>
    <t>Summit</t>
  </si>
  <si>
    <t>Weber</t>
  </si>
  <si>
    <t>Total</t>
  </si>
  <si>
    <t>Population</t>
  </si>
  <si>
    <t>NA</t>
  </si>
  <si>
    <t>Potable Use</t>
  </si>
  <si>
    <t>Secondary Use</t>
  </si>
  <si>
    <t>AF/Year</t>
  </si>
  <si>
    <t>SA</t>
  </si>
  <si>
    <t>Future</t>
  </si>
  <si>
    <t>Utah</t>
  </si>
  <si>
    <t>Service Areas by County</t>
  </si>
  <si>
    <t>Description</t>
  </si>
  <si>
    <t>Weber Provo Division Canal</t>
  </si>
  <si>
    <t>Oakley to Wanship</t>
  </si>
  <si>
    <t>Wanship to Echo</t>
  </si>
  <si>
    <t>Echo to Devils Slide</t>
  </si>
  <si>
    <t>Lost Creek</t>
  </si>
  <si>
    <t>Devils Slide to Stoddard</t>
  </si>
  <si>
    <t>Park City</t>
  </si>
  <si>
    <t>East Canyon</t>
  </si>
  <si>
    <t>Stoddard to Gateway</t>
  </si>
  <si>
    <t>Gateway Canal</t>
  </si>
  <si>
    <t>Davis Weber Canal</t>
  </si>
  <si>
    <t>Weber Basin Project Ogden Valley</t>
  </si>
  <si>
    <t>Ogden Brigham and S Ogden Valley</t>
  </si>
  <si>
    <t>Ogden River Below Pineview</t>
  </si>
  <si>
    <t>Slaterville</t>
  </si>
  <si>
    <t>Warren Canal</t>
  </si>
  <si>
    <t>Ogden Bay Bird Refuge</t>
  </si>
  <si>
    <t>GSL Minerals</t>
  </si>
  <si>
    <t>Gateway to Slaterville</t>
  </si>
  <si>
    <t>Additional WB Demand</t>
  </si>
  <si>
    <t>Table J-1 AF/yr</t>
  </si>
  <si>
    <t>Usage Types (Table 1. Tesfatsion, 2011)</t>
  </si>
  <si>
    <t>Municipal</t>
  </si>
  <si>
    <t>Agricultural</t>
  </si>
  <si>
    <t>Environmental</t>
  </si>
  <si>
    <t>Industrial</t>
  </si>
  <si>
    <t>Division of Water Resources Table of Historic Annual Demands</t>
  </si>
  <si>
    <t>AVG</t>
  </si>
  <si>
    <t>MAX</t>
  </si>
  <si>
    <t>2nd</t>
  </si>
  <si>
    <t>SUMS</t>
  </si>
  <si>
    <t>SUM (check)</t>
  </si>
  <si>
    <t>AVG Ag.</t>
  </si>
  <si>
    <t>2015 data</t>
  </si>
  <si>
    <t>2070 data</t>
  </si>
  <si>
    <t>2150 data</t>
  </si>
  <si>
    <t>2015 Total</t>
  </si>
  <si>
    <t>2070 Total</t>
  </si>
  <si>
    <t>2150 Total</t>
  </si>
  <si>
    <t>Utah (2015)</t>
  </si>
  <si>
    <t>Box Elder (2015)</t>
  </si>
  <si>
    <t>Davis (2015)</t>
  </si>
  <si>
    <t>Morgan (2015)</t>
  </si>
  <si>
    <t>Summit (2015)</t>
  </si>
  <si>
    <t>Weber (2015)</t>
  </si>
  <si>
    <t>Box Elder (2070)</t>
  </si>
  <si>
    <t>Davis (2070)</t>
  </si>
  <si>
    <t>Morgan (2070)</t>
  </si>
  <si>
    <t>Summit (2070)</t>
  </si>
  <si>
    <t>Weber (2070)</t>
  </si>
  <si>
    <t>Box Elder (2150)</t>
  </si>
  <si>
    <t>Davis (2150)</t>
  </si>
  <si>
    <t>Morgan (2150)</t>
  </si>
  <si>
    <t>Summit (2150)</t>
  </si>
  <si>
    <t>Weber (2150)</t>
  </si>
  <si>
    <t>SUMs(MAX)</t>
  </si>
  <si>
    <t>Municipal (AF/Year) 2015</t>
  </si>
  <si>
    <t>Municipal (AF/Year) 2070</t>
  </si>
  <si>
    <t>Municipal (AF/Year) 2150</t>
  </si>
  <si>
    <t>Percent Change</t>
  </si>
  <si>
    <t>Acre-Feet</t>
  </si>
  <si>
    <t>Percent Increase</t>
  </si>
  <si>
    <t>BoxElder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</si>
</sst>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1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6" xfId="0" applyNumberFormat="1" applyBorder="1"/>
    <xf numFmtId="0" fontId="0" fillId="0" borderId="7" xfId="0" applyBorder="1"/>
    <xf numFmtId="0" fontId="0" fillId="0" borderId="8" xfId="0" applyBorder="1"/>
    <xf numFmtId="1" fontId="0" fillId="0" borderId="9" xfId="0" applyNumberFormat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1" xfId="0" applyFill="1" applyBorder="1"/>
    <xf numFmtId="1" fontId="0" fillId="2" borderId="0" xfId="0" applyNumberFormat="1" applyFill="1"/>
    <xf numFmtId="10" fontId="0" fillId="2" borderId="0" xfId="0" applyNumberFormat="1" applyFill="1"/>
    <xf numFmtId="9" fontId="0" fillId="2" borderId="0" xfId="1" applyFont="1" applyFill="1"/>
    <xf numFmtId="0" fontId="0" fillId="2" borderId="10" xfId="0" applyFill="1" applyBorder="1"/>
    <xf numFmtId="1" fontId="0" fillId="2" borderId="1" xfId="0" applyNumberFormat="1" applyFill="1" applyBorder="1"/>
    <xf numFmtId="1" fontId="0" fillId="2" borderId="10" xfId="0" applyNumberFormat="1" applyFill="1" applyBorder="1"/>
    <xf numFmtId="10" fontId="0" fillId="2" borderId="0" xfId="1" applyNumberFormat="1" applyFont="1" applyFill="1"/>
    <xf numFmtId="0" fontId="4" fillId="2" borderId="11" xfId="0" applyFont="1" applyFill="1" applyBorder="1" applyAlignment="1">
      <alignment horizontal="right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10" fontId="0" fillId="2" borderId="15" xfId="1" applyNumberFormat="1" applyFont="1" applyFill="1" applyBorder="1"/>
    <xf numFmtId="0" fontId="0" fillId="2" borderId="16" xfId="0" applyFill="1" applyBorder="1"/>
    <xf numFmtId="10" fontId="0" fillId="2" borderId="1" xfId="1" applyNumberFormat="1" applyFont="1" applyFill="1" applyBorder="1"/>
    <xf numFmtId="10" fontId="0" fillId="2" borderId="17" xfId="1" applyNumberFormat="1" applyFont="1" applyFill="1" applyBorder="1"/>
    <xf numFmtId="0" fontId="4" fillId="2" borderId="14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48874</xdr:colOff>
      <xdr:row>0</xdr:row>
      <xdr:rowOff>0</xdr:rowOff>
    </xdr:from>
    <xdr:to>
      <xdr:col>33</xdr:col>
      <xdr:colOff>66698</xdr:colOff>
      <xdr:row>27</xdr:row>
      <xdr:rowOff>86607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84CFC9-C853-4837-BBF7-4F0BAB00F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7462" y="0"/>
          <a:ext cx="4858765" cy="523010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cob Everitt" id="{07C5E33A-04CF-428D-A72D-6BF27ADF058A}" userId="Jacob Everitt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3" dT="2019-03-08T20:23:27.63" personId="{07C5E33A-04CF-428D-A72D-6BF27ADF058A}" id="{47265DE4-89B6-48AA-9BFE-4AAA046BE1AF}">
    <text>Original actually 256 GPCD</text>
  </threadedComment>
  <threadedComment ref="D20" dT="2019-03-08T20:23:51.98" personId="{07C5E33A-04CF-428D-A72D-6BF27ADF058A}" id="{D84E2EEC-0DE5-489F-8F8F-E7DF9C4AA9B1}">
    <text>Actual Original 256 GPCD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4458-0F13-48D2-8E1D-8319278B6ED3}">
  <dimension ref="A1:X30"/>
  <sheetViews>
    <sheetView tabSelected="1" zoomScale="85" zoomScaleNormal="85" workbookViewId="0">
      <selection activeCell="G5" sqref="G5"/>
    </sheetView>
  </sheetViews>
  <sheetFormatPr defaultRowHeight="15" x14ac:dyDescent="0.25"/>
  <cols>
    <col min="1" max="1" width="9.140625" style="11"/>
    <col min="2" max="2" width="15.28515625" style="11" bestFit="1" customWidth="1"/>
    <col min="3" max="3" width="10.7109375" style="11" bestFit="1" customWidth="1"/>
    <col min="4" max="4" width="11.5703125" style="11" bestFit="1" customWidth="1"/>
    <col min="5" max="5" width="13.140625" style="11" customWidth="1"/>
    <col min="6" max="6" width="15.7109375" style="11" customWidth="1"/>
    <col min="7" max="7" width="13.28515625" style="11" customWidth="1"/>
    <col min="8" max="8" width="4.140625" style="11" customWidth="1"/>
    <col min="9" max="9" width="30" style="11" customWidth="1"/>
    <col min="10" max="10" width="3.5703125" style="11" customWidth="1"/>
    <col min="11" max="11" width="22.5703125" style="11" bestFit="1" customWidth="1"/>
    <col min="12" max="13" width="23.28515625" style="11" bestFit="1" customWidth="1"/>
    <col min="14" max="14" width="22.5703125" style="11" customWidth="1"/>
    <col min="15" max="15" width="13.42578125" style="11" hidden="1" customWidth="1"/>
    <col min="16" max="16" width="9.140625" style="11" hidden="1" customWidth="1"/>
    <col min="17" max="17" width="8.42578125" style="11" hidden="1" customWidth="1"/>
    <col min="18" max="18" width="9.140625" style="11"/>
    <col min="19" max="19" width="15.28515625" style="11" customWidth="1"/>
    <col min="20" max="16384" width="9.140625" style="11"/>
  </cols>
  <sheetData>
    <row r="1" spans="1:22" x14ac:dyDescent="0.25">
      <c r="A1" s="10" t="s">
        <v>50</v>
      </c>
      <c r="B1" s="11" t="s">
        <v>0</v>
      </c>
      <c r="C1" s="11" t="s">
        <v>7</v>
      </c>
      <c r="D1" s="11" t="s">
        <v>9</v>
      </c>
      <c r="E1" s="11" t="s">
        <v>10</v>
      </c>
      <c r="F1" s="11" t="s">
        <v>11</v>
      </c>
      <c r="G1" s="11" t="s">
        <v>37</v>
      </c>
      <c r="H1" s="12" t="s">
        <v>12</v>
      </c>
      <c r="I1" s="12" t="s">
        <v>16</v>
      </c>
      <c r="J1" s="12" t="s">
        <v>38</v>
      </c>
      <c r="K1" s="12" t="s">
        <v>15</v>
      </c>
      <c r="L1" s="12" t="s">
        <v>73</v>
      </c>
      <c r="M1" s="12" t="s">
        <v>74</v>
      </c>
      <c r="N1" s="11" t="s">
        <v>75</v>
      </c>
      <c r="O1" s="11" t="s">
        <v>48</v>
      </c>
      <c r="P1" s="11" t="s">
        <v>49</v>
      </c>
      <c r="Q1" s="11" t="s">
        <v>48</v>
      </c>
      <c r="S1" s="11" t="s">
        <v>76</v>
      </c>
    </row>
    <row r="2" spans="1:22" x14ac:dyDescent="0.25">
      <c r="A2" s="11" t="s">
        <v>14</v>
      </c>
      <c r="B2" s="11" t="s">
        <v>56</v>
      </c>
      <c r="C2" s="11" t="s">
        <v>8</v>
      </c>
      <c r="D2" s="11" t="s">
        <v>8</v>
      </c>
      <c r="E2" s="11" t="s">
        <v>8</v>
      </c>
      <c r="F2" s="13">
        <v>35500</v>
      </c>
      <c r="G2" s="13"/>
      <c r="H2" s="11">
        <v>1</v>
      </c>
      <c r="I2" s="11" t="s">
        <v>17</v>
      </c>
      <c r="J2" s="11" t="s">
        <v>40</v>
      </c>
      <c r="K2" s="11" t="s">
        <v>14</v>
      </c>
      <c r="L2" s="13">
        <f>VLOOKUP(K2,$A$2:$F$7,6,0)*VLOOKUP(H2,'Division of Water Resources Tab'!$A$3:$E$22,4,0)/VLOOKUP(K2,'Division of Water Resources Tab'!$C$25:$D$30,2,0)</f>
        <v>35500</v>
      </c>
      <c r="M2" s="13">
        <v>35500</v>
      </c>
      <c r="N2" s="13">
        <v>35500</v>
      </c>
      <c r="O2" s="13">
        <f>SUM(L2:L20)+F3</f>
        <v>210472.50209844127</v>
      </c>
      <c r="P2" s="11">
        <v>0</v>
      </c>
      <c r="Q2" s="11">
        <v>210400</v>
      </c>
      <c r="S2" s="14">
        <f>(L2-$L$2)/$L$2</f>
        <v>0</v>
      </c>
      <c r="T2" s="14">
        <f t="shared" ref="T2:U2" si="0">(M2-$L$2)/$L$2</f>
        <v>0</v>
      </c>
      <c r="U2" s="14">
        <f t="shared" si="0"/>
        <v>0</v>
      </c>
      <c r="V2" s="15"/>
    </row>
    <row r="3" spans="1:22" x14ac:dyDescent="0.25">
      <c r="A3" s="11" t="s">
        <v>1</v>
      </c>
      <c r="B3" s="11" t="s">
        <v>57</v>
      </c>
      <c r="C3" s="11">
        <v>3340</v>
      </c>
      <c r="D3" s="11">
        <v>160</v>
      </c>
      <c r="E3" s="11">
        <v>77</v>
      </c>
      <c r="F3" s="13">
        <f>(E3*C3+D3*C3)*0.0000030688832459704*365</f>
        <v>886.68230894351598</v>
      </c>
      <c r="H3" s="11">
        <v>2</v>
      </c>
      <c r="I3" s="11" t="s">
        <v>18</v>
      </c>
      <c r="J3" s="11" t="s">
        <v>40</v>
      </c>
      <c r="K3" s="11" t="s">
        <v>4</v>
      </c>
      <c r="L3" s="13">
        <f>VLOOKUP(K3,$A$2:$F$7,6,0)*VLOOKUP(H3,'Division of Water Resources Tab'!$A$3:$E$22,4,0)/VLOOKUP(K3,'Division of Water Resources Tab'!$C$25:$D$30,2,0)</f>
        <v>8700.8822524425668</v>
      </c>
      <c r="M3" s="13">
        <f>VLOOKUP(K3,$A$9:$F$14,6,0)*VLOOKUP(H3,'Division of Water Resources Tab'!$A$3:$E$22,4,0)/VLOOKUP(K3,'Division of Water Resources Tab'!$C$25:$D$30,2,0)</f>
        <v>36896.271108499546</v>
      </c>
      <c r="N3" s="13">
        <f>VLOOKUP(K3,$A$16:$F$21,6,0)*VLOOKUP(H3,'Division of Water Resources Tab'!$A$3:$E$22,4,0)/VLOOKUP(K3,'Division of Water Resources Tab'!$C$25:$D$30,2,0)</f>
        <v>73972.524027284438</v>
      </c>
      <c r="O3" s="13">
        <f>SUM(M2:M20)+F10</f>
        <v>396366.81919257488</v>
      </c>
      <c r="Q3" s="11">
        <f>P3+P5+P11+P13</f>
        <v>0</v>
      </c>
      <c r="S3" s="14">
        <f>(L3-$L$3)/$L$3</f>
        <v>0</v>
      </c>
      <c r="T3" s="14">
        <f t="shared" ref="T3:U3" si="1">(M3-$L$3)/$L$3</f>
        <v>3.2405206780199549</v>
      </c>
      <c r="U3" s="14">
        <f t="shared" si="1"/>
        <v>7.5017268227619569</v>
      </c>
      <c r="V3" s="15"/>
    </row>
    <row r="4" spans="1:22" x14ac:dyDescent="0.25">
      <c r="A4" s="11" t="s">
        <v>2</v>
      </c>
      <c r="B4" s="11" t="s">
        <v>58</v>
      </c>
      <c r="C4" s="11">
        <v>336100</v>
      </c>
      <c r="D4" s="11">
        <v>107</v>
      </c>
      <c r="E4" s="11">
        <v>129</v>
      </c>
      <c r="F4" s="13">
        <f>(E4*C4+D4*C4)*0.0000030688832459704*365</f>
        <v>88849.245903731906</v>
      </c>
      <c r="H4" s="11">
        <v>3</v>
      </c>
      <c r="I4" s="11" t="s">
        <v>19</v>
      </c>
      <c r="J4" s="11" t="s">
        <v>40</v>
      </c>
      <c r="K4" s="11" t="s">
        <v>4</v>
      </c>
      <c r="L4" s="13">
        <f>VLOOKUP(K4,$A$2:$F$7,6,0)*VLOOKUP(H4,'Division of Water Resources Tab'!$A$3:$E$22,4,0)/VLOOKUP(K4,'Division of Water Resources Tab'!$C$25:$D$30,2,0)</f>
        <v>3002.2213522805027</v>
      </c>
      <c r="M4" s="13">
        <f>VLOOKUP(K4,$A$9:$F$14,6,0)*VLOOKUP(H4,'Division of Water Resources Tab'!$A$3:$E$22,4,0)/VLOOKUP(K4,'Division of Water Resources Tab'!$C$25:$D$30,2,0)</f>
        <v>12730.981724338502</v>
      </c>
      <c r="N4" s="13">
        <f>VLOOKUP(K4,$A$16:$F$21,6,0)*VLOOKUP(H4,'Division of Water Resources Tab'!$A$3:$E$22,4,0)/VLOOKUP(K4,'Division of Water Resources Tab'!$C$25:$D$30,2,0)</f>
        <v>25524.065798551819</v>
      </c>
      <c r="O4" s="13">
        <f>SUM(N2:N20)+F17</f>
        <v>568134.82078568579</v>
      </c>
      <c r="S4" s="14">
        <f>(L4-$L$4)/$L$4</f>
        <v>0</v>
      </c>
      <c r="T4" s="14">
        <f t="shared" ref="T4:U4" si="2">(M4-$L$4)/$L$4</f>
        <v>3.2405206780199545</v>
      </c>
      <c r="U4" s="14">
        <f t="shared" si="2"/>
        <v>7.5017268227619551</v>
      </c>
      <c r="V4" s="15"/>
    </row>
    <row r="5" spans="1:22" x14ac:dyDescent="0.25">
      <c r="A5" s="11" t="s">
        <v>3</v>
      </c>
      <c r="B5" s="11" t="s">
        <v>59</v>
      </c>
      <c r="C5" s="11">
        <v>8500</v>
      </c>
      <c r="D5" s="11">
        <v>111</v>
      </c>
      <c r="E5" s="11">
        <v>130</v>
      </c>
      <c r="F5" s="13">
        <f t="shared" ref="F5:F6" si="3">(E5*C5+D5*C5)*0.0000030688832459704*365</f>
        <v>2294.6116752201829</v>
      </c>
      <c r="H5" s="11">
        <v>4</v>
      </c>
      <c r="I5" s="11" t="s">
        <v>20</v>
      </c>
      <c r="J5" s="11" t="s">
        <v>40</v>
      </c>
      <c r="K5" s="11" t="s">
        <v>3</v>
      </c>
      <c r="L5" s="13">
        <f>VLOOKUP(K5,$A$2:$F$7,6,0)*VLOOKUP(H5,'Division of Water Resources Tab'!$A$3:$E$22,4,0)/VLOOKUP(K5,'Division of Water Resources Tab'!$C$25:$D$30,2,0)</f>
        <v>418.89462630794412</v>
      </c>
      <c r="M5" s="13">
        <f>VLOOKUP(K5,$A$9:$F$14,6,0)*VLOOKUP(H5,'Division of Water Resources Tab'!$A$3:$E$22,4,0)/VLOOKUP(K5,'Division of Water Resources Tab'!$C$25:$D$30,2,0)</f>
        <v>4188.9462630794415</v>
      </c>
      <c r="N5" s="13">
        <f>VLOOKUP(K5,$A$16:$F$21,6,0)*VLOOKUP(H5,'Division of Water Resources Tab'!$A$3:$E$22,4,0)/VLOOKUP(K5,'Division of Water Resources Tab'!$C$25:$D$30,2,0)</f>
        <v>7170.4903679771605</v>
      </c>
      <c r="S5" s="14">
        <f>(L5-$L$5)/$L$5</f>
        <v>0</v>
      </c>
      <c r="T5" s="14">
        <f t="shared" ref="T5:U5" si="4">(M5-$L$5)/$L$5</f>
        <v>9</v>
      </c>
      <c r="U5" s="14">
        <f t="shared" si="4"/>
        <v>16.117647058823529</v>
      </c>
      <c r="V5" s="15"/>
    </row>
    <row r="6" spans="1:22" x14ac:dyDescent="0.25">
      <c r="A6" s="11" t="s">
        <v>4</v>
      </c>
      <c r="B6" s="11" t="s">
        <v>60</v>
      </c>
      <c r="C6" s="11">
        <v>34930</v>
      </c>
      <c r="D6" s="11">
        <v>256</v>
      </c>
      <c r="E6" s="11">
        <v>90</v>
      </c>
      <c r="F6" s="13">
        <f t="shared" si="3"/>
        <v>13537.79443111671</v>
      </c>
      <c r="H6" s="11">
        <v>5</v>
      </c>
      <c r="I6" s="11" t="s">
        <v>21</v>
      </c>
      <c r="J6" s="11" t="s">
        <v>40</v>
      </c>
      <c r="K6" s="11" t="s">
        <v>3</v>
      </c>
      <c r="L6" s="13">
        <f>VLOOKUP(K6,$A$2:$F$7,6,0)*VLOOKUP(H6,'Division of Water Resources Tab'!$A$3:$E$22,4,0)/VLOOKUP(K6,'Division of Water Resources Tab'!$C$25:$D$30,2,0)</f>
        <v>293.22623841556089</v>
      </c>
      <c r="M6" s="13">
        <f>VLOOKUP(K6,$A$9:$F$14,6,0)*VLOOKUP(H6,'Division of Water Resources Tab'!$A$3:$E$22,4,0)/VLOOKUP(K6,'Division of Water Resources Tab'!$C$25:$D$30,2,0)</f>
        <v>2932.2623841556092</v>
      </c>
      <c r="N6" s="13">
        <f>VLOOKUP(K6,$A$16:$F$21,6,0)*VLOOKUP(H6,'Division of Water Resources Tab'!$A$3:$E$22,4,0)/VLOOKUP(K6,'Division of Water Resources Tab'!$C$25:$D$30,2,0)</f>
        <v>5019.3432575840125</v>
      </c>
      <c r="O6" s="13"/>
      <c r="S6" s="14">
        <f>(L6-$L$6)/$L$6</f>
        <v>0</v>
      </c>
      <c r="T6" s="14">
        <f t="shared" ref="T6:U6" si="5">(M6-$L$6)/$L$6</f>
        <v>9</v>
      </c>
      <c r="U6" s="14">
        <f t="shared" si="5"/>
        <v>16.117647058823529</v>
      </c>
      <c r="V6" s="15"/>
    </row>
    <row r="7" spans="1:22" x14ac:dyDescent="0.25">
      <c r="A7" s="11" t="s">
        <v>5</v>
      </c>
      <c r="B7" s="11" t="s">
        <v>61</v>
      </c>
      <c r="C7" s="11">
        <v>241090</v>
      </c>
      <c r="D7" s="11">
        <v>112</v>
      </c>
      <c r="E7" s="11">
        <v>145</v>
      </c>
      <c r="F7" s="13">
        <f>(E7*C7+D7*C7)*0.0000030688832459704*365</f>
        <v>69404.167779429001</v>
      </c>
      <c r="G7" s="12"/>
      <c r="H7" s="11">
        <v>6</v>
      </c>
      <c r="I7" s="11" t="s">
        <v>22</v>
      </c>
      <c r="J7" s="11" t="s">
        <v>40</v>
      </c>
      <c r="K7" s="11" t="s">
        <v>3</v>
      </c>
      <c r="L7" s="13">
        <f>VLOOKUP(K7,$A$2:$F$7,6,0)*VLOOKUP(H7,'Division of Water Resources Tab'!$A$3:$E$22,4,0)/VLOOKUP(K7,'Division of Water Resources Tab'!$C$25:$D$30,2,0)</f>
        <v>1010.0014878758208</v>
      </c>
      <c r="M7" s="13">
        <f>VLOOKUP(K7,$A$9:$F$14,6,0)*VLOOKUP(H7,'Division of Water Resources Tab'!$A$3:$E$22,4,0)/VLOOKUP(K7,'Division of Water Resources Tab'!$C$25:$D$30,2,0)</f>
        <v>10100.014878758209</v>
      </c>
      <c r="N7" s="13">
        <f>VLOOKUP(K7,$A$16:$F$21,6,0)*VLOOKUP(H7,'Division of Water Resources Tab'!$A$3:$E$22,4,0)/VLOOKUP(K7,'Division of Water Resources Tab'!$C$25:$D$30,2,0)</f>
        <v>17288.848998344933</v>
      </c>
      <c r="S7" s="14">
        <f>(L7-$L$7)/$L$7</f>
        <v>0</v>
      </c>
      <c r="T7" s="14">
        <f t="shared" ref="T7:U7" si="6">(M7-$L$7)/$L$7</f>
        <v>9.0000000000000018</v>
      </c>
      <c r="U7" s="14">
        <f t="shared" si="6"/>
        <v>16.117647058823529</v>
      </c>
      <c r="V7" s="15"/>
    </row>
    <row r="8" spans="1:22" x14ac:dyDescent="0.25">
      <c r="A8" s="16"/>
      <c r="B8" s="16" t="s">
        <v>53</v>
      </c>
      <c r="C8" s="16">
        <v>623960</v>
      </c>
      <c r="D8" s="16">
        <v>117</v>
      </c>
      <c r="E8" s="16">
        <v>229</v>
      </c>
      <c r="F8" s="17">
        <f>SUM(F2:F7)</f>
        <v>210472.5020984413</v>
      </c>
      <c r="G8" s="17">
        <f>(E8*C8+D8*C8)*0.0000030688832459704*365</f>
        <v>241827.71867276219</v>
      </c>
      <c r="H8" s="11">
        <v>7</v>
      </c>
      <c r="I8" s="11" t="s">
        <v>23</v>
      </c>
      <c r="J8" s="11" t="s">
        <v>40</v>
      </c>
      <c r="K8" s="11" t="s">
        <v>4</v>
      </c>
      <c r="L8" s="13">
        <f>VLOOKUP(K8,$A$2:$F$7,6,0)*VLOOKUP(H8,'Division of Water Resources Tab'!$A$3:$E$22,4,0)/VLOOKUP(K8,'Division of Water Resources Tab'!$C$25:$D$30,2,0)</f>
        <v>1834.6908263936402</v>
      </c>
      <c r="M8" s="13">
        <f>VLOOKUP(K8,$A$9:$F$14,6,0)*VLOOKUP(H8,'Division of Water Resources Tab'!$A$3:$E$22,4,0)/VLOOKUP(K8,'Division of Water Resources Tab'!$C$25:$D$30,2,0)</f>
        <v>7780.0443870957506</v>
      </c>
      <c r="N8" s="13">
        <f>VLOOKUP(K8,$A$16:$F$21,6,0)*VLOOKUP(H8,'Division of Water Resources Tab'!$A$3:$E$22,4,0)/VLOOKUP(K8,'Division of Water Resources Tab'!$C$25:$D$30,2,0)</f>
        <v>15598.040210226111</v>
      </c>
      <c r="S8" s="14">
        <f>(L8-$L$8)/$L$8</f>
        <v>0</v>
      </c>
      <c r="T8" s="14">
        <f t="shared" ref="T8:U8" si="7">(M8-$L$8)/$L$8</f>
        <v>3.2405206780199549</v>
      </c>
      <c r="U8" s="14">
        <f t="shared" si="7"/>
        <v>7.501726822761956</v>
      </c>
      <c r="V8" s="15"/>
    </row>
    <row r="9" spans="1:22" x14ac:dyDescent="0.25">
      <c r="A9" s="11" t="s">
        <v>51</v>
      </c>
      <c r="B9" s="11" t="s">
        <v>56</v>
      </c>
      <c r="C9" s="11" t="s">
        <v>8</v>
      </c>
      <c r="D9" s="11" t="s">
        <v>8</v>
      </c>
      <c r="E9" s="11" t="s">
        <v>8</v>
      </c>
      <c r="F9" s="13">
        <v>35500</v>
      </c>
      <c r="G9" s="13"/>
      <c r="H9" s="11">
        <v>8</v>
      </c>
      <c r="I9" s="11" t="s">
        <v>24</v>
      </c>
      <c r="J9" s="11" t="s">
        <v>40</v>
      </c>
      <c r="K9" s="11" t="s">
        <v>3</v>
      </c>
      <c r="L9" s="13">
        <f>VLOOKUP(K9,$A$2:$F$7,6,0)*VLOOKUP(H9,'Division of Water Resources Tab'!$A$3:$E$22,4,0)/VLOOKUP(K9,'Division of Water Resources Tab'!$C$25:$D$30,2,0)</f>
        <v>502.67355156953295</v>
      </c>
      <c r="M9" s="13">
        <f>VLOOKUP(K9,$A$9:$F$14,6,0)*VLOOKUP(H9,'Division of Water Resources Tab'!$A$3:$E$22,4,0)/VLOOKUP(K9,'Division of Water Resources Tab'!$C$25:$D$30,2,0)</f>
        <v>5026.7355156953299</v>
      </c>
      <c r="N9" s="13">
        <f>VLOOKUP(K9,$A$16:$F$21,6,0)*VLOOKUP(H9,'Division of Water Resources Tab'!$A$3:$E$22,4,0)/VLOOKUP(K9,'Division of Water Resources Tab'!$C$25:$D$30,2,0)</f>
        <v>8604.5884415725923</v>
      </c>
      <c r="S9" s="14">
        <f>(L9-$L$9)/$L$9</f>
        <v>0</v>
      </c>
      <c r="T9" s="14">
        <f t="shared" ref="T9:U9" si="8">(M9-$L$9)/$L$9</f>
        <v>9.0000000000000018</v>
      </c>
      <c r="U9" s="14">
        <f t="shared" si="8"/>
        <v>16.117647058823529</v>
      </c>
      <c r="V9" s="15"/>
    </row>
    <row r="10" spans="1:22" x14ac:dyDescent="0.25">
      <c r="A10" s="11" t="s">
        <v>1</v>
      </c>
      <c r="B10" s="11" t="s">
        <v>62</v>
      </c>
      <c r="C10" s="13">
        <f>(C14/C7)*C3</f>
        <v>7557.219295698701</v>
      </c>
      <c r="D10" s="11">
        <f>D3</f>
        <v>160</v>
      </c>
      <c r="E10" s="11">
        <f>E3</f>
        <v>77</v>
      </c>
      <c r="F10" s="13">
        <f>((E10*C10)+(D10*C10))*0.0000030688832459704*365</f>
        <v>2006.2433096714419</v>
      </c>
      <c r="H10" s="11">
        <v>9</v>
      </c>
      <c r="I10" s="11" t="s">
        <v>25</v>
      </c>
      <c r="J10" s="11" t="s">
        <v>40</v>
      </c>
      <c r="K10" s="11" t="s">
        <v>3</v>
      </c>
      <c r="L10" s="13">
        <f>VLOOKUP(K10,$A$2:$F$7,6,0)*VLOOKUP(H10,'Division of Water Resources Tab'!$A$3:$E$22,4,0)/VLOOKUP(K10,'Division of Water Resources Tab'!$C$25:$D$30,2,0)</f>
        <v>69.81577105132402</v>
      </c>
      <c r="M10" s="13">
        <f>VLOOKUP(K10,$A$9:$F$14,6,0)*VLOOKUP(H10,'Division of Water Resources Tab'!$A$3:$E$22,4,0)/VLOOKUP(K10,'Division of Water Resources Tab'!$C$25:$D$30,2,0)</f>
        <v>698.15771051324032</v>
      </c>
      <c r="N10" s="13">
        <f>VLOOKUP(K10,$A$16:$F$21,6,0)*VLOOKUP(H10,'Division of Water Resources Tab'!$A$3:$E$22,4,0)/VLOOKUP(K10,'Division of Water Resources Tab'!$C$25:$D$30,2,0)</f>
        <v>1195.0817279961934</v>
      </c>
      <c r="S10" s="14">
        <f>(L10-$L$10)/$L$10</f>
        <v>0</v>
      </c>
      <c r="T10" s="14">
        <f t="shared" ref="T10:U10" si="9">(M10-$L$10)/$L$10</f>
        <v>9.0000000000000018</v>
      </c>
      <c r="U10" s="14">
        <f t="shared" si="9"/>
        <v>16.117647058823529</v>
      </c>
      <c r="V10" s="15"/>
    </row>
    <row r="11" spans="1:22" x14ac:dyDescent="0.25">
      <c r="A11" s="11" t="s">
        <v>2</v>
      </c>
      <c r="B11" s="11" t="s">
        <v>63</v>
      </c>
      <c r="C11" s="11">
        <v>459500</v>
      </c>
      <c r="D11" s="11">
        <f t="shared" ref="D11:E11" si="10">D4</f>
        <v>107</v>
      </c>
      <c r="E11" s="11">
        <f t="shared" si="10"/>
        <v>129</v>
      </c>
      <c r="F11" s="13">
        <f>(E11*C11+D11*C11)*0.0000030688832459704*365</f>
        <v>121470.48049022556</v>
      </c>
      <c r="H11" s="11">
        <v>10</v>
      </c>
      <c r="I11" s="11" t="s">
        <v>26</v>
      </c>
      <c r="J11" s="11" t="s">
        <v>39</v>
      </c>
      <c r="K11" s="11" t="s">
        <v>2</v>
      </c>
      <c r="L11" s="13">
        <f>VLOOKUP(K11,$A$2:$F$7,6,0)*VLOOKUP(H11,'Division of Water Resources Tab'!$A$3:$E$22,4,0)/VLOOKUP(K11,'Division of Water Resources Tab'!$C$25:$D$30,2,0)</f>
        <v>52305.934797811613</v>
      </c>
      <c r="M11" s="13">
        <f>VLOOKUP(K11,$A$9:$F$14,6,0)*VLOOKUP(H11,'Division of Water Resources Tab'!$A$3:$E$22,4,0)/VLOOKUP(K11,'Division of Water Resources Tab'!$C$25:$D$30,2,0)</f>
        <v>71510.196487933456</v>
      </c>
      <c r="N11" s="13">
        <f>VLOOKUP(K11,$A$16:$F$21,6,0)*VLOOKUP(H11,'Division of Water Resources Tab'!$A$3:$E$22,4,0)/VLOOKUP(K11,'Division of Water Resources Tab'!$C$25:$D$30,2,0)</f>
        <v>98589.139227651467</v>
      </c>
      <c r="S11" s="14">
        <f>(L11-$L$11)/$L$11</f>
        <v>0</v>
      </c>
      <c r="T11" s="14">
        <f t="shared" ref="T11:U11" si="11">(M11-$L$11)/$L$11</f>
        <v>0.36715263314489727</v>
      </c>
      <c r="U11" s="14">
        <f t="shared" si="11"/>
        <v>0.88485569770901529</v>
      </c>
      <c r="V11" s="15"/>
    </row>
    <row r="12" spans="1:22" x14ac:dyDescent="0.25">
      <c r="A12" s="11" t="s">
        <v>3</v>
      </c>
      <c r="B12" s="11" t="s">
        <v>64</v>
      </c>
      <c r="C12" s="11">
        <v>85000</v>
      </c>
      <c r="D12" s="11">
        <f t="shared" ref="D12:E12" si="12">D5</f>
        <v>111</v>
      </c>
      <c r="E12" s="11">
        <f t="shared" si="12"/>
        <v>130</v>
      </c>
      <c r="F12" s="13">
        <f>(E12*C12+D12*C12)*0.0000030688832459704*365</f>
        <v>22946.11675220183</v>
      </c>
      <c r="H12" s="11">
        <v>11</v>
      </c>
      <c r="I12" s="11" t="s">
        <v>27</v>
      </c>
      <c r="J12" s="11" t="s">
        <v>40</v>
      </c>
      <c r="K12" s="11" t="s">
        <v>2</v>
      </c>
      <c r="L12" s="13">
        <f>VLOOKUP(K12,$A$2:$F$7,6,0)*VLOOKUP(H12,'Division of Water Resources Tab'!$A$3:$E$22,4,0)/VLOOKUP(K12,'Division of Water Resources Tab'!$C$25:$D$30,2,0)</f>
        <v>36543.3111059203</v>
      </c>
      <c r="M12" s="13">
        <f>VLOOKUP(K12,$A$9:$F$14,6,0)*VLOOKUP(H12,'Division of Water Resources Tab'!$A$3:$E$22,4,0)/VLOOKUP(K12,'Division of Water Resources Tab'!$C$25:$D$30,2,0)</f>
        <v>49960.284002292108</v>
      </c>
      <c r="N12" s="13">
        <f>VLOOKUP(K12,$A$16:$F$21,6,0)*VLOOKUP(H12,'Division of Water Resources Tab'!$A$3:$E$22,4,0)/VLOOKUP(K12,'Division of Water Resources Tab'!$C$25:$D$30,2,0)</f>
        <v>68878.868151147006</v>
      </c>
      <c r="S12" s="14">
        <f>(L12-$L$12)/$L$12</f>
        <v>0</v>
      </c>
      <c r="T12" s="14">
        <f t="shared" ref="T12:U12" si="13">(M12-$L$12)/$L$12</f>
        <v>0.36715263314489732</v>
      </c>
      <c r="U12" s="14">
        <f t="shared" si="13"/>
        <v>0.88485569770901507</v>
      </c>
      <c r="V12" s="15"/>
    </row>
    <row r="13" spans="1:22" x14ac:dyDescent="0.25">
      <c r="A13" s="11" t="s">
        <v>4</v>
      </c>
      <c r="B13" s="11" t="s">
        <v>65</v>
      </c>
      <c r="C13" s="11">
        <v>205000</v>
      </c>
      <c r="D13" s="11">
        <v>160</v>
      </c>
      <c r="E13" s="11">
        <f t="shared" ref="E13" si="14">E6</f>
        <v>90</v>
      </c>
      <c r="F13" s="13">
        <f>(E13*C13+D13*C13)*0.0000030688832459704*365</f>
        <v>57407.297219933796</v>
      </c>
      <c r="H13" s="11">
        <v>12</v>
      </c>
      <c r="I13" s="11" t="s">
        <v>28</v>
      </c>
      <c r="J13" s="11" t="s">
        <v>40</v>
      </c>
      <c r="K13" s="11" t="s">
        <v>5</v>
      </c>
      <c r="L13" s="13">
        <f>VLOOKUP(K13,$A$2:$F$7,6,0)*VLOOKUP(H13,'Division of Water Resources Tab'!$A$3:$E$22,4,0)/VLOOKUP(K13,'Division of Water Resources Tab'!$C$25:$D$30,2,0)</f>
        <v>7026.9425632364837</v>
      </c>
      <c r="M13" s="13">
        <f>VLOOKUP(K13,$A$9:$F$14,6,0)*VLOOKUP(H13,'Division of Water Resources Tab'!$A$3:$E$22,4,0)/VLOOKUP(K13,'Division of Water Resources Tab'!$C$25:$D$30,2,0)</f>
        <v>15899.444888819537</v>
      </c>
      <c r="N13" s="13">
        <f>VLOOKUP(K13,$A$16:$F$21,6,0)*VLOOKUP(H13,'Division of Water Resources Tab'!$A$3:$E$22,4,0)/VLOOKUP(K13,'Division of Water Resources Tab'!$C$25:$D$30,2,0)</f>
        <v>21072.958120286938</v>
      </c>
      <c r="S13" s="14">
        <f>(L13-$L$13)/$L$13</f>
        <v>0</v>
      </c>
      <c r="T13" s="14">
        <f t="shared" ref="T13:U13" si="15">(M13-$L$13)/$L$13</f>
        <v>1.2626405076942222</v>
      </c>
      <c r="U13" s="14">
        <f t="shared" si="15"/>
        <v>1.9988800862748353</v>
      </c>
      <c r="V13" s="15"/>
    </row>
    <row r="14" spans="1:22" x14ac:dyDescent="0.25">
      <c r="A14" s="12" t="s">
        <v>5</v>
      </c>
      <c r="B14" s="12" t="s">
        <v>66</v>
      </c>
      <c r="C14" s="12">
        <f>519000+26500</f>
        <v>545500</v>
      </c>
      <c r="D14" s="12">
        <f t="shared" ref="D14:E14" si="16">D7</f>
        <v>112</v>
      </c>
      <c r="E14" s="12">
        <f t="shared" si="16"/>
        <v>145</v>
      </c>
      <c r="F14" s="13">
        <f>(E14*C14+D14*C14)*0.0000030688832459704*365</f>
        <v>157036.68142054221</v>
      </c>
      <c r="G14" s="12"/>
      <c r="H14" s="11">
        <v>13</v>
      </c>
      <c r="I14" s="11" t="s">
        <v>29</v>
      </c>
      <c r="J14" s="11" t="s">
        <v>40</v>
      </c>
      <c r="K14" s="11" t="s">
        <v>5</v>
      </c>
      <c r="L14" s="13">
        <f>VLOOKUP(K14,$A$2:$F$7,6,0)*VLOOKUP(H14,'Division of Water Resources Tab'!$A$3:$E$22,4,0)/VLOOKUP(K14,'Division of Water Resources Tab'!$C$25:$D$30,2,0)</f>
        <v>8049.5200257970164</v>
      </c>
      <c r="M14" s="13">
        <f>VLOOKUP(K14,$A$9:$F$14,6,0)*VLOOKUP(H14,'Division of Water Resources Tab'!$A$3:$E$22,4,0)/VLOOKUP(K14,'Division of Water Resources Tab'!$C$25:$D$30,2,0)</f>
        <v>18213.170077864172</v>
      </c>
      <c r="N14" s="13">
        <f>VLOOKUP(K14,$A$16:$F$21,6,0)*VLOOKUP(H14,'Division of Water Resources Tab'!$A$3:$E$22,4,0)/VLOOKUP(K14,'Division of Water Resources Tab'!$C$25:$D$30,2,0)</f>
        <v>24139.545309433175</v>
      </c>
      <c r="S14" s="14">
        <f>(L14-$L$14)/$L$14</f>
        <v>0</v>
      </c>
      <c r="T14" s="14">
        <f t="shared" ref="T14:U14" si="17">(M14-$L$14)/$L$14</f>
        <v>1.2626405076942224</v>
      </c>
      <c r="U14" s="14">
        <f t="shared" si="17"/>
        <v>1.9988800862748357</v>
      </c>
      <c r="V14" s="15"/>
    </row>
    <row r="15" spans="1:22" x14ac:dyDescent="0.25">
      <c r="A15" s="16"/>
      <c r="B15" s="16" t="s">
        <v>54</v>
      </c>
      <c r="C15" s="18">
        <f>SUM(C9:C14)</f>
        <v>1302557.2192956987</v>
      </c>
      <c r="D15" s="16">
        <f t="shared" ref="D15:E15" si="18">D8</f>
        <v>117</v>
      </c>
      <c r="E15" s="16">
        <f t="shared" si="18"/>
        <v>229</v>
      </c>
      <c r="F15" s="18">
        <f>SUM(F9:F14)</f>
        <v>396366.81919257483</v>
      </c>
      <c r="G15" s="18">
        <f>(E15*C15+D15*C15)*0.0000030688832459704*365</f>
        <v>504831.14427690179</v>
      </c>
      <c r="H15" s="11">
        <v>14</v>
      </c>
      <c r="I15" s="11" t="s">
        <v>30</v>
      </c>
      <c r="J15" s="11" t="s">
        <v>40</v>
      </c>
      <c r="K15" s="11" t="s">
        <v>5</v>
      </c>
      <c r="L15" s="13">
        <f>VLOOKUP(K15,$A$2:$F$7,6,0)*VLOOKUP(H15,'Division of Water Resources Tab'!$A$3:$E$22,4,0)/VLOOKUP(K15,'Division of Water Resources Tab'!$C$25:$D$30,2,0)</f>
        <v>6109.2448404257484</v>
      </c>
      <c r="M15" s="13">
        <f>VLOOKUP(K15,$A$9:$F$14,6,0)*VLOOKUP(H15,'Division of Water Resources Tab'!$A$3:$E$22,4,0)/VLOOKUP(K15,'Division of Water Resources Tab'!$C$25:$D$30,2,0)</f>
        <v>13823.024847369225</v>
      </c>
      <c r="N15" s="13">
        <f>VLOOKUP(K15,$A$16:$F$21,6,0)*VLOOKUP(H15,'Division of Water Resources Tab'!$A$3:$E$22,4,0)/VLOOKUP(K15,'Division of Water Resources Tab'!$C$25:$D$30,2,0)</f>
        <v>18320.892694130063</v>
      </c>
      <c r="S15" s="14">
        <f>(L15-$L$15)/$L$15</f>
        <v>0</v>
      </c>
      <c r="T15" s="14">
        <f t="shared" ref="T15:U15" si="19">(M15-$L$15)/$L$15</f>
        <v>1.2626405076942224</v>
      </c>
      <c r="U15" s="14">
        <f t="shared" si="19"/>
        <v>1.9988800862748357</v>
      </c>
      <c r="V15" s="15"/>
    </row>
    <row r="16" spans="1:22" x14ac:dyDescent="0.25">
      <c r="A16" s="11" t="s">
        <v>52</v>
      </c>
      <c r="B16" s="11" t="s">
        <v>56</v>
      </c>
      <c r="C16" s="11" t="s">
        <v>8</v>
      </c>
      <c r="D16" s="11" t="s">
        <v>8</v>
      </c>
      <c r="E16" s="11" t="s">
        <v>8</v>
      </c>
      <c r="F16" s="13">
        <v>35500</v>
      </c>
      <c r="H16" s="11">
        <v>15</v>
      </c>
      <c r="I16" s="11" t="s">
        <v>31</v>
      </c>
      <c r="J16" s="11" t="s">
        <v>40</v>
      </c>
      <c r="K16" s="11" t="s">
        <v>5</v>
      </c>
      <c r="L16" s="13">
        <f>VLOOKUP(K16,$A$2:$F$7,6,0)*VLOOKUP(H16,'Division of Water Resources Tab'!$A$3:$E$22,4,0)/VLOOKUP(K16,'Division of Water Resources Tab'!$C$25:$D$30,2,0)</f>
        <v>19245.432244087981</v>
      </c>
      <c r="M16" s="13">
        <f>VLOOKUP(K16,$A$9:$F$14,6,0)*VLOOKUP(H16,'Division of Water Resources Tab'!$A$3:$E$22,4,0)/VLOOKUP(K16,'Division of Water Resources Tab'!$C$25:$D$30,2,0)</f>
        <v>43545.494583557978</v>
      </c>
      <c r="N16" s="13">
        <f>VLOOKUP(K16,$A$16:$F$21,6,0)*VLOOKUP(H16,'Division of Water Resources Tab'!$A$3:$E$22,4,0)/VLOOKUP(K16,'Division of Water Resources Tab'!$C$25:$D$30,2,0)</f>
        <v>57714.743508547064</v>
      </c>
      <c r="S16" s="14">
        <f>(L16-$L$16)/$L$16</f>
        <v>0</v>
      </c>
      <c r="T16" s="14">
        <f t="shared" ref="T16:U16" si="20">(M16-$L$16)/$L$16</f>
        <v>1.262640507694222</v>
      </c>
      <c r="U16" s="14">
        <f t="shared" si="20"/>
        <v>1.9988800862748357</v>
      </c>
      <c r="V16" s="15"/>
    </row>
    <row r="17" spans="1:24" x14ac:dyDescent="0.25">
      <c r="A17" s="11" t="s">
        <v>1</v>
      </c>
      <c r="B17" s="11" t="s">
        <v>67</v>
      </c>
      <c r="C17" s="13">
        <f>(C21/C7)*C3</f>
        <v>10016.25948815795</v>
      </c>
      <c r="D17" s="11">
        <f>D3</f>
        <v>160</v>
      </c>
      <c r="E17" s="11">
        <f>E3</f>
        <v>77</v>
      </c>
      <c r="F17" s="13">
        <f>(E17*C17+D17*C17)*0.0000030688832459704*365</f>
        <v>2659.0539191429011</v>
      </c>
      <c r="H17" s="11">
        <v>16</v>
      </c>
      <c r="I17" s="11" t="s">
        <v>32</v>
      </c>
      <c r="J17" s="11" t="s">
        <v>40</v>
      </c>
      <c r="K17" s="11" t="s">
        <v>5</v>
      </c>
      <c r="L17" s="13">
        <f>VLOOKUP(K17,$A$2:$F$7,6,0)*VLOOKUP(H17,'Division of Water Resources Tab'!$A$3:$E$22,4,0)/VLOOKUP(K17,'Division of Water Resources Tab'!$C$25:$D$30,2,0)</f>
        <v>4981.7876381154174</v>
      </c>
      <c r="M17" s="13">
        <f>VLOOKUP(K17,$A$9:$F$14,6,0)*VLOOKUP(H17,'Division of Water Resources Tab'!$A$3:$E$22,4,0)/VLOOKUP(K17,'Division of Water Resources Tab'!$C$25:$D$30,2,0)</f>
        <v>11271.994510730268</v>
      </c>
      <c r="N17" s="13">
        <f>VLOOKUP(K17,$A$16:$F$21,6,0)*VLOOKUP(H17,'Division of Water Resources Tab'!$A$3:$E$22,4,0)/VLOOKUP(K17,'Division of Water Resources Tab'!$C$25:$D$30,2,0)</f>
        <v>14939.783741994474</v>
      </c>
      <c r="S17" s="14">
        <f>(L17-$L$17)/$L$17</f>
        <v>0</v>
      </c>
      <c r="T17" s="14">
        <f>(M17-$L$17)/$L$17</f>
        <v>1.2626405076942222</v>
      </c>
      <c r="U17" s="14">
        <f t="shared" ref="U17" si="21">(N17-$L$17)/$L$17</f>
        <v>1.9988800862748359</v>
      </c>
      <c r="V17" s="15"/>
    </row>
    <row r="18" spans="1:24" x14ac:dyDescent="0.25">
      <c r="A18" s="11" t="s">
        <v>2</v>
      </c>
      <c r="B18" s="11" t="s">
        <v>68</v>
      </c>
      <c r="C18" s="11">
        <v>633500</v>
      </c>
      <c r="D18" s="11">
        <f t="shared" ref="D18:E18" si="22">D4</f>
        <v>107</v>
      </c>
      <c r="E18" s="11">
        <f t="shared" si="22"/>
        <v>129</v>
      </c>
      <c r="F18" s="13">
        <f>(E18*C18+D18*C18)*0.0000030688832459704*365</f>
        <v>167468.00737879847</v>
      </c>
      <c r="H18" s="11">
        <v>17</v>
      </c>
      <c r="I18" s="11" t="s">
        <v>33</v>
      </c>
      <c r="J18" s="11" t="s">
        <v>41</v>
      </c>
      <c r="K18" s="11" t="s">
        <v>5</v>
      </c>
      <c r="L18" s="13">
        <f>VLOOKUP(K18,$A$2:$F$7,6,0)*VLOOKUP(H18,'Division of Water Resources Tab'!$A$3:$E$22,4,0)/VLOOKUP(K18,'Division of Water Resources Tab'!$C$25:$D$30,2,0)</f>
        <v>15863.060637156988</v>
      </c>
      <c r="M18" s="13">
        <f>VLOOKUP(K18,$A$9:$F$14,6,0)*VLOOKUP(H18,'Division of Water Resources Tab'!$A$3:$E$22,4,0)/VLOOKUP(K18,'Division of Water Resources Tab'!$C$25:$D$30,2,0)</f>
        <v>35892.403573641117</v>
      </c>
      <c r="N18" s="13">
        <f>VLOOKUP(K18,$A$16:$F$21,6,0)*VLOOKUP(H18,'Division of Water Resources Tab'!$A$3:$E$22,4,0)/VLOOKUP(K18,'Division of Water Resources Tab'!$C$25:$D$30,2,0)</f>
        <v>47571.416652140295</v>
      </c>
      <c r="S18" s="14">
        <f>(L18-$L$18)/$L$18</f>
        <v>0</v>
      </c>
      <c r="T18" s="14">
        <f t="shared" ref="T18:U18" si="23">(M18-$L$18)/$L$18</f>
        <v>1.262640507694222</v>
      </c>
      <c r="U18" s="14">
        <f t="shared" si="23"/>
        <v>1.9988800862748355</v>
      </c>
      <c r="V18" s="15"/>
    </row>
    <row r="19" spans="1:24" x14ac:dyDescent="0.25">
      <c r="A19" s="11" t="s">
        <v>3</v>
      </c>
      <c r="B19" s="11" t="s">
        <v>69</v>
      </c>
      <c r="C19" s="11">
        <v>145500</v>
      </c>
      <c r="D19" s="11">
        <f t="shared" ref="D19:E19" si="24">D5</f>
        <v>111</v>
      </c>
      <c r="E19" s="11">
        <f t="shared" si="24"/>
        <v>130</v>
      </c>
      <c r="F19" s="13">
        <f>(E19*C19+D19*C19)*0.0000030688832459704*365</f>
        <v>39278.352793474893</v>
      </c>
      <c r="H19" s="11">
        <v>18</v>
      </c>
      <c r="I19" s="11" t="s">
        <v>34</v>
      </c>
      <c r="J19" s="11" t="s">
        <v>42</v>
      </c>
      <c r="K19" s="11" t="s">
        <v>5</v>
      </c>
      <c r="L19" s="13">
        <f>VLOOKUP(K19,$A$2:$F$7,6,0)*VLOOKUP(H19,'Division of Water Resources Tab'!$A$3:$E$22,4,0)/VLOOKUP(K19,'Division of Water Resources Tab'!$C$25:$D$30,2,0)</f>
        <v>3356.1516719935444</v>
      </c>
      <c r="M19" s="13">
        <f>VLOOKUP(K19,$A$9:$F$14,6,0)*VLOOKUP(H19,'Division of Water Resources Tab'!$A$3:$E$22,4,0)/VLOOKUP(K19,'Division of Water Resources Tab'!$C$25:$D$30,2,0)</f>
        <v>7593.7647230182856</v>
      </c>
      <c r="N19" s="13">
        <f>VLOOKUP(K19,$A$16:$F$21,6,0)*VLOOKUP(H19,'Division of Water Resources Tab'!$A$3:$E$22,4,0)/VLOOKUP(K19,'Division of Water Resources Tab'!$C$25:$D$30,2,0)</f>
        <v>10064.696415659435</v>
      </c>
      <c r="S19" s="14">
        <f>(L19-$L$19)/$L$19</f>
        <v>0</v>
      </c>
      <c r="T19" s="14">
        <f t="shared" ref="T19:U19" si="25">(M19-$L$19)/$L$19</f>
        <v>1.2626405076942222</v>
      </c>
      <c r="U19" s="14">
        <f t="shared" si="25"/>
        <v>1.9988800862748359</v>
      </c>
      <c r="V19" s="15"/>
    </row>
    <row r="20" spans="1:24" x14ac:dyDescent="0.25">
      <c r="A20" s="11" t="s">
        <v>4</v>
      </c>
      <c r="B20" s="11" t="s">
        <v>70</v>
      </c>
      <c r="C20" s="11">
        <v>411000</v>
      </c>
      <c r="D20" s="11">
        <v>160</v>
      </c>
      <c r="E20" s="11">
        <f t="shared" ref="E20" si="26">E6</f>
        <v>90</v>
      </c>
      <c r="F20" s="13">
        <f>(E20*C20+D20*C20)*0.0000030688832459704*365</f>
        <v>115094.63003606237</v>
      </c>
      <c r="H20" s="11">
        <v>19</v>
      </c>
      <c r="I20" s="11" t="s">
        <v>35</v>
      </c>
      <c r="J20" s="11" t="s">
        <v>40</v>
      </c>
      <c r="K20" s="11" t="s">
        <v>5</v>
      </c>
      <c r="L20" s="13">
        <f>VLOOKUP(K20,$A$2:$F$7,6,0)*VLOOKUP(H20,'Division of Water Resources Tab'!$A$3:$E$22,4,0)/VLOOKUP(K20,'Division of Water Resources Tab'!$C$25:$D$30,2,0)</f>
        <v>4772.0281586158208</v>
      </c>
      <c r="M20" s="13">
        <f>VLOOKUP(K20,$A$9:$F$14,6,0)*VLOOKUP(H20,'Division of Water Resources Tab'!$A$3:$E$22,4,0)/VLOOKUP(K20,'Division of Water Resources Tab'!$C$25:$D$30,2,0)</f>
        <v>10797.384215541626</v>
      </c>
      <c r="N20" s="13">
        <f>VLOOKUP(K20,$A$16:$F$21,6,0)*VLOOKUP(H20,'Division of Water Resources Tab'!$A$3:$E$22,4,0)/VLOOKUP(K20,'Division of Water Resources Tab'!$C$25:$D$30,2,0)</f>
        <v>14310.740216015758</v>
      </c>
      <c r="S20" s="14">
        <f>(L20-$L$20)/$L$20</f>
        <v>0</v>
      </c>
      <c r="T20" s="19">
        <f t="shared" ref="T20:U20" si="27">(M20-$L$20)/$L$20</f>
        <v>1.2626405076942224</v>
      </c>
      <c r="U20" s="19">
        <f t="shared" si="27"/>
        <v>1.9988800862748359</v>
      </c>
      <c r="V20" s="15"/>
    </row>
    <row r="21" spans="1:24" x14ac:dyDescent="0.25">
      <c r="A21" s="12" t="s">
        <v>5</v>
      </c>
      <c r="B21" s="12" t="s">
        <v>71</v>
      </c>
      <c r="C21" s="12">
        <f>629500+93500</f>
        <v>723000</v>
      </c>
      <c r="D21" s="12">
        <f t="shared" ref="D21:E21" si="28">D7</f>
        <v>112</v>
      </c>
      <c r="E21" s="12">
        <f t="shared" si="28"/>
        <v>145</v>
      </c>
      <c r="F21" s="17">
        <f>(E21*C21+D21*C21)*0.0000030688832459704*365</f>
        <v>208134.77665820721</v>
      </c>
      <c r="G21" s="12"/>
      <c r="H21" s="12">
        <v>20</v>
      </c>
      <c r="I21" s="12" t="s">
        <v>36</v>
      </c>
      <c r="J21" s="12" t="s">
        <v>8</v>
      </c>
      <c r="K21" s="12" t="s">
        <v>13</v>
      </c>
      <c r="L21" s="13" t="e">
        <f>VLOOKUP(K21,$A$2:$F$7,6,0)*VLOOKUP(H21,'Division of Water Resources Tab'!$A$3:$E$22,4,0)/VLOOKUP(K21,'Division of Water Resources Tab'!$C$25:$D$30,2,0)</f>
        <v>#N/A</v>
      </c>
      <c r="M21" s="13" t="e">
        <f>VLOOKUP(K21,$A$9:$F$14,6,0)*VLOOKUP(H21,'Division of Water Resources Tab'!$A$3:$E$22,4,0)/VLOOKUP(K21,'Division of Water Resources Tab'!$C$25:$D$30,2,0)</f>
        <v>#N/A</v>
      </c>
      <c r="N21" s="13" t="e">
        <f>VLOOKUP(K21,$A$16:$F$21,6,0)*VLOOKUP(H21,'Division of Water Resources Tab'!$A$3:$E$22,4,0)/VLOOKUP(K21,'Division of Water Resources Tab'!$C$25:$D$30,2,0)</f>
        <v>#N/A</v>
      </c>
    </row>
    <row r="22" spans="1:24" x14ac:dyDescent="0.25">
      <c r="A22" s="16"/>
      <c r="B22" s="16" t="s">
        <v>55</v>
      </c>
      <c r="C22" s="18">
        <f>SUM(C17:C21)</f>
        <v>1923016.2594881579</v>
      </c>
      <c r="D22" s="16">
        <f t="shared" ref="D22:E22" si="29">D8</f>
        <v>117</v>
      </c>
      <c r="E22" s="16">
        <f t="shared" si="29"/>
        <v>229</v>
      </c>
      <c r="F22" s="18">
        <f>SUM(F16:F21)</f>
        <v>568134.82078568579</v>
      </c>
      <c r="G22" s="16">
        <f>(E22*C22+D22*C22)*0.0000030688832459704*365</f>
        <v>745301.998529793</v>
      </c>
      <c r="I22" s="11" t="s">
        <v>6</v>
      </c>
      <c r="Q22" s="13">
        <f>Q2+O2</f>
        <v>420872.50209844124</v>
      </c>
      <c r="S22" s="30" t="s">
        <v>78</v>
      </c>
      <c r="T22" s="30"/>
      <c r="U22" s="30"/>
      <c r="V22" s="30"/>
      <c r="W22" s="30"/>
      <c r="X22" s="30"/>
    </row>
    <row r="23" spans="1:24" x14ac:dyDescent="0.25">
      <c r="C23" s="18">
        <f>SUM(C17:C21)</f>
        <v>1923016.2594881579</v>
      </c>
      <c r="D23" s="11">
        <f>AVERAGE(D17:D21)</f>
        <v>130</v>
      </c>
      <c r="E23" s="11">
        <f>AVERAGE(E17:E21)</f>
        <v>114.2</v>
      </c>
      <c r="F23" s="13"/>
      <c r="S23" s="20" t="s">
        <v>77</v>
      </c>
      <c r="T23" s="21" t="s">
        <v>79</v>
      </c>
      <c r="U23" s="21" t="s">
        <v>2</v>
      </c>
      <c r="V23" s="21" t="s">
        <v>3</v>
      </c>
      <c r="W23" s="21" t="s">
        <v>4</v>
      </c>
      <c r="X23" s="22" t="s">
        <v>5</v>
      </c>
    </row>
    <row r="24" spans="1:24" x14ac:dyDescent="0.25">
      <c r="S24" s="23">
        <v>2015</v>
      </c>
      <c r="T24" s="11">
        <f>C3</f>
        <v>3340</v>
      </c>
      <c r="U24" s="11">
        <f>C4</f>
        <v>336100</v>
      </c>
      <c r="V24" s="11">
        <f>C5</f>
        <v>8500</v>
      </c>
      <c r="W24" s="11">
        <f>C6</f>
        <v>34930</v>
      </c>
      <c r="X24" s="24">
        <f>C7</f>
        <v>241090</v>
      </c>
    </row>
    <row r="25" spans="1:24" x14ac:dyDescent="0.25">
      <c r="S25" s="23">
        <v>2070</v>
      </c>
      <c r="T25" s="13">
        <f>C10</f>
        <v>7557.219295698701</v>
      </c>
      <c r="U25" s="11">
        <f>C11</f>
        <v>459500</v>
      </c>
      <c r="V25" s="11">
        <f>C12</f>
        <v>85000</v>
      </c>
      <c r="W25" s="11">
        <f>C13</f>
        <v>205000</v>
      </c>
      <c r="X25" s="24">
        <f>C14</f>
        <v>545500</v>
      </c>
    </row>
    <row r="26" spans="1:24" x14ac:dyDescent="0.25">
      <c r="S26" s="23">
        <v>2150</v>
      </c>
      <c r="T26" s="13">
        <f>C17</f>
        <v>10016.25948815795</v>
      </c>
      <c r="U26" s="11">
        <f>C18</f>
        <v>633500</v>
      </c>
      <c r="V26" s="11">
        <f>C19</f>
        <v>145500</v>
      </c>
      <c r="W26" s="11">
        <f>C20</f>
        <v>411000</v>
      </c>
      <c r="X26" s="24">
        <f>C21</f>
        <v>723000</v>
      </c>
    </row>
    <row r="27" spans="1:24" x14ac:dyDescent="0.25">
      <c r="S27" s="29" t="s">
        <v>78</v>
      </c>
      <c r="T27" s="11" t="str">
        <f>T23</f>
        <v>BoxElder</v>
      </c>
      <c r="U27" s="11" t="str">
        <f t="shared" ref="U27:X27" si="30">U23</f>
        <v>Davis</v>
      </c>
      <c r="V27" s="11" t="str">
        <f t="shared" si="30"/>
        <v>Morgan</v>
      </c>
      <c r="W27" s="11" t="str">
        <f t="shared" si="30"/>
        <v>Summit</v>
      </c>
      <c r="X27" s="24" t="str">
        <f t="shared" si="30"/>
        <v>Weber</v>
      </c>
    </row>
    <row r="28" spans="1:24" x14ac:dyDescent="0.25">
      <c r="S28" s="23">
        <v>2015</v>
      </c>
      <c r="T28" s="19">
        <f>(T24-$T$24)/$T$24</f>
        <v>0</v>
      </c>
      <c r="U28" s="19">
        <f>(U24-$U$24)/$U$24</f>
        <v>0</v>
      </c>
      <c r="V28" s="19">
        <f>(V24-$V$24)/$V$24</f>
        <v>0</v>
      </c>
      <c r="W28" s="19">
        <f>(W24-$W$24)/$W$24</f>
        <v>0</v>
      </c>
      <c r="X28" s="25">
        <f>(X24-$X$24)/$X$24</f>
        <v>0</v>
      </c>
    </row>
    <row r="29" spans="1:24" x14ac:dyDescent="0.25">
      <c r="S29" s="23">
        <v>2070</v>
      </c>
      <c r="T29" s="19">
        <f>(T25-$T$24)/$T$24</f>
        <v>1.2626405076942218</v>
      </c>
      <c r="U29" s="19">
        <f>(U25-$U$24)/$U$24</f>
        <v>0.36715263314489738</v>
      </c>
      <c r="V29" s="19">
        <f>(V25-$V$24)/$V$24</f>
        <v>9</v>
      </c>
      <c r="W29" s="19">
        <f>(W25-$W$24)/$W$24</f>
        <v>4.8688806183796167</v>
      </c>
      <c r="X29" s="25">
        <f>(X25-$X$24)/$X$24</f>
        <v>1.262640507694222</v>
      </c>
    </row>
    <row r="30" spans="1:24" x14ac:dyDescent="0.25">
      <c r="S30" s="26">
        <v>2150</v>
      </c>
      <c r="T30" s="27">
        <f>(T26-$T$24)/$T$24</f>
        <v>1.9988800862748353</v>
      </c>
      <c r="U30" s="27">
        <f>(U26-$U$24)/$U$24</f>
        <v>0.88485569770901518</v>
      </c>
      <c r="V30" s="27">
        <f>(V26-$V$24)/$V$24</f>
        <v>16.117647058823529</v>
      </c>
      <c r="W30" s="27">
        <f>(W26-$W$24)/$W$24</f>
        <v>10.766389922702547</v>
      </c>
      <c r="X30" s="28">
        <f>(X26-$X$24)/$X$24</f>
        <v>1.998880086274835</v>
      </c>
    </row>
  </sheetData>
  <mergeCells count="1">
    <mergeCell ref="S22:X22"/>
  </mergeCells>
  <conditionalFormatting sqref="L3:L21 M4:N21 N3:N21 L2:N2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{AC5EBD1A-54C4-4B03-BF1D-0A5D59461C5F}</x14:id>
        </ext>
      </extLst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F2:F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{64A73702-F37B-4F71-B947-26DF1B51A77A}</x14:id>
        </ext>
      </extLst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L2:N2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{6E97B215-39F3-4D0F-9596-0E96DF4A2410}</x14:id>
        </ext>
      </extLst>
    </cfRule>
  </conditionalFormatting>
  <conditionalFormatting sqref="F9:F14">
    <cfRule type="colorScale" priority="11">
      <colorScale>
        <cfvo type="min"/>
        <cfvo type="max"/>
        <color rgb="FFFCFCFF"/>
        <color rgb="FF63BE7B"/>
      </colorScale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{DD75077D-E568-461F-BD53-52BE320FF5D2}</x14:id>
        </ext>
      </extLst>
    </cfRule>
  </conditionalFormatting>
  <conditionalFormatting sqref="F16:F21 F23">
    <cfRule type="colorScale" priority="9">
      <colorScale>
        <cfvo type="min"/>
        <cfvo type="max"/>
        <color rgb="FFFCFCFF"/>
        <color rgb="FF63BE7B"/>
      </colorScale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{207E0545-BAEE-4D1F-AF87-46C337BAD39D}</x14:id>
        </ext>
      </extLst>
    </cfRule>
  </conditionalFormatting>
  <conditionalFormatting sqref="N3:N2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{7DEEB89F-7CD6-423C-97ED-1EAEFAA8F596}</x14:id>
        </ext>
      </extLst>
    </cfRule>
    <cfRule type="colorScale" priority="7">
      <colorScale>
        <cfvo type="min"/>
        <cfvo type="max"/>
        <color rgb="FFFCFCFF"/>
        <color rgb="FF63BE7B"/>
      </colorScale>
    </cfRule>
  </conditionalFormatting>
  <conditionalFormatting sqref="M3:M2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{24ABA15B-2355-471C-9153-7EDDFEA1DAC4}</x14:id>
        </ext>
      </extLst>
    </cfRule>
  </conditionalFormatting>
  <conditionalFormatting sqref="T24:X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:X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U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5EBD1A-54C4-4B03-BF1D-0A5D59461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L3:L21 M4:N21 N3:N21 L2:N20</xm:sqref>
        </x14:conditionalFormatting>
        <x14:conditionalFormatting xmlns:xm="http://schemas.microsoft.com/office/excel/2006/main">
          <x14:cfRule type="dataBar" id="{64A73702-F37B-4F71-B947-26DF1B51A7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6E97B215-39F3-4D0F-9596-0E96DF4A24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L2:N21</xm:sqref>
        </x14:conditionalFormatting>
        <x14:conditionalFormatting xmlns:xm="http://schemas.microsoft.com/office/excel/2006/main">
          <x14:cfRule type="dataBar" id="{DD75077D-E568-461F-BD53-52BE320FF5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F9:F14</xm:sqref>
        </x14:conditionalFormatting>
        <x14:conditionalFormatting xmlns:xm="http://schemas.microsoft.com/office/excel/2006/main">
          <x14:cfRule type="dataBar" id="{207E0545-BAEE-4D1F-AF87-46C337BAD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F16:F21 F23</xm:sqref>
        </x14:conditionalFormatting>
        <x14:conditionalFormatting xmlns:xm="http://schemas.microsoft.com/office/excel/2006/main">
          <x14:cfRule type="dataBar" id="{7DEEB89F-7CD6-423C-97ED-1EAEFAA8F5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N3:N20</xm:sqref>
        </x14:conditionalFormatting>
        <x14:conditionalFormatting xmlns:xm="http://schemas.microsoft.com/office/excel/2006/main">
          <x14:cfRule type="dataBar" id="{24ABA15B-2355-471C-9153-7EDDFEA1DA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0DC5-6548-4E3C-9AF3-821F5B0E7632}">
  <dimension ref="A1:R8"/>
  <sheetViews>
    <sheetView workbookViewId="0">
      <selection activeCell="L10" sqref="L10"/>
    </sheetView>
  </sheetViews>
  <sheetFormatPr defaultRowHeight="15" x14ac:dyDescent="0.25"/>
  <sheetData>
    <row r="1" spans="1:18" x14ac:dyDescent="0.25">
      <c r="A1" s="2" t="s">
        <v>50</v>
      </c>
      <c r="B1" s="3" t="s">
        <v>0</v>
      </c>
      <c r="C1" s="3" t="s">
        <v>7</v>
      </c>
      <c r="D1" s="3" t="s">
        <v>9</v>
      </c>
      <c r="E1" s="3" t="s">
        <v>10</v>
      </c>
      <c r="F1" s="4" t="s">
        <v>11</v>
      </c>
      <c r="G1" s="2" t="s">
        <v>51</v>
      </c>
      <c r="H1" s="3" t="s">
        <v>0</v>
      </c>
      <c r="I1" s="3" t="s">
        <v>7</v>
      </c>
      <c r="J1" s="3" t="s">
        <v>9</v>
      </c>
      <c r="K1" s="3" t="s">
        <v>10</v>
      </c>
      <c r="L1" s="4" t="s">
        <v>11</v>
      </c>
      <c r="M1" s="2" t="s">
        <v>52</v>
      </c>
      <c r="N1" s="3" t="s">
        <v>0</v>
      </c>
      <c r="O1" s="3" t="s">
        <v>7</v>
      </c>
      <c r="P1" s="3" t="s">
        <v>9</v>
      </c>
      <c r="Q1" s="3" t="s">
        <v>10</v>
      </c>
      <c r="R1" s="4" t="s">
        <v>11</v>
      </c>
    </row>
    <row r="2" spans="1:18" x14ac:dyDescent="0.25">
      <c r="A2" s="5">
        <v>1</v>
      </c>
      <c r="B2" t="s">
        <v>14</v>
      </c>
      <c r="C2" t="s">
        <v>8</v>
      </c>
      <c r="D2" t="s">
        <v>8</v>
      </c>
      <c r="E2" t="s">
        <v>8</v>
      </c>
      <c r="F2" s="6">
        <v>35500</v>
      </c>
      <c r="G2" s="5">
        <v>1</v>
      </c>
      <c r="H2" t="s">
        <v>14</v>
      </c>
      <c r="I2" t="s">
        <v>8</v>
      </c>
      <c r="J2" t="s">
        <v>8</v>
      </c>
      <c r="K2" t="s">
        <v>8</v>
      </c>
      <c r="L2" s="6">
        <v>35500</v>
      </c>
      <c r="M2" s="5">
        <v>1</v>
      </c>
      <c r="N2" t="s">
        <v>14</v>
      </c>
      <c r="O2" t="s">
        <v>8</v>
      </c>
      <c r="P2" t="s">
        <v>8</v>
      </c>
      <c r="Q2" t="s">
        <v>8</v>
      </c>
      <c r="R2" s="6">
        <v>35500</v>
      </c>
    </row>
    <row r="3" spans="1:18" x14ac:dyDescent="0.25">
      <c r="A3" s="5">
        <v>2</v>
      </c>
      <c r="B3" t="s">
        <v>1</v>
      </c>
      <c r="C3">
        <v>3340</v>
      </c>
      <c r="D3">
        <v>160</v>
      </c>
      <c r="E3">
        <v>77</v>
      </c>
      <c r="F3" s="6">
        <f>(E3*C3+D3*C3)*0.0000030688832459704*365</f>
        <v>886.68230894351598</v>
      </c>
      <c r="G3" s="5">
        <v>2</v>
      </c>
      <c r="H3" t="s">
        <v>1</v>
      </c>
      <c r="I3">
        <f>978500*(C3/$C$8)</f>
        <v>5237.8197320341042</v>
      </c>
      <c r="J3">
        <v>160</v>
      </c>
      <c r="K3">
        <v>77</v>
      </c>
      <c r="L3" s="6">
        <f>(K3*I3+J3*I3)*0.0000030688832459704*365</f>
        <v>1390.5036209071579</v>
      </c>
      <c r="M3" s="5">
        <v>2</v>
      </c>
      <c r="N3" t="s">
        <v>1</v>
      </c>
      <c r="O3">
        <f>1263000*(C3/$C$8)</f>
        <v>6760.7218411436625</v>
      </c>
      <c r="P3">
        <v>160</v>
      </c>
      <c r="Q3">
        <v>77</v>
      </c>
      <c r="R3" s="6">
        <f>(Q3*O3+P3*O3)*0.0000030688832459704*365</f>
        <v>1794.7941473742876</v>
      </c>
    </row>
    <row r="4" spans="1:18" x14ac:dyDescent="0.25">
      <c r="A4" s="5">
        <v>3</v>
      </c>
      <c r="B4" t="s">
        <v>2</v>
      </c>
      <c r="C4">
        <v>336100</v>
      </c>
      <c r="D4">
        <v>107</v>
      </c>
      <c r="E4">
        <v>129</v>
      </c>
      <c r="F4" s="6">
        <f>(E4*C4+D4*C4)*0.0000030688832459704*365</f>
        <v>88849.245903731906</v>
      </c>
      <c r="G4" s="5">
        <v>3</v>
      </c>
      <c r="H4" t="s">
        <v>2</v>
      </c>
      <c r="I4">
        <f>978500*(C4/$C$8)</f>
        <v>527075.21315468941</v>
      </c>
      <c r="J4">
        <v>107</v>
      </c>
      <c r="K4">
        <v>129</v>
      </c>
      <c r="L4" s="6">
        <f>(K4*I4+J4*I4)*0.0000030688832459704*365</f>
        <v>139334.23154817885</v>
      </c>
      <c r="M4" s="5">
        <v>3</v>
      </c>
      <c r="N4" t="s">
        <v>2</v>
      </c>
      <c r="O4">
        <f t="shared" ref="O4:O7" si="0">1263000*(C4/$C$8)</f>
        <v>680322.9373677799</v>
      </c>
      <c r="P4">
        <v>107</v>
      </c>
      <c r="Q4">
        <v>129</v>
      </c>
      <c r="R4" s="6">
        <f>(Q4*O4+P4*O4)*0.0000030688832459704*365</f>
        <v>179845.81956601932</v>
      </c>
    </row>
    <row r="5" spans="1:18" x14ac:dyDescent="0.25">
      <c r="A5" s="5">
        <v>4</v>
      </c>
      <c r="B5" t="s">
        <v>3</v>
      </c>
      <c r="C5">
        <v>8500</v>
      </c>
      <c r="D5">
        <v>111</v>
      </c>
      <c r="E5">
        <v>130</v>
      </c>
      <c r="F5" s="6">
        <f t="shared" ref="F5:F7" si="1">(E5*C5+D5*C5)*0.0000030688832459704*365</f>
        <v>2294.6116752201829</v>
      </c>
      <c r="G5" s="5">
        <v>4</v>
      </c>
      <c r="H5" t="s">
        <v>3</v>
      </c>
      <c r="I5">
        <f t="shared" ref="I5:I7" si="2">978500*(C5/$C$8)</f>
        <v>13329.780755176613</v>
      </c>
      <c r="J5">
        <v>111</v>
      </c>
      <c r="K5">
        <v>130</v>
      </c>
      <c r="L5" s="6">
        <f t="shared" ref="L5:L7" si="3">(K5*I5+J5*I5)*0.0000030688832459704*365</f>
        <v>3598.4318292886542</v>
      </c>
      <c r="M5" s="5">
        <v>4</v>
      </c>
      <c r="N5" t="s">
        <v>3</v>
      </c>
      <c r="O5">
        <f t="shared" si="0"/>
        <v>17205.42983524585</v>
      </c>
      <c r="P5">
        <v>111</v>
      </c>
      <c r="Q5">
        <v>130</v>
      </c>
      <c r="R5" s="6">
        <f t="shared" ref="R5:R7" si="4">(Q5*O5+P5*O5)*0.0000030688832459704*365</f>
        <v>4644.6800208396235</v>
      </c>
    </row>
    <row r="6" spans="1:18" x14ac:dyDescent="0.25">
      <c r="A6" s="5">
        <v>5</v>
      </c>
      <c r="B6" t="s">
        <v>4</v>
      </c>
      <c r="C6">
        <v>34930</v>
      </c>
      <c r="D6">
        <v>256</v>
      </c>
      <c r="E6">
        <v>90</v>
      </c>
      <c r="F6" s="6">
        <f t="shared" si="1"/>
        <v>13537.79443111671</v>
      </c>
      <c r="G6" s="5">
        <v>5</v>
      </c>
      <c r="H6" t="s">
        <v>4</v>
      </c>
      <c r="I6">
        <f t="shared" si="2"/>
        <v>54777.557856272833</v>
      </c>
      <c r="J6">
        <v>256</v>
      </c>
      <c r="K6">
        <v>90</v>
      </c>
      <c r="L6" s="6">
        <f t="shared" si="3"/>
        <v>21230.097844169017</v>
      </c>
      <c r="M6" s="5">
        <v>5</v>
      </c>
      <c r="N6" t="s">
        <v>4</v>
      </c>
      <c r="O6">
        <f t="shared" si="0"/>
        <v>70704.195781780872</v>
      </c>
      <c r="P6">
        <v>256</v>
      </c>
      <c r="Q6">
        <v>90</v>
      </c>
      <c r="R6" s="6">
        <f t="shared" si="4"/>
        <v>27402.773201007119</v>
      </c>
    </row>
    <row r="7" spans="1:18" ht="15.75" thickBot="1" x14ac:dyDescent="0.3">
      <c r="A7" s="7">
        <v>6</v>
      </c>
      <c r="B7" s="8" t="s">
        <v>5</v>
      </c>
      <c r="C7" s="8">
        <v>241090</v>
      </c>
      <c r="D7" s="8">
        <v>112</v>
      </c>
      <c r="E7" s="8">
        <v>145</v>
      </c>
      <c r="F7" s="9">
        <f t="shared" si="1"/>
        <v>69404.167779429001</v>
      </c>
      <c r="G7" s="7">
        <v>6</v>
      </c>
      <c r="H7" s="8" t="s">
        <v>5</v>
      </c>
      <c r="I7" s="8">
        <f t="shared" si="2"/>
        <v>378079.62850182701</v>
      </c>
      <c r="J7" s="8">
        <v>112</v>
      </c>
      <c r="K7" s="8">
        <v>145</v>
      </c>
      <c r="L7" s="9">
        <f t="shared" si="3"/>
        <v>108840.27529356253</v>
      </c>
      <c r="M7" s="7">
        <v>6</v>
      </c>
      <c r="N7" s="8" t="s">
        <v>5</v>
      </c>
      <c r="O7" s="8">
        <f t="shared" si="0"/>
        <v>488006.7151740496</v>
      </c>
      <c r="P7" s="8">
        <v>112</v>
      </c>
      <c r="Q7" s="8">
        <v>145</v>
      </c>
      <c r="R7" s="9">
        <f t="shared" si="4"/>
        <v>140485.71047089368</v>
      </c>
    </row>
    <row r="8" spans="1:18" x14ac:dyDescent="0.25">
      <c r="B8" t="s">
        <v>6</v>
      </c>
      <c r="C8">
        <v>623960</v>
      </c>
      <c r="D8">
        <v>117</v>
      </c>
      <c r="E8">
        <v>132</v>
      </c>
      <c r="F8" s="1">
        <f>(E8*C8+D8*C8)*0.0000030688832459704*356</f>
        <v>169740.88442496106</v>
      </c>
      <c r="H8" t="s">
        <v>6</v>
      </c>
      <c r="I8">
        <f>SUM(I3:I7)</f>
        <v>978499.99999999988</v>
      </c>
      <c r="J8">
        <v>117</v>
      </c>
      <c r="K8">
        <v>132</v>
      </c>
      <c r="L8" s="1">
        <f>(K8*I8+J8*I8)*0.0000030688832459704*356</f>
        <v>266189.26759700041</v>
      </c>
      <c r="N8" t="s">
        <v>6</v>
      </c>
      <c r="O8">
        <f>SUM(O3:O7)</f>
        <v>1263000</v>
      </c>
      <c r="P8">
        <v>117</v>
      </c>
      <c r="Q8">
        <v>132</v>
      </c>
      <c r="R8" s="1">
        <f>(Q8*O8+P8*O8)*0.0000030688832459704*356</f>
        <v>343584.10319367558</v>
      </c>
    </row>
  </sheetData>
  <conditionalFormatting sqref="F2:F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{C110BC28-77A7-4722-BF4C-636A4DC185C0}</x14:id>
        </ext>
      </extLst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L2:L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{5CF8A21D-0A38-4063-86FB-7C391F79BEE6}</x14:id>
        </ext>
      </extLst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R2:R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{4DDB075B-8660-4C52-864E-651B302FF248}</x14:id>
        </ext>
      </extLst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10BC28-77A7-4722-BF4C-636A4DC185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5CF8A21D-0A38-4063-86FB-7C391F79BE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L2:L7</xm:sqref>
        </x14:conditionalFormatting>
        <x14:conditionalFormatting xmlns:xm="http://schemas.microsoft.com/office/excel/2006/main">
          <x14:cfRule type="dataBar" id="{4DDB075B-8660-4C52-864E-651B302FF2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R2:R7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FE4D-9194-46C5-A442-F6C391B760A3}">
  <dimension ref="A1:F31"/>
  <sheetViews>
    <sheetView topLeftCell="A21" workbookViewId="0">
      <selection activeCell="C22" sqref="C22"/>
    </sheetView>
  </sheetViews>
  <sheetFormatPr defaultRowHeight="15" x14ac:dyDescent="0.25"/>
  <cols>
    <col min="2" max="2" width="32.7109375" bestFit="1" customWidth="1"/>
    <col min="3" max="3" width="22.5703125" bestFit="1" customWidth="1"/>
  </cols>
  <sheetData>
    <row r="1" spans="1:6" x14ac:dyDescent="0.25">
      <c r="A1" t="s">
        <v>43</v>
      </c>
    </row>
    <row r="2" spans="1:6" x14ac:dyDescent="0.25">
      <c r="A2" t="s">
        <v>12</v>
      </c>
      <c r="B2" t="str">
        <f>Sheet1!I1</f>
        <v>Description</v>
      </c>
      <c r="C2" t="str">
        <f>Sheet1!K1</f>
        <v>Service Areas by County</v>
      </c>
      <c r="D2" t="s">
        <v>44</v>
      </c>
      <c r="E2" t="s">
        <v>45</v>
      </c>
      <c r="F2" t="s">
        <v>46</v>
      </c>
    </row>
    <row r="3" spans="1:6" x14ac:dyDescent="0.25">
      <c r="A3">
        <v>1</v>
      </c>
      <c r="B3" t="str">
        <f>Sheet1!I2</f>
        <v>Weber Provo Division Canal</v>
      </c>
      <c r="C3" t="str">
        <f>Sheet1!K2</f>
        <v>Utah</v>
      </c>
      <c r="D3">
        <v>35500</v>
      </c>
      <c r="E3">
        <v>67700</v>
      </c>
    </row>
    <row r="4" spans="1:6" x14ac:dyDescent="0.25">
      <c r="A4">
        <v>2</v>
      </c>
      <c r="B4" t="str">
        <f>Sheet1!I3</f>
        <v>Oakley to Wanship</v>
      </c>
      <c r="C4" t="str">
        <f>Sheet1!K3</f>
        <v>Summit</v>
      </c>
      <c r="D4">
        <v>31300</v>
      </c>
      <c r="E4">
        <v>40600</v>
      </c>
    </row>
    <row r="5" spans="1:6" x14ac:dyDescent="0.25">
      <c r="A5">
        <v>3</v>
      </c>
      <c r="B5" t="str">
        <f>Sheet1!I4</f>
        <v>Wanship to Echo</v>
      </c>
      <c r="C5" t="str">
        <f>Sheet1!K4</f>
        <v>Summit</v>
      </c>
      <c r="D5">
        <v>10800</v>
      </c>
      <c r="E5">
        <v>12700</v>
      </c>
    </row>
    <row r="6" spans="1:6" x14ac:dyDescent="0.25">
      <c r="A6">
        <v>4</v>
      </c>
      <c r="B6" t="str">
        <f>Sheet1!I5</f>
        <v>Echo to Devils Slide</v>
      </c>
      <c r="C6" t="str">
        <f>Sheet1!K5</f>
        <v>Morgan</v>
      </c>
      <c r="D6">
        <v>9000</v>
      </c>
      <c r="E6">
        <v>9800</v>
      </c>
    </row>
    <row r="7" spans="1:6" x14ac:dyDescent="0.25">
      <c r="A7">
        <v>5</v>
      </c>
      <c r="B7" t="str">
        <f>Sheet1!I6</f>
        <v>Lost Creek</v>
      </c>
      <c r="C7" t="str">
        <f>Sheet1!K6</f>
        <v>Morgan</v>
      </c>
      <c r="D7">
        <v>6300</v>
      </c>
      <c r="E7">
        <v>8600</v>
      </c>
    </row>
    <row r="8" spans="1:6" x14ac:dyDescent="0.25">
      <c r="A8">
        <v>6</v>
      </c>
      <c r="B8" t="str">
        <f>Sheet1!I7</f>
        <v>Devils Slide to Stoddard</v>
      </c>
      <c r="C8" t="str">
        <f>Sheet1!K7</f>
        <v>Morgan</v>
      </c>
      <c r="D8">
        <v>21700</v>
      </c>
      <c r="E8">
        <v>24900</v>
      </c>
    </row>
    <row r="9" spans="1:6" x14ac:dyDescent="0.25">
      <c r="A9">
        <v>7</v>
      </c>
      <c r="B9" t="str">
        <f>Sheet1!I8</f>
        <v>Park City</v>
      </c>
      <c r="C9" t="str">
        <f>Sheet1!K8</f>
        <v>Summit</v>
      </c>
      <c r="D9">
        <v>6600</v>
      </c>
      <c r="E9">
        <v>6600</v>
      </c>
    </row>
    <row r="10" spans="1:6" x14ac:dyDescent="0.25">
      <c r="A10">
        <v>8</v>
      </c>
      <c r="B10" t="str">
        <f>Sheet1!I9</f>
        <v>East Canyon</v>
      </c>
      <c r="C10" t="str">
        <f>Sheet1!K9</f>
        <v>Morgan</v>
      </c>
      <c r="D10">
        <v>10800</v>
      </c>
      <c r="E10">
        <v>13000</v>
      </c>
    </row>
    <row r="11" spans="1:6" x14ac:dyDescent="0.25">
      <c r="A11">
        <v>9</v>
      </c>
      <c r="B11" t="str">
        <f>Sheet1!I10</f>
        <v>Stoddard to Gateway</v>
      </c>
      <c r="C11" t="str">
        <f>Sheet1!K10</f>
        <v>Morgan</v>
      </c>
      <c r="D11">
        <v>1500</v>
      </c>
      <c r="E11">
        <v>1800</v>
      </c>
    </row>
    <row r="12" spans="1:6" x14ac:dyDescent="0.25">
      <c r="A12">
        <v>10</v>
      </c>
      <c r="B12" t="str">
        <f>Sheet1!I11</f>
        <v>Gateway Canal</v>
      </c>
      <c r="C12" t="str">
        <f>Sheet1!K11</f>
        <v>Davis</v>
      </c>
      <c r="D12">
        <v>88600</v>
      </c>
      <c r="E12">
        <v>101000</v>
      </c>
    </row>
    <row r="13" spans="1:6" x14ac:dyDescent="0.25">
      <c r="A13">
        <v>11</v>
      </c>
      <c r="B13" t="str">
        <f>Sheet1!I12</f>
        <v>Davis Weber Canal</v>
      </c>
      <c r="C13" t="str">
        <f>Sheet1!K12</f>
        <v>Davis</v>
      </c>
      <c r="D13">
        <v>61900</v>
      </c>
      <c r="E13">
        <v>82500</v>
      </c>
    </row>
    <row r="14" spans="1:6" x14ac:dyDescent="0.25">
      <c r="A14">
        <v>12</v>
      </c>
      <c r="B14" t="str">
        <f>Sheet1!I13</f>
        <v>Weber Basin Project Ogden Valley</v>
      </c>
      <c r="C14" t="str">
        <f>Sheet1!K13</f>
        <v>Weber</v>
      </c>
      <c r="D14">
        <v>26800</v>
      </c>
      <c r="E14">
        <v>31700</v>
      </c>
    </row>
    <row r="15" spans="1:6" x14ac:dyDescent="0.25">
      <c r="A15">
        <v>13</v>
      </c>
      <c r="B15" t="str">
        <f>Sheet1!I14</f>
        <v>Ogden Brigham and S Ogden Valley</v>
      </c>
      <c r="C15" t="str">
        <f>Sheet1!K14</f>
        <v>Weber</v>
      </c>
      <c r="D15">
        <v>30700</v>
      </c>
      <c r="E15">
        <v>34400</v>
      </c>
    </row>
    <row r="16" spans="1:6" x14ac:dyDescent="0.25">
      <c r="A16">
        <v>14</v>
      </c>
      <c r="B16" t="str">
        <f>Sheet1!I15</f>
        <v>Ogden River Below Pineview</v>
      </c>
      <c r="C16" t="str">
        <f>Sheet1!K15</f>
        <v>Weber</v>
      </c>
      <c r="D16">
        <v>23300</v>
      </c>
      <c r="E16">
        <v>26700</v>
      </c>
    </row>
    <row r="17" spans="1:5" x14ac:dyDescent="0.25">
      <c r="A17">
        <v>15</v>
      </c>
      <c r="B17" t="str">
        <f>Sheet1!I16</f>
        <v>Slaterville</v>
      </c>
      <c r="C17" t="str">
        <f>Sheet1!K16</f>
        <v>Weber</v>
      </c>
      <c r="D17">
        <v>73400</v>
      </c>
      <c r="E17">
        <v>102500</v>
      </c>
    </row>
    <row r="18" spans="1:5" x14ac:dyDescent="0.25">
      <c r="A18">
        <v>16</v>
      </c>
      <c r="B18" t="str">
        <f>Sheet1!I17</f>
        <v>Warren Canal</v>
      </c>
      <c r="C18" t="str">
        <f>Sheet1!K17</f>
        <v>Weber</v>
      </c>
      <c r="D18">
        <v>19000</v>
      </c>
      <c r="E18">
        <v>23200</v>
      </c>
    </row>
    <row r="19" spans="1:5" x14ac:dyDescent="0.25">
      <c r="A19">
        <v>17</v>
      </c>
      <c r="B19" t="str">
        <f>Sheet1!I18</f>
        <v>Ogden Bay Bird Refuge</v>
      </c>
      <c r="C19" t="str">
        <f>Sheet1!K18</f>
        <v>Weber</v>
      </c>
      <c r="D19">
        <v>60500</v>
      </c>
      <c r="E19">
        <v>60500</v>
      </c>
    </row>
    <row r="20" spans="1:5" x14ac:dyDescent="0.25">
      <c r="A20">
        <v>18</v>
      </c>
      <c r="B20" t="str">
        <f>Sheet1!I19</f>
        <v>GSL Minerals</v>
      </c>
      <c r="C20" t="str">
        <f>Sheet1!K19</f>
        <v>Weber</v>
      </c>
      <c r="D20">
        <v>12800</v>
      </c>
      <c r="E20">
        <v>17100</v>
      </c>
    </row>
    <row r="21" spans="1:5" x14ac:dyDescent="0.25">
      <c r="A21">
        <v>19</v>
      </c>
      <c r="B21" t="str">
        <f>Sheet1!I20</f>
        <v>Gateway to Slaterville</v>
      </c>
      <c r="C21" t="str">
        <f>Sheet1!K20</f>
        <v>Weber</v>
      </c>
      <c r="D21">
        <v>18200</v>
      </c>
      <c r="E21">
        <v>24300</v>
      </c>
    </row>
    <row r="22" spans="1:5" x14ac:dyDescent="0.25">
      <c r="A22">
        <v>20</v>
      </c>
      <c r="B22" t="str">
        <f>Sheet1!I21</f>
        <v>Additional WB Demand</v>
      </c>
      <c r="C22" t="str">
        <f>Sheet1!K21</f>
        <v>Future</v>
      </c>
      <c r="D22">
        <v>0</v>
      </c>
      <c r="E22">
        <v>0</v>
      </c>
    </row>
    <row r="24" spans="1:5" x14ac:dyDescent="0.25">
      <c r="C24" t="s">
        <v>0</v>
      </c>
      <c r="D24" t="s">
        <v>47</v>
      </c>
      <c r="E24" t="s">
        <v>72</v>
      </c>
    </row>
    <row r="25" spans="1:5" x14ac:dyDescent="0.25">
      <c r="C25" t="s">
        <v>14</v>
      </c>
      <c r="D25">
        <f>SUMIF($C$3:$C$22,C25,$D$3:$D$22)</f>
        <v>35500</v>
      </c>
      <c r="E25">
        <f t="shared" ref="E25:E30" si="0">SUMIF($C$3:$C$22,C25,$E$3:$E$22)</f>
        <v>67700</v>
      </c>
    </row>
    <row r="26" spans="1:5" x14ac:dyDescent="0.25">
      <c r="C26" t="s">
        <v>4</v>
      </c>
      <c r="D26">
        <f t="shared" ref="D26:D30" si="1">SUMIF($C$3:$C$22,C26,$D$3:$D$22)</f>
        <v>48700</v>
      </c>
      <c r="E26">
        <f t="shared" si="0"/>
        <v>59900</v>
      </c>
    </row>
    <row r="27" spans="1:5" x14ac:dyDescent="0.25">
      <c r="C27" t="s">
        <v>3</v>
      </c>
      <c r="D27">
        <f t="shared" si="1"/>
        <v>49300</v>
      </c>
      <c r="E27">
        <f t="shared" si="0"/>
        <v>58100</v>
      </c>
    </row>
    <row r="28" spans="1:5" x14ac:dyDescent="0.25">
      <c r="C28" t="s">
        <v>2</v>
      </c>
      <c r="D28">
        <f t="shared" si="1"/>
        <v>150500</v>
      </c>
      <c r="E28">
        <f t="shared" si="0"/>
        <v>183500</v>
      </c>
    </row>
    <row r="29" spans="1:5" x14ac:dyDescent="0.25">
      <c r="C29" t="s">
        <v>5</v>
      </c>
      <c r="D29">
        <f>SUMIF($C$3:$C$22,C29,$D$3:$D$22)</f>
        <v>264700</v>
      </c>
      <c r="E29">
        <f t="shared" si="0"/>
        <v>320400</v>
      </c>
    </row>
    <row r="30" spans="1:5" x14ac:dyDescent="0.25">
      <c r="C30" t="s">
        <v>1</v>
      </c>
      <c r="D30">
        <f t="shared" si="1"/>
        <v>0</v>
      </c>
      <c r="E30">
        <f t="shared" si="0"/>
        <v>0</v>
      </c>
    </row>
    <row r="31" spans="1:5" x14ac:dyDescent="0.25">
      <c r="E31">
        <f>SUM(E25:E30)</f>
        <v>689600</v>
      </c>
    </row>
  </sheetData>
  <conditionalFormatting sqref="D25:D3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{A4A2EB05-75BC-40F9-A893-1DCA44460603}</x14:id>
        </ext>
      </extLst>
    </cfRule>
  </conditionalFormatting>
  <conditionalFormatting sqref="D3:D2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{28E4785A-A204-430C-A441-5DA439787F99}</x14:id>
        </ext>
      </extLst>
    </cfRule>
  </conditionalFormatting>
  <conditionalFormatting sqref="E25:E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{0E004A63-D67A-4EC9-B97F-78DC5E4DC93F}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A2EB05-75BC-40F9-A893-1DCA44460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D25:D30</xm:sqref>
        </x14:conditionalFormatting>
        <x14:conditionalFormatting xmlns:xm="http://schemas.microsoft.com/office/excel/2006/main">
          <x14:cfRule type="dataBar" id="{28E4785A-A204-430C-A441-5DA439787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D3:D22</xm:sqref>
        </x14:conditionalFormatting>
        <x14:conditionalFormatting xmlns:xm="http://schemas.microsoft.com/office/excel/2006/main">
          <x14:cfRule type="dataBar" id="{0E004A63-D67A-4EC9-B97F-78DC5E4DC9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E25:E31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Division of Water Resources 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2019-02-15T20:34:01Z</dcterms:created>
  <dcterms:modified xsi:type="dcterms:W3CDTF">2019-03-27T21:04:49Z</dcterms:modified>
</cp:coreProperties>
</file>