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jacobh/Downloads/"/>
    </mc:Choice>
  </mc:AlternateContent>
  <xr:revisionPtr revIDLastSave="0" documentId="13_ncr:1_{1015A705-8BB3-7248-869F-7E2DF212202B}" xr6:coauthVersionLast="47" xr6:coauthVersionMax="47" xr10:uidLastSave="{00000000-0000-0000-0000-000000000000}"/>
  <bookViews>
    <workbookView xWindow="0" yWindow="0" windowWidth="51200" windowHeight="28800" tabRatio="869" activeTab="7" xr2:uid="{9851DBC3-F31E-45DE-A809-7470F3D7161A}"/>
  </bookViews>
  <sheets>
    <sheet name="Precedents - Can Delete" sheetId="13" state="hidden" r:id="rId1"/>
    <sheet name="Problem" sheetId="20" r:id="rId2"/>
    <sheet name="Precedents - Buyer Case" sheetId="12" r:id="rId3"/>
    <sheet name="Precedents - Seller Case" sheetId="17" r:id="rId4"/>
    <sheet name="Comps - Buyer Case" sheetId="11" r:id="rId5"/>
    <sheet name="Comps - Seller Case " sheetId="14" r:id="rId6"/>
    <sheet name="DCF Model - Buyer Case" sheetId="15" r:id="rId7"/>
    <sheet name="DCF Model - Seller Case" sheetId="21" r:id="rId8"/>
    <sheet name="Precedents" sheetId="1" state="hidden" r:id="rId9"/>
    <sheet name="Comps Analysis - Buyer Case" sheetId="10" state="hidden" r:id="rId10"/>
    <sheet name="Comps Analysis - Seller Case" sheetId="3" state="hidden" r:id="rId11"/>
    <sheet name="Data Validation Sheet" sheetId="16" state="hidden" r:id="rId12"/>
    <sheet name="Final Share Price Range" sheetId="23" r:id="rId13"/>
    <sheet name="DCF Model" sheetId="2" state="hidden" r:id="rId14"/>
    <sheet name="DCF Dataset" sheetId="4" state="hidden" r:id="rId15"/>
    <sheet name="DCF NWC" sheetId="5" state="hidden" r:id="rId16"/>
    <sheet name="Sheet1" sheetId="8" state="hidden"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4" i="15" l="1"/>
  <c r="D42" i="21" a="1"/>
  <c r="D42" i="21" s="1"/>
  <c r="E42" i="21"/>
  <c r="F42" i="21"/>
  <c r="G42" i="21"/>
  <c r="H42" i="21"/>
  <c r="D61" i="15" a="1"/>
  <c r="D61" i="15" s="1"/>
  <c r="E61" i="15"/>
  <c r="F61" i="15"/>
  <c r="G61" i="15"/>
  <c r="H61" i="15"/>
  <c r="I61" i="15"/>
  <c r="D57" i="15" a="1"/>
  <c r="D57" i="15" s="1"/>
  <c r="H57" i="15"/>
  <c r="D49" i="15" a="1"/>
  <c r="D49" i="15" s="1"/>
  <c r="D42" i="15" a="1"/>
  <c r="D42" i="15" s="1"/>
  <c r="E42" i="15"/>
  <c r="D38" i="15" a="1"/>
  <c r="D38" i="15" s="1"/>
  <c r="D29" i="15" a="1"/>
  <c r="D29" i="15" s="1"/>
  <c r="D32" i="15" a="1"/>
  <c r="D32" i="15" s="1"/>
  <c r="D61" i="21" a="1"/>
  <c r="D61" i="21" s="1"/>
  <c r="D57" i="21" a="1"/>
  <c r="D57" i="21" s="1"/>
  <c r="E57" i="21"/>
  <c r="H57" i="21"/>
  <c r="B5" i="16"/>
  <c r="B6" i="16" s="1"/>
  <c r="B7" i="16" s="1"/>
  <c r="B8" i="16" s="1"/>
  <c r="B9" i="16" s="1"/>
  <c r="B10" i="16" s="1"/>
  <c r="B11" i="16" s="1"/>
  <c r="B12" i="16" s="1"/>
  <c r="B13" i="16" s="1"/>
  <c r="B14" i="16" s="1"/>
  <c r="B15" i="16" s="1"/>
  <c r="B16" i="16" s="1"/>
  <c r="B17" i="16" s="1"/>
  <c r="B18" i="16" s="1"/>
  <c r="B19" i="16" s="1"/>
  <c r="B20" i="16" s="1"/>
  <c r="B21" i="16" s="1"/>
  <c r="B22" i="16" s="1"/>
  <c r="B23" i="16" s="1"/>
  <c r="B24" i="16" s="1"/>
  <c r="B25" i="16" s="1"/>
  <c r="B26" i="16" s="1"/>
  <c r="B27" i="16" s="1"/>
  <c r="B28" i="16" s="1"/>
  <c r="B29" i="16" s="1"/>
  <c r="B30" i="16" s="1"/>
  <c r="B31" i="16" s="1"/>
  <c r="B32" i="16" s="1"/>
  <c r="B33" i="16" s="1"/>
  <c r="B34" i="16" s="1"/>
  <c r="B35" i="16" s="1"/>
  <c r="B36" i="16" s="1"/>
  <c r="B37" i="16" s="1"/>
  <c r="B38" i="16" s="1"/>
  <c r="B39" i="16" s="1"/>
  <c r="B40" i="16" s="1"/>
  <c r="B41" i="16" s="1"/>
  <c r="B42" i="16" s="1"/>
  <c r="B43" i="16" s="1"/>
  <c r="B44" i="16" s="1"/>
  <c r="B45" i="16" s="1"/>
  <c r="B46" i="16" s="1"/>
  <c r="B47" i="16" s="1"/>
  <c r="B48" i="16" s="1"/>
  <c r="B49" i="16" s="1"/>
  <c r="B50" i="16" s="1"/>
  <c r="B51" i="16" s="1"/>
  <c r="B52" i="16" s="1"/>
  <c r="B53" i="16" s="1"/>
  <c r="B54" i="16" s="1"/>
  <c r="B55" i="16" s="1"/>
  <c r="B56" i="16" s="1"/>
  <c r="B57" i="16" s="1"/>
  <c r="B58" i="16" s="1"/>
  <c r="B59" i="16" s="1"/>
  <c r="B60" i="16" s="1"/>
  <c r="B61" i="16" s="1"/>
  <c r="B62" i="16" s="1"/>
  <c r="B63" i="16" s="1"/>
  <c r="B64" i="16" s="1"/>
  <c r="B65" i="16" s="1"/>
  <c r="B66" i="16" s="1"/>
  <c r="B67" i="16" s="1"/>
  <c r="B68" i="16" s="1"/>
  <c r="B69" i="16" s="1"/>
  <c r="B70" i="16" s="1"/>
  <c r="B71" i="16" s="1"/>
  <c r="B72" i="16" s="1"/>
  <c r="B73" i="16" s="1"/>
  <c r="B74" i="16" s="1"/>
  <c r="B75" i="16" s="1"/>
  <c r="B76" i="16" s="1"/>
  <c r="B77" i="16" s="1"/>
  <c r="B78" i="16" s="1"/>
  <c r="B79" i="16" s="1"/>
  <c r="B80" i="16" s="1"/>
  <c r="B81" i="16" s="1"/>
  <c r="B82" i="16" s="1"/>
  <c r="B83" i="16" s="1"/>
  <c r="B84" i="16" s="1"/>
  <c r="B85" i="16" s="1"/>
  <c r="B86" i="16" s="1"/>
  <c r="B87" i="16" s="1"/>
  <c r="B88" i="16" s="1"/>
  <c r="B89" i="16" s="1"/>
  <c r="B90" i="16" s="1"/>
  <c r="B91" i="16" s="1"/>
  <c r="B92" i="16" s="1"/>
  <c r="B93" i="16" s="1"/>
  <c r="B94" i="16" s="1"/>
  <c r="B95" i="16" s="1"/>
  <c r="B96" i="16" s="1"/>
  <c r="B97" i="16" s="1"/>
  <c r="B98" i="16" s="1"/>
  <c r="B99" i="16" s="1"/>
  <c r="B100" i="16" s="1"/>
  <c r="B101" i="16" s="1"/>
  <c r="B102" i="16" s="1"/>
  <c r="B103" i="16" s="1"/>
  <c r="B104" i="16" s="1"/>
  <c r="B105" i="16" s="1"/>
  <c r="B106" i="16" s="1"/>
  <c r="B107" i="16" s="1"/>
  <c r="B108" i="16" s="1"/>
  <c r="B109" i="16" s="1"/>
  <c r="B110" i="16" s="1"/>
  <c r="B111" i="16" s="1"/>
  <c r="B112" i="16" s="1"/>
  <c r="B113" i="16" s="1"/>
  <c r="B114" i="16" s="1"/>
  <c r="B115" i="16" s="1"/>
  <c r="B116" i="16" s="1"/>
  <c r="B117" i="16" s="1"/>
  <c r="B118" i="16" s="1"/>
  <c r="B119" i="16" s="1"/>
  <c r="B120" i="16" s="1"/>
  <c r="B121" i="16" s="1"/>
  <c r="B122" i="16" s="1"/>
  <c r="B123" i="16" s="1"/>
  <c r="B124" i="16" s="1"/>
  <c r="B125" i="16" s="1"/>
  <c r="B126" i="16" s="1"/>
  <c r="B127" i="16" s="1"/>
  <c r="B128" i="16" s="1"/>
  <c r="B129" i="16" s="1"/>
  <c r="B130" i="16" s="1"/>
  <c r="B131" i="16" s="1"/>
  <c r="B132" i="16" s="1"/>
  <c r="B133" i="16" s="1"/>
  <c r="B134" i="16" s="1"/>
  <c r="B135" i="16" s="1"/>
  <c r="B136" i="16" s="1"/>
  <c r="B137" i="16" s="1"/>
  <c r="B138" i="16" s="1"/>
  <c r="B139" i="16" s="1"/>
  <c r="B140" i="16" s="1"/>
  <c r="B141" i="16" s="1"/>
  <c r="B142" i="16" s="1"/>
  <c r="B143" i="16" s="1"/>
  <c r="B144" i="16" s="1"/>
  <c r="B145" i="16" s="1"/>
  <c r="B146" i="16" s="1"/>
  <c r="B147" i="16" s="1"/>
  <c r="B148" i="16" s="1"/>
  <c r="B149" i="16" s="1"/>
  <c r="B150" i="16" s="1"/>
  <c r="B151" i="16" s="1"/>
  <c r="B152" i="16" s="1"/>
  <c r="B153" i="16" s="1"/>
  <c r="B154" i="16" s="1"/>
  <c r="B155" i="16" s="1"/>
  <c r="B156" i="16" s="1"/>
  <c r="B157" i="16" s="1"/>
  <c r="B158" i="16" s="1"/>
  <c r="B159" i="16" s="1"/>
  <c r="B160" i="16" s="1"/>
  <c r="B161" i="16" s="1"/>
  <c r="B162" i="16" s="1"/>
  <c r="B163" i="16" s="1"/>
  <c r="B164" i="16" s="1"/>
  <c r="B165" i="16" s="1"/>
  <c r="B166" i="16" s="1"/>
  <c r="B167" i="16" s="1"/>
  <c r="B168" i="16" s="1"/>
  <c r="B169" i="16" s="1"/>
  <c r="B170" i="16" s="1"/>
  <c r="B171" i="16" s="1"/>
  <c r="B172" i="16" s="1"/>
  <c r="B173" i="16" s="1"/>
  <c r="B174" i="16" s="1"/>
  <c r="B175" i="16" s="1"/>
  <c r="B176" i="16" s="1"/>
  <c r="B177" i="16" s="1"/>
  <c r="B178" i="16" s="1"/>
  <c r="B179" i="16" s="1"/>
  <c r="B180" i="16" s="1"/>
  <c r="B181" i="16" s="1"/>
  <c r="B182" i="16" s="1"/>
  <c r="B183" i="16" s="1"/>
  <c r="B184" i="16" s="1"/>
  <c r="B185" i="16" s="1"/>
  <c r="B186" i="16" s="1"/>
  <c r="B187" i="16" s="1"/>
  <c r="B188" i="16" s="1"/>
  <c r="B189" i="16" s="1"/>
  <c r="B190" i="16" s="1"/>
  <c r="B191" i="16" s="1"/>
  <c r="B192" i="16" s="1"/>
  <c r="B193" i="16" s="1"/>
  <c r="B194" i="16" s="1"/>
  <c r="B195" i="16" s="1"/>
  <c r="B196" i="16" s="1"/>
  <c r="B197" i="16" s="1"/>
  <c r="B198" i="16" s="1"/>
  <c r="B199" i="16" s="1"/>
  <c r="B200" i="16" s="1"/>
  <c r="B201" i="16" s="1"/>
  <c r="B202" i="16" s="1"/>
  <c r="B203" i="16" s="1"/>
  <c r="B4" i="16"/>
  <c r="B3" i="16"/>
  <c r="D49" i="21" a="1"/>
  <c r="D49" i="21" s="1"/>
  <c r="D38" i="21" a="1"/>
  <c r="D38" i="21" s="1"/>
  <c r="D29" i="21" a="1"/>
  <c r="D29" i="21" s="1"/>
  <c r="D28" i="21" s="1"/>
  <c r="D32" i="21" a="1"/>
  <c r="D32" i="21" s="1"/>
  <c r="S8" i="14"/>
  <c r="O11" i="15"/>
  <c r="C44" i="21"/>
  <c r="C44" i="15"/>
  <c r="E69" i="21"/>
  <c r="F69" i="21" s="1"/>
  <c r="G69" i="21" s="1"/>
  <c r="H69" i="21" s="1"/>
  <c r="I69" i="21" s="1"/>
  <c r="C60" i="21"/>
  <c r="C56" i="21"/>
  <c r="C54" i="21"/>
  <c r="C48" i="21"/>
  <c r="C41" i="21"/>
  <c r="C37" i="21"/>
  <c r="C33" i="21"/>
  <c r="C31" i="21"/>
  <c r="O22" i="21"/>
  <c r="O18" i="21"/>
  <c r="O11" i="21"/>
  <c r="D68" i="21" s="1"/>
  <c r="E40" i="11"/>
  <c r="I42" i="21" l="1"/>
  <c r="I57" i="15"/>
  <c r="G57" i="15"/>
  <c r="F57" i="15"/>
  <c r="E57" i="15"/>
  <c r="F49" i="15"/>
  <c r="E49" i="15"/>
  <c r="I49" i="15"/>
  <c r="H49" i="15"/>
  <c r="G49" i="15"/>
  <c r="I42" i="15"/>
  <c r="H42" i="15"/>
  <c r="G42" i="15"/>
  <c r="F42" i="15"/>
  <c r="G38" i="15"/>
  <c r="F38" i="15"/>
  <c r="E38" i="15"/>
  <c r="I38" i="15"/>
  <c r="H38" i="15"/>
  <c r="I29" i="15"/>
  <c r="H29" i="15"/>
  <c r="G29" i="15"/>
  <c r="F29" i="15"/>
  <c r="E29" i="15"/>
  <c r="I32" i="15"/>
  <c r="H32" i="15"/>
  <c r="G32" i="15"/>
  <c r="F32" i="15"/>
  <c r="E32" i="15"/>
  <c r="H61" i="21"/>
  <c r="E61" i="21"/>
  <c r="I61" i="21"/>
  <c r="G61" i="21"/>
  <c r="F61" i="21"/>
  <c r="D60" i="21"/>
  <c r="E60" i="21" s="1"/>
  <c r="F60" i="21" s="1"/>
  <c r="G60" i="21" s="1"/>
  <c r="H60" i="21" s="1"/>
  <c r="I60" i="21" s="1"/>
  <c r="D56" i="21"/>
  <c r="E56" i="21" s="1"/>
  <c r="I57" i="21"/>
  <c r="G57" i="21"/>
  <c r="F57" i="21"/>
  <c r="I49" i="21"/>
  <c r="H49" i="21"/>
  <c r="F49" i="21"/>
  <c r="E49" i="21"/>
  <c r="G49" i="21"/>
  <c r="E38" i="21"/>
  <c r="I38" i="21"/>
  <c r="H38" i="21"/>
  <c r="G38" i="21"/>
  <c r="F38" i="21"/>
  <c r="E29" i="21"/>
  <c r="I29" i="21"/>
  <c r="H29" i="21"/>
  <c r="G29" i="21"/>
  <c r="F29" i="21"/>
  <c r="H32" i="21"/>
  <c r="G32" i="21"/>
  <c r="F32" i="21"/>
  <c r="E32" i="21"/>
  <c r="I32" i="21"/>
  <c r="D37" i="21"/>
  <c r="E37" i="21" s="1"/>
  <c r="F37" i="21" s="1"/>
  <c r="G37" i="21" s="1"/>
  <c r="H37" i="21" s="1"/>
  <c r="I37" i="21" s="1"/>
  <c r="D48" i="21"/>
  <c r="E48" i="21" s="1"/>
  <c r="F48" i="21" s="1"/>
  <c r="G48" i="21" s="1"/>
  <c r="H48" i="21" s="1"/>
  <c r="I48" i="21" s="1"/>
  <c r="D41" i="21"/>
  <c r="E41" i="21" s="1"/>
  <c r="F41" i="21" s="1"/>
  <c r="G41" i="21" s="1"/>
  <c r="H41" i="21" s="1"/>
  <c r="I41" i="21" s="1"/>
  <c r="D31" i="21"/>
  <c r="I70" i="21"/>
  <c r="H70" i="21"/>
  <c r="G70" i="21"/>
  <c r="F70" i="21"/>
  <c r="E70" i="21"/>
  <c r="D70" i="21"/>
  <c r="D55" i="21"/>
  <c r="E28" i="21"/>
  <c r="C34" i="21"/>
  <c r="C56" i="15"/>
  <c r="C54" i="15"/>
  <c r="C48" i="15"/>
  <c r="C41" i="15"/>
  <c r="C37" i="15"/>
  <c r="C33" i="15"/>
  <c r="C34" i="15" s="1"/>
  <c r="C31" i="15"/>
  <c r="D59" i="21" l="1"/>
  <c r="D62" i="21" s="1"/>
  <c r="F56" i="21"/>
  <c r="G56" i="21" s="1"/>
  <c r="H56" i="21" s="1"/>
  <c r="I56" i="21" s="1"/>
  <c r="D47" i="21"/>
  <c r="D54" i="21" s="1"/>
  <c r="D36" i="21"/>
  <c r="E31" i="21"/>
  <c r="F31" i="21" s="1"/>
  <c r="G31" i="21" s="1"/>
  <c r="H31" i="21" s="1"/>
  <c r="I31" i="21" s="1"/>
  <c r="D40" i="21"/>
  <c r="D30" i="21"/>
  <c r="D33" i="21" s="1"/>
  <c r="C50" i="21"/>
  <c r="C45" i="21"/>
  <c r="E59" i="21"/>
  <c r="E55" i="21"/>
  <c r="E47" i="21"/>
  <c r="E54" i="21" s="1"/>
  <c r="E40" i="21"/>
  <c r="E36" i="21"/>
  <c r="E30" i="21"/>
  <c r="E33" i="21" s="1"/>
  <c r="F28" i="21"/>
  <c r="D56" i="15"/>
  <c r="E56" i="15" s="1"/>
  <c r="D48" i="15"/>
  <c r="E48" i="15" s="1"/>
  <c r="D41" i="15"/>
  <c r="E41" i="15" s="1"/>
  <c r="C50" i="15"/>
  <c r="C53" i="15" s="1"/>
  <c r="D37" i="15"/>
  <c r="E37" i="15" s="1"/>
  <c r="D31" i="15"/>
  <c r="E31" i="15" s="1"/>
  <c r="E62" i="21" l="1"/>
  <c r="D44" i="21"/>
  <c r="E44" i="21"/>
  <c r="D45" i="21"/>
  <c r="D34" i="21"/>
  <c r="F59" i="21"/>
  <c r="F62" i="21" s="1"/>
  <c r="F55" i="21"/>
  <c r="F47" i="21"/>
  <c r="F54" i="21" s="1"/>
  <c r="F40" i="21"/>
  <c r="F36" i="21"/>
  <c r="F30" i="21"/>
  <c r="F33" i="21" s="1"/>
  <c r="G28" i="21"/>
  <c r="E34" i="21"/>
  <c r="C53" i="21"/>
  <c r="C51" i="21"/>
  <c r="F56" i="15"/>
  <c r="F48" i="15"/>
  <c r="F41" i="15"/>
  <c r="F37" i="15"/>
  <c r="F31" i="15"/>
  <c r="F44" i="21" l="1"/>
  <c r="D50" i="21"/>
  <c r="D53" i="21" s="1"/>
  <c r="D65" i="21" s="1"/>
  <c r="D66" i="21" s="1"/>
  <c r="D71" i="21" s="1"/>
  <c r="E50" i="21"/>
  <c r="E45" i="21"/>
  <c r="G59" i="21"/>
  <c r="G62" i="21" s="1"/>
  <c r="G55" i="21"/>
  <c r="G47" i="21"/>
  <c r="G54" i="21" s="1"/>
  <c r="G40" i="21"/>
  <c r="G36" i="21"/>
  <c r="G30" i="21"/>
  <c r="G33" i="21" s="1"/>
  <c r="H28" i="21"/>
  <c r="F34" i="21"/>
  <c r="G56" i="15"/>
  <c r="G48" i="15"/>
  <c r="G41" i="15"/>
  <c r="G37" i="15"/>
  <c r="G31" i="15"/>
  <c r="G44" i="21" l="1"/>
  <c r="D51" i="21"/>
  <c r="F50" i="21"/>
  <c r="F45" i="21"/>
  <c r="H59" i="21"/>
  <c r="H62" i="21" s="1"/>
  <c r="H55" i="21"/>
  <c r="H47" i="21"/>
  <c r="H54" i="21" s="1"/>
  <c r="H40" i="21"/>
  <c r="H36" i="21"/>
  <c r="H30" i="21"/>
  <c r="H33" i="21" s="1"/>
  <c r="I28" i="21"/>
  <c r="G34" i="21"/>
  <c r="E53" i="21"/>
  <c r="E65" i="21" s="1"/>
  <c r="E66" i="21" s="1"/>
  <c r="E71" i="21" s="1"/>
  <c r="E51" i="21"/>
  <c r="H56" i="15"/>
  <c r="H48" i="15"/>
  <c r="H41" i="15"/>
  <c r="H37" i="15"/>
  <c r="H31" i="15"/>
  <c r="H44" i="21" l="1"/>
  <c r="G50" i="21"/>
  <c r="G45" i="21"/>
  <c r="I59" i="21"/>
  <c r="I62" i="21" s="1"/>
  <c r="I55" i="21"/>
  <c r="I47" i="21"/>
  <c r="I54" i="21" s="1"/>
  <c r="I40" i="21"/>
  <c r="I36" i="21"/>
  <c r="I30" i="21"/>
  <c r="I33" i="21" s="1"/>
  <c r="H34" i="21"/>
  <c r="F53" i="21"/>
  <c r="F65" i="21" s="1"/>
  <c r="F66" i="21" s="1"/>
  <c r="F71" i="21" s="1"/>
  <c r="F51" i="21"/>
  <c r="I56" i="15"/>
  <c r="I48" i="15"/>
  <c r="I41" i="15"/>
  <c r="I37" i="15"/>
  <c r="I31" i="15"/>
  <c r="I44" i="21" l="1"/>
  <c r="I64" i="21" s="1"/>
  <c r="H50" i="21"/>
  <c r="H45" i="21"/>
  <c r="I34" i="21"/>
  <c r="G53" i="21"/>
  <c r="G65" i="21" s="1"/>
  <c r="G66" i="21" s="1"/>
  <c r="G71" i="21" s="1"/>
  <c r="G51" i="21"/>
  <c r="D28" i="15"/>
  <c r="C60" i="15"/>
  <c r="D60" i="15" s="1"/>
  <c r="E60" i="15" s="1"/>
  <c r="F60" i="15" s="1"/>
  <c r="G60" i="15" s="1"/>
  <c r="H60" i="15" s="1"/>
  <c r="I60" i="15" s="1"/>
  <c r="O22" i="15"/>
  <c r="O18" i="15"/>
  <c r="I50" i="21" l="1"/>
  <c r="I45" i="21"/>
  <c r="H53" i="21"/>
  <c r="H65" i="21" s="1"/>
  <c r="H66" i="21" s="1"/>
  <c r="H71" i="21" s="1"/>
  <c r="H51" i="21"/>
  <c r="D59" i="15"/>
  <c r="D62" i="15" s="1"/>
  <c r="D47" i="15"/>
  <c r="D55" i="15"/>
  <c r="D40" i="15"/>
  <c r="D36" i="15"/>
  <c r="D30" i="15"/>
  <c r="D33" i="15" s="1"/>
  <c r="E28" i="15"/>
  <c r="D68" i="15"/>
  <c r="D44" i="15" l="1"/>
  <c r="I53" i="21"/>
  <c r="I65" i="21" s="1"/>
  <c r="I66" i="21" s="1"/>
  <c r="I71" i="21" s="1"/>
  <c r="C73" i="21" s="1"/>
  <c r="C75" i="21" s="1"/>
  <c r="C82" i="21" s="1"/>
  <c r="C86" i="21" s="1"/>
  <c r="C7" i="23" s="1"/>
  <c r="I51" i="21"/>
  <c r="E55" i="15"/>
  <c r="E59" i="15"/>
  <c r="E62" i="15" s="1"/>
  <c r="E40" i="15"/>
  <c r="E47" i="15"/>
  <c r="D34" i="15"/>
  <c r="E36" i="15"/>
  <c r="F28" i="15"/>
  <c r="E30" i="15"/>
  <c r="E33" i="15" s="1"/>
  <c r="C45" i="15"/>
  <c r="E69" i="15"/>
  <c r="F69" i="15" s="1"/>
  <c r="G69" i="15" s="1"/>
  <c r="H69" i="15" s="1"/>
  <c r="I69" i="15" s="1"/>
  <c r="L33" i="2"/>
  <c r="D70" i="15"/>
  <c r="M54" i="16"/>
  <c r="M18" i="16"/>
  <c r="M19" i="16" s="1"/>
  <c r="M20" i="16" s="1"/>
  <c r="M21" i="16" s="1"/>
  <c r="M22" i="16" s="1"/>
  <c r="M23" i="16" s="1"/>
  <c r="M24" i="16" s="1"/>
  <c r="M25" i="16" s="1"/>
  <c r="M26" i="16" s="1"/>
  <c r="M27" i="16" s="1"/>
  <c r="M28" i="16" s="1"/>
  <c r="M29" i="16" s="1"/>
  <c r="M30" i="16" s="1"/>
  <c r="M31" i="16" s="1"/>
  <c r="M32" i="16" s="1"/>
  <c r="M33" i="16" s="1"/>
  <c r="M34" i="16" s="1"/>
  <c r="M35" i="16" s="1"/>
  <c r="M36" i="16" s="1"/>
  <c r="M37" i="16" s="1"/>
  <c r="M38" i="16" s="1"/>
  <c r="M39" i="16" s="1"/>
  <c r="M40" i="16" s="1"/>
  <c r="M41" i="16" s="1"/>
  <c r="M42" i="16" s="1"/>
  <c r="M43" i="16" s="1"/>
  <c r="M44" i="16" s="1"/>
  <c r="M45" i="16" s="1"/>
  <c r="M46" i="16" s="1"/>
  <c r="M47" i="16" s="1"/>
  <c r="M48" i="16" s="1"/>
  <c r="M49" i="16" s="1"/>
  <c r="M50" i="16" s="1"/>
  <c r="M51" i="16" s="1"/>
  <c r="M52" i="16" s="1"/>
  <c r="M53" i="16" s="1"/>
  <c r="M6" i="16"/>
  <c r="M7" i="16"/>
  <c r="M8" i="16" s="1"/>
  <c r="M9" i="16" s="1"/>
  <c r="M10" i="16" s="1"/>
  <c r="M11" i="16" s="1"/>
  <c r="M12" i="16" s="1"/>
  <c r="M13" i="16" s="1"/>
  <c r="M14" i="16" s="1"/>
  <c r="M15" i="16" s="1"/>
  <c r="M16" i="16" s="1"/>
  <c r="M17" i="16" s="1"/>
  <c r="M5" i="16"/>
  <c r="K122" i="16"/>
  <c r="K123" i="16"/>
  <c r="K120" i="16"/>
  <c r="K121" i="16" s="1"/>
  <c r="K98" i="16"/>
  <c r="K99" i="16"/>
  <c r="K100" i="16"/>
  <c r="K101" i="16" s="1"/>
  <c r="K102" i="16" s="1"/>
  <c r="K103" i="16" s="1"/>
  <c r="K104" i="16" s="1"/>
  <c r="K105" i="16" s="1"/>
  <c r="K106" i="16" s="1"/>
  <c r="K107" i="16" s="1"/>
  <c r="K108" i="16" s="1"/>
  <c r="K109" i="16" s="1"/>
  <c r="K110" i="16" s="1"/>
  <c r="K111" i="16" s="1"/>
  <c r="K112" i="16" s="1"/>
  <c r="K113" i="16" s="1"/>
  <c r="K114" i="16" s="1"/>
  <c r="K115" i="16" s="1"/>
  <c r="K116" i="16" s="1"/>
  <c r="K117" i="16" s="1"/>
  <c r="K118" i="16" s="1"/>
  <c r="K119" i="16" s="1"/>
  <c r="K93" i="16"/>
  <c r="K94" i="16" s="1"/>
  <c r="K95" i="16" s="1"/>
  <c r="K96" i="16" s="1"/>
  <c r="K97" i="16" s="1"/>
  <c r="K87" i="16"/>
  <c r="K88" i="16"/>
  <c r="K89" i="16"/>
  <c r="K90" i="16" s="1"/>
  <c r="K91" i="16" s="1"/>
  <c r="K92" i="16" s="1"/>
  <c r="K80" i="16"/>
  <c r="K81" i="16"/>
  <c r="K82" i="16" s="1"/>
  <c r="K83" i="16" s="1"/>
  <c r="K84" i="16" s="1"/>
  <c r="K85" i="16" s="1"/>
  <c r="K86" i="16" s="1"/>
  <c r="K69" i="16"/>
  <c r="K70" i="16"/>
  <c r="K71" i="16"/>
  <c r="K72" i="16" s="1"/>
  <c r="K73" i="16" s="1"/>
  <c r="K74" i="16" s="1"/>
  <c r="K75" i="16" s="1"/>
  <c r="K76" i="16" s="1"/>
  <c r="K77" i="16" s="1"/>
  <c r="K78" i="16" s="1"/>
  <c r="K79" i="16" s="1"/>
  <c r="K57" i="16"/>
  <c r="K58" i="16"/>
  <c r="K59" i="16"/>
  <c r="K60" i="16" s="1"/>
  <c r="K61" i="16" s="1"/>
  <c r="K62" i="16" s="1"/>
  <c r="K63" i="16" s="1"/>
  <c r="K64" i="16" s="1"/>
  <c r="K65" i="16" s="1"/>
  <c r="K66" i="16" s="1"/>
  <c r="K67" i="16" s="1"/>
  <c r="K68" i="16" s="1"/>
  <c r="K43" i="16"/>
  <c r="K44" i="16"/>
  <c r="K45" i="16"/>
  <c r="K46" i="16" s="1"/>
  <c r="K47" i="16" s="1"/>
  <c r="K48" i="16" s="1"/>
  <c r="K49" i="16" s="1"/>
  <c r="K50" i="16" s="1"/>
  <c r="K51" i="16" s="1"/>
  <c r="K52" i="16" s="1"/>
  <c r="K53" i="16" s="1"/>
  <c r="K54" i="16" s="1"/>
  <c r="K55" i="16" s="1"/>
  <c r="K56" i="16" s="1"/>
  <c r="K6" i="16"/>
  <c r="K7" i="16" s="1"/>
  <c r="K8" i="16" s="1"/>
  <c r="K9" i="16" s="1"/>
  <c r="K10" i="16" s="1"/>
  <c r="K11" i="16" s="1"/>
  <c r="K12" i="16" s="1"/>
  <c r="K13" i="16" s="1"/>
  <c r="K14" i="16" s="1"/>
  <c r="K15" i="16" s="1"/>
  <c r="K16" i="16" s="1"/>
  <c r="K17" i="16" s="1"/>
  <c r="K18" i="16" s="1"/>
  <c r="K19" i="16" s="1"/>
  <c r="K20" i="16" s="1"/>
  <c r="K21" i="16" s="1"/>
  <c r="K22" i="16" s="1"/>
  <c r="K23" i="16" s="1"/>
  <c r="K24" i="16" s="1"/>
  <c r="K25" i="16" s="1"/>
  <c r="K26" i="16" s="1"/>
  <c r="K27" i="16" s="1"/>
  <c r="K28" i="16" s="1"/>
  <c r="K29" i="16" s="1"/>
  <c r="K30" i="16" s="1"/>
  <c r="K31" i="16" s="1"/>
  <c r="K32" i="16" s="1"/>
  <c r="K33" i="16" s="1"/>
  <c r="K34" i="16" s="1"/>
  <c r="K35" i="16" s="1"/>
  <c r="K36" i="16" s="1"/>
  <c r="K37" i="16" s="1"/>
  <c r="K38" i="16" s="1"/>
  <c r="K39" i="16" s="1"/>
  <c r="K40" i="16" s="1"/>
  <c r="K41" i="16" s="1"/>
  <c r="K42" i="16" s="1"/>
  <c r="I22" i="17"/>
  <c r="H22" i="17"/>
  <c r="G22" i="17"/>
  <c r="L19" i="17"/>
  <c r="K19" i="17"/>
  <c r="J19" i="17"/>
  <c r="L18" i="17"/>
  <c r="K18" i="17"/>
  <c r="J18" i="17"/>
  <c r="Q16" i="17"/>
  <c r="P16" i="17"/>
  <c r="O16" i="17"/>
  <c r="B16" i="17"/>
  <c r="Q15" i="17"/>
  <c r="P15" i="17"/>
  <c r="O15" i="17"/>
  <c r="B15" i="17"/>
  <c r="Q14" i="17"/>
  <c r="P14" i="17"/>
  <c r="O14" i="17"/>
  <c r="B14" i="17"/>
  <c r="Q13" i="17"/>
  <c r="P13" i="17"/>
  <c r="O13" i="17"/>
  <c r="B13" i="17"/>
  <c r="Q12" i="17"/>
  <c r="P12" i="17"/>
  <c r="O12" i="17"/>
  <c r="B12" i="17"/>
  <c r="Q11" i="17"/>
  <c r="P11" i="17"/>
  <c r="O11" i="17"/>
  <c r="B11" i="17"/>
  <c r="Q10" i="17"/>
  <c r="P10" i="17"/>
  <c r="O10" i="17"/>
  <c r="B10" i="17"/>
  <c r="Q9" i="17"/>
  <c r="P9" i="17"/>
  <c r="O9" i="17"/>
  <c r="B9" i="17"/>
  <c r="Q8" i="17"/>
  <c r="P8" i="17"/>
  <c r="O8" i="17"/>
  <c r="B8" i="17"/>
  <c r="Q7" i="17"/>
  <c r="P7" i="17"/>
  <c r="O7" i="17"/>
  <c r="B7" i="17"/>
  <c r="Q6" i="17"/>
  <c r="P6" i="17"/>
  <c r="O6" i="17"/>
  <c r="B6" i="17"/>
  <c r="K5" i="16"/>
  <c r="H204" i="16"/>
  <c r="H201" i="16"/>
  <c r="H202" i="16"/>
  <c r="H203" i="16"/>
  <c r="H193" i="16"/>
  <c r="H194" i="16" s="1"/>
  <c r="H195" i="16" s="1"/>
  <c r="H196" i="16" s="1"/>
  <c r="H197" i="16" s="1"/>
  <c r="H198" i="16" s="1"/>
  <c r="H199" i="16" s="1"/>
  <c r="H200" i="16" s="1"/>
  <c r="H186" i="16"/>
  <c r="H187" i="16"/>
  <c r="H188" i="16"/>
  <c r="H189" i="16" s="1"/>
  <c r="H190" i="16" s="1"/>
  <c r="H191" i="16" s="1"/>
  <c r="H192" i="16" s="1"/>
  <c r="H176" i="16"/>
  <c r="H177" i="16"/>
  <c r="H178" i="16"/>
  <c r="H179" i="16" s="1"/>
  <c r="H180" i="16" s="1"/>
  <c r="H181" i="16" s="1"/>
  <c r="H182" i="16" s="1"/>
  <c r="H183" i="16" s="1"/>
  <c r="H184" i="16" s="1"/>
  <c r="H185" i="16" s="1"/>
  <c r="H169" i="16"/>
  <c r="H170" i="16"/>
  <c r="H171" i="16" s="1"/>
  <c r="H172" i="16" s="1"/>
  <c r="H173" i="16" s="1"/>
  <c r="H174" i="16" s="1"/>
  <c r="H175" i="16" s="1"/>
  <c r="H6" i="16"/>
  <c r="H7" i="16" s="1"/>
  <c r="H8" i="16" s="1"/>
  <c r="H9" i="16" s="1"/>
  <c r="H10" i="16" s="1"/>
  <c r="H11" i="16" s="1"/>
  <c r="H12" i="16" s="1"/>
  <c r="H13" i="16" s="1"/>
  <c r="H14" i="16" s="1"/>
  <c r="H15" i="16" s="1"/>
  <c r="H16" i="16" s="1"/>
  <c r="H17" i="16" s="1"/>
  <c r="H18" i="16" s="1"/>
  <c r="H19" i="16" s="1"/>
  <c r="H20" i="16" s="1"/>
  <c r="H21" i="16" s="1"/>
  <c r="H22" i="16" s="1"/>
  <c r="H23" i="16" s="1"/>
  <c r="H24" i="16" s="1"/>
  <c r="H25" i="16" s="1"/>
  <c r="H26" i="16" s="1"/>
  <c r="H27" i="16" s="1"/>
  <c r="H28" i="16" s="1"/>
  <c r="H29" i="16" s="1"/>
  <c r="H30" i="16" s="1"/>
  <c r="H31" i="16" s="1"/>
  <c r="H32" i="16" s="1"/>
  <c r="H33" i="16" s="1"/>
  <c r="H34" i="16" s="1"/>
  <c r="H35" i="16" s="1"/>
  <c r="H36" i="16" s="1"/>
  <c r="H37" i="16" s="1"/>
  <c r="H38" i="16" s="1"/>
  <c r="H39" i="16" s="1"/>
  <c r="H40" i="16" s="1"/>
  <c r="H41" i="16" s="1"/>
  <c r="H42" i="16" s="1"/>
  <c r="H43" i="16" s="1"/>
  <c r="H44" i="16" s="1"/>
  <c r="H45" i="16" s="1"/>
  <c r="H46" i="16" s="1"/>
  <c r="H47" i="16" s="1"/>
  <c r="H48" i="16" s="1"/>
  <c r="H49" i="16" s="1"/>
  <c r="H50" i="16" s="1"/>
  <c r="H51" i="16" s="1"/>
  <c r="H52" i="16" s="1"/>
  <c r="H53" i="16" s="1"/>
  <c r="H54" i="16" s="1"/>
  <c r="H55" i="16" s="1"/>
  <c r="H56" i="16" s="1"/>
  <c r="H57" i="16" s="1"/>
  <c r="H58" i="16" s="1"/>
  <c r="H59" i="16" s="1"/>
  <c r="H60" i="16" s="1"/>
  <c r="H61" i="16" s="1"/>
  <c r="H62" i="16" s="1"/>
  <c r="H63" i="16" s="1"/>
  <c r="H64" i="16" s="1"/>
  <c r="H65" i="16" s="1"/>
  <c r="H66" i="16" s="1"/>
  <c r="H67" i="16" s="1"/>
  <c r="H68" i="16" s="1"/>
  <c r="H69" i="16" s="1"/>
  <c r="H70" i="16" s="1"/>
  <c r="H71" i="16" s="1"/>
  <c r="H72" i="16" s="1"/>
  <c r="H73" i="16" s="1"/>
  <c r="H74" i="16" s="1"/>
  <c r="H75" i="16" s="1"/>
  <c r="H76" i="16" s="1"/>
  <c r="H77" i="16" s="1"/>
  <c r="H78" i="16" s="1"/>
  <c r="H79" i="16" s="1"/>
  <c r="H80" i="16" s="1"/>
  <c r="H81" i="16" s="1"/>
  <c r="H82" i="16" s="1"/>
  <c r="H83" i="16" s="1"/>
  <c r="H84" i="16" s="1"/>
  <c r="H85" i="16" s="1"/>
  <c r="H86" i="16" s="1"/>
  <c r="H87" i="16" s="1"/>
  <c r="H88" i="16" s="1"/>
  <c r="H89" i="16" s="1"/>
  <c r="H90" i="16" s="1"/>
  <c r="H91" i="16" s="1"/>
  <c r="H92" i="16" s="1"/>
  <c r="H93" i="16" s="1"/>
  <c r="H94" i="16" s="1"/>
  <c r="H95" i="16" s="1"/>
  <c r="H96" i="16" s="1"/>
  <c r="H97" i="16" s="1"/>
  <c r="H98" i="16" s="1"/>
  <c r="H99" i="16" s="1"/>
  <c r="H100" i="16" s="1"/>
  <c r="H101" i="16" s="1"/>
  <c r="H102" i="16" s="1"/>
  <c r="H103" i="16" s="1"/>
  <c r="H104" i="16" s="1"/>
  <c r="H105" i="16" s="1"/>
  <c r="H106" i="16" s="1"/>
  <c r="H107" i="16" s="1"/>
  <c r="H108" i="16" s="1"/>
  <c r="H109" i="16" s="1"/>
  <c r="H110" i="16" s="1"/>
  <c r="H111" i="16" s="1"/>
  <c r="H112" i="16" s="1"/>
  <c r="H113" i="16" s="1"/>
  <c r="H114" i="16" s="1"/>
  <c r="H115" i="16" s="1"/>
  <c r="H116" i="16" s="1"/>
  <c r="H117" i="16" s="1"/>
  <c r="H118" i="16" s="1"/>
  <c r="H119" i="16" s="1"/>
  <c r="H120" i="16" s="1"/>
  <c r="H121" i="16" s="1"/>
  <c r="H122" i="16" s="1"/>
  <c r="H123" i="16" s="1"/>
  <c r="H124" i="16" s="1"/>
  <c r="H125" i="16" s="1"/>
  <c r="H126" i="16" s="1"/>
  <c r="H127" i="16" s="1"/>
  <c r="H128" i="16" s="1"/>
  <c r="H129" i="16" s="1"/>
  <c r="H130" i="16" s="1"/>
  <c r="H131" i="16" s="1"/>
  <c r="H132" i="16" s="1"/>
  <c r="H133" i="16" s="1"/>
  <c r="H134" i="16" s="1"/>
  <c r="H135" i="16" s="1"/>
  <c r="H136" i="16" s="1"/>
  <c r="H137" i="16" s="1"/>
  <c r="H138" i="16" s="1"/>
  <c r="H139" i="16" s="1"/>
  <c r="H140" i="16" s="1"/>
  <c r="H141" i="16" s="1"/>
  <c r="H142" i="16" s="1"/>
  <c r="H143" i="16" s="1"/>
  <c r="H144" i="16" s="1"/>
  <c r="H145" i="16" s="1"/>
  <c r="H146" i="16" s="1"/>
  <c r="H147" i="16" s="1"/>
  <c r="H148" i="16" s="1"/>
  <c r="H149" i="16" s="1"/>
  <c r="H150" i="16" s="1"/>
  <c r="H151" i="16" s="1"/>
  <c r="H152" i="16" s="1"/>
  <c r="H153" i="16" s="1"/>
  <c r="H154" i="16" s="1"/>
  <c r="H155" i="16" s="1"/>
  <c r="H156" i="16" s="1"/>
  <c r="H157" i="16" s="1"/>
  <c r="H158" i="16" s="1"/>
  <c r="H159" i="16" s="1"/>
  <c r="H160" i="16" s="1"/>
  <c r="H161" i="16" s="1"/>
  <c r="H162" i="16" s="1"/>
  <c r="H163" i="16" s="1"/>
  <c r="H164" i="16" s="1"/>
  <c r="H165" i="16" s="1"/>
  <c r="H166" i="16" s="1"/>
  <c r="H167" i="16" s="1"/>
  <c r="H168" i="16" s="1"/>
  <c r="H5" i="16"/>
  <c r="I22" i="12"/>
  <c r="H22" i="12"/>
  <c r="G22" i="12"/>
  <c r="F17" i="5"/>
  <c r="F5" i="16"/>
  <c r="F6" i="16"/>
  <c r="F7" i="16" s="1"/>
  <c r="F8" i="16" s="1"/>
  <c r="F9" i="16" s="1"/>
  <c r="F10" i="16" s="1"/>
  <c r="F11" i="16" s="1"/>
  <c r="F12" i="16" s="1"/>
  <c r="F13" i="16" s="1"/>
  <c r="F14" i="16" s="1"/>
  <c r="F15" i="16" s="1"/>
  <c r="F16" i="16" s="1"/>
  <c r="F17" i="16" s="1"/>
  <c r="F18" i="16" s="1"/>
  <c r="F19" i="16" s="1"/>
  <c r="F20" i="16" s="1"/>
  <c r="F21" i="16" s="1"/>
  <c r="F22" i="16" s="1"/>
  <c r="F23" i="16" s="1"/>
  <c r="F4" i="16"/>
  <c r="D54" i="15"/>
  <c r="C32" i="2"/>
  <c r="F34" i="14"/>
  <c r="R33" i="14"/>
  <c r="Q33" i="14"/>
  <c r="P33" i="14"/>
  <c r="O33" i="14"/>
  <c r="N33" i="14"/>
  <c r="M33" i="14"/>
  <c r="L33" i="14"/>
  <c r="Q27" i="14"/>
  <c r="P27" i="14"/>
  <c r="O27" i="14"/>
  <c r="N27" i="14"/>
  <c r="M27" i="14"/>
  <c r="L27" i="14"/>
  <c r="Q26" i="14"/>
  <c r="P26" i="14"/>
  <c r="O26" i="14"/>
  <c r="N26" i="14"/>
  <c r="M26" i="14"/>
  <c r="L26" i="14"/>
  <c r="Y25" i="14"/>
  <c r="X25" i="14"/>
  <c r="W25" i="14"/>
  <c r="V25" i="14"/>
  <c r="U25" i="14"/>
  <c r="T25" i="14"/>
  <c r="K25" i="14"/>
  <c r="S25" i="14" s="1"/>
  <c r="Y24" i="14"/>
  <c r="X24" i="14"/>
  <c r="W24" i="14"/>
  <c r="V24" i="14"/>
  <c r="U24" i="14"/>
  <c r="T24" i="14"/>
  <c r="S24" i="14"/>
  <c r="K24" i="14"/>
  <c r="Y23" i="14"/>
  <c r="X23" i="14"/>
  <c r="W23" i="14"/>
  <c r="V23" i="14"/>
  <c r="U23" i="14"/>
  <c r="T23" i="14"/>
  <c r="K23" i="14"/>
  <c r="S23" i="14" s="1"/>
  <c r="Y22" i="14"/>
  <c r="X22" i="14"/>
  <c r="W22" i="14"/>
  <c r="V22" i="14"/>
  <c r="U22" i="14"/>
  <c r="T22" i="14"/>
  <c r="S22" i="14"/>
  <c r="K22" i="14"/>
  <c r="Y21" i="14"/>
  <c r="X21" i="14"/>
  <c r="W21" i="14"/>
  <c r="V21" i="14"/>
  <c r="U21" i="14"/>
  <c r="T21" i="14"/>
  <c r="K21" i="14"/>
  <c r="S21" i="14" s="1"/>
  <c r="Y20" i="14"/>
  <c r="X20" i="14"/>
  <c r="W20" i="14"/>
  <c r="V20" i="14"/>
  <c r="U20" i="14"/>
  <c r="T20" i="14"/>
  <c r="S20" i="14"/>
  <c r="K20" i="14"/>
  <c r="Y19" i="14"/>
  <c r="X19" i="14"/>
  <c r="W19" i="14"/>
  <c r="V19" i="14"/>
  <c r="U19" i="14"/>
  <c r="T19" i="14"/>
  <c r="S19" i="14"/>
  <c r="K19" i="14"/>
  <c r="Y18" i="14"/>
  <c r="X18" i="14"/>
  <c r="W18" i="14"/>
  <c r="V18" i="14"/>
  <c r="U18" i="14"/>
  <c r="T18" i="14"/>
  <c r="S18" i="14"/>
  <c r="K18" i="14"/>
  <c r="Y17" i="14"/>
  <c r="X17" i="14"/>
  <c r="W17" i="14"/>
  <c r="V17" i="14"/>
  <c r="U17" i="14"/>
  <c r="T17" i="14"/>
  <c r="K17" i="14"/>
  <c r="S17" i="14" s="1"/>
  <c r="Y16" i="14"/>
  <c r="X16" i="14"/>
  <c r="W16" i="14"/>
  <c r="V16" i="14"/>
  <c r="U16" i="14"/>
  <c r="T16" i="14"/>
  <c r="K16" i="14"/>
  <c r="S16" i="14" s="1"/>
  <c r="Y15" i="14"/>
  <c r="X15" i="14"/>
  <c r="W15" i="14"/>
  <c r="V15" i="14"/>
  <c r="U15" i="14"/>
  <c r="T15" i="14"/>
  <c r="K15" i="14"/>
  <c r="S15" i="14" s="1"/>
  <c r="Y14" i="14"/>
  <c r="X14" i="14"/>
  <c r="W14" i="14"/>
  <c r="V14" i="14"/>
  <c r="U14" i="14"/>
  <c r="T14" i="14"/>
  <c r="S14" i="14"/>
  <c r="K14" i="14"/>
  <c r="Y13" i="14"/>
  <c r="X13" i="14"/>
  <c r="W13" i="14"/>
  <c r="V13" i="14"/>
  <c r="U13" i="14"/>
  <c r="T13" i="14"/>
  <c r="K13" i="14"/>
  <c r="S13" i="14" s="1"/>
  <c r="Y12" i="14"/>
  <c r="X12" i="14"/>
  <c r="W12" i="14"/>
  <c r="V12" i="14"/>
  <c r="U12" i="14"/>
  <c r="T12" i="14"/>
  <c r="K12" i="14"/>
  <c r="S12" i="14" s="1"/>
  <c r="Y11" i="14"/>
  <c r="X11" i="14"/>
  <c r="W11" i="14"/>
  <c r="V11" i="14"/>
  <c r="U11" i="14"/>
  <c r="T11" i="14"/>
  <c r="S11" i="14"/>
  <c r="K11" i="14"/>
  <c r="Y10" i="14"/>
  <c r="X10" i="14"/>
  <c r="W10" i="14"/>
  <c r="V10" i="14"/>
  <c r="U10" i="14"/>
  <c r="T10" i="14"/>
  <c r="K10" i="14"/>
  <c r="S10" i="14" s="1"/>
  <c r="Y9" i="14"/>
  <c r="X9" i="14"/>
  <c r="W9" i="14"/>
  <c r="V9" i="14"/>
  <c r="U9" i="14"/>
  <c r="T9" i="14"/>
  <c r="K9" i="14"/>
  <c r="S9" i="14" s="1"/>
  <c r="Y8" i="14"/>
  <c r="X8" i="14"/>
  <c r="W8" i="14"/>
  <c r="V8" i="14"/>
  <c r="U8" i="14"/>
  <c r="T8" i="14"/>
  <c r="K8" i="14"/>
  <c r="Y7" i="14"/>
  <c r="X7" i="14"/>
  <c r="W7" i="14"/>
  <c r="V7" i="14"/>
  <c r="U7" i="14"/>
  <c r="T7" i="14"/>
  <c r="K7" i="14"/>
  <c r="Q37" i="11"/>
  <c r="B27" i="13"/>
  <c r="H19" i="13"/>
  <c r="I19" i="13"/>
  <c r="J19" i="13"/>
  <c r="H20" i="13"/>
  <c r="I20" i="13"/>
  <c r="J20" i="13"/>
  <c r="B6" i="13"/>
  <c r="N6" i="13"/>
  <c r="O6" i="13"/>
  <c r="P6" i="13"/>
  <c r="B7" i="13"/>
  <c r="N7" i="13"/>
  <c r="O7" i="13"/>
  <c r="P7" i="13"/>
  <c r="B8" i="13"/>
  <c r="N8" i="13"/>
  <c r="O8" i="13"/>
  <c r="P8" i="13"/>
  <c r="B9" i="13"/>
  <c r="N9" i="13"/>
  <c r="O9" i="13"/>
  <c r="P9" i="13"/>
  <c r="B10" i="13"/>
  <c r="N10" i="13"/>
  <c r="O10" i="13"/>
  <c r="P10" i="13"/>
  <c r="B11" i="13"/>
  <c r="N11" i="13"/>
  <c r="O11" i="13"/>
  <c r="P11" i="13"/>
  <c r="B12" i="13"/>
  <c r="N12" i="13"/>
  <c r="O12" i="13"/>
  <c r="P12" i="13"/>
  <c r="B13" i="13"/>
  <c r="N13" i="13"/>
  <c r="O13" i="13"/>
  <c r="P13" i="13"/>
  <c r="B14" i="13"/>
  <c r="N14" i="13"/>
  <c r="O14" i="13"/>
  <c r="P14" i="13"/>
  <c r="B15" i="13"/>
  <c r="N15" i="13"/>
  <c r="O15" i="13"/>
  <c r="P15" i="13"/>
  <c r="B16" i="13"/>
  <c r="N16" i="13"/>
  <c r="O16" i="13"/>
  <c r="P16" i="13"/>
  <c r="B17" i="13"/>
  <c r="N17" i="13"/>
  <c r="O17" i="13"/>
  <c r="P17" i="13"/>
  <c r="E17" i="2"/>
  <c r="D17" i="2"/>
  <c r="D16" i="2"/>
  <c r="D14" i="5"/>
  <c r="E14" i="5"/>
  <c r="F14" i="5"/>
  <c r="C14" i="5"/>
  <c r="D13" i="5"/>
  <c r="E13" i="5"/>
  <c r="F13" i="5"/>
  <c r="C13" i="5"/>
  <c r="D12" i="5"/>
  <c r="E12" i="5"/>
  <c r="F12" i="5"/>
  <c r="C12" i="5"/>
  <c r="D8" i="5"/>
  <c r="E8" i="5"/>
  <c r="F8" i="5"/>
  <c r="C8" i="5"/>
  <c r="D7" i="5"/>
  <c r="E7" i="5"/>
  <c r="F7" i="5"/>
  <c r="C7" i="5"/>
  <c r="D6" i="5"/>
  <c r="E6" i="5"/>
  <c r="F6" i="5"/>
  <c r="C6" i="5"/>
  <c r="K19" i="12"/>
  <c r="L19" i="12"/>
  <c r="J19" i="12"/>
  <c r="K18" i="12"/>
  <c r="L18" i="12"/>
  <c r="J18" i="12"/>
  <c r="M3" i="2"/>
  <c r="D3" i="2"/>
  <c r="D3" i="5"/>
  <c r="E3" i="5"/>
  <c r="F3" i="5"/>
  <c r="C3" i="5"/>
  <c r="D2" i="5"/>
  <c r="E2" i="5"/>
  <c r="F2" i="5"/>
  <c r="C2" i="5"/>
  <c r="M4" i="2"/>
  <c r="M5" i="2" s="1"/>
  <c r="M2" i="2"/>
  <c r="D2" i="2"/>
  <c r="C26" i="2"/>
  <c r="D26" i="2" s="1"/>
  <c r="E26" i="2" s="1"/>
  <c r="F26" i="2" s="1"/>
  <c r="G26" i="2" s="1"/>
  <c r="H26" i="2" s="1"/>
  <c r="I26" i="2" s="1"/>
  <c r="D13" i="2"/>
  <c r="B6" i="12"/>
  <c r="O6" i="12"/>
  <c r="P6" i="12"/>
  <c r="Q6" i="12"/>
  <c r="B7" i="12"/>
  <c r="O7" i="12"/>
  <c r="P7" i="12"/>
  <c r="Q7" i="12"/>
  <c r="B8" i="12"/>
  <c r="O8" i="12"/>
  <c r="P8" i="12"/>
  <c r="Q8" i="12"/>
  <c r="B9" i="12"/>
  <c r="O9" i="12"/>
  <c r="P9" i="12"/>
  <c r="Q9" i="12"/>
  <c r="B10" i="12"/>
  <c r="O10" i="12"/>
  <c r="P10" i="12"/>
  <c r="Q10" i="12"/>
  <c r="B11" i="12"/>
  <c r="O11" i="12"/>
  <c r="P11" i="12"/>
  <c r="Q11" i="12"/>
  <c r="B12" i="12"/>
  <c r="O12" i="12"/>
  <c r="P12" i="12"/>
  <c r="Q12" i="12"/>
  <c r="B13" i="12"/>
  <c r="O13" i="12"/>
  <c r="P13" i="12"/>
  <c r="Q13" i="12"/>
  <c r="B14" i="12"/>
  <c r="O14" i="12"/>
  <c r="P14" i="12"/>
  <c r="Q14" i="12"/>
  <c r="B15" i="12"/>
  <c r="O15" i="12"/>
  <c r="P15" i="12"/>
  <c r="Q15" i="12"/>
  <c r="B16" i="12"/>
  <c r="O16" i="12"/>
  <c r="P16" i="12"/>
  <c r="Q16" i="12"/>
  <c r="I40" i="11"/>
  <c r="I50" i="11" s="1"/>
  <c r="F34" i="11"/>
  <c r="K7" i="11"/>
  <c r="S7" i="11" s="1"/>
  <c r="T7" i="11"/>
  <c r="U7" i="11"/>
  <c r="V7" i="11"/>
  <c r="W7" i="11"/>
  <c r="X7" i="11"/>
  <c r="Y7" i="11"/>
  <c r="K8" i="11"/>
  <c r="S8" i="11" s="1"/>
  <c r="T8" i="11"/>
  <c r="U8" i="11"/>
  <c r="V8" i="11"/>
  <c r="W8" i="11"/>
  <c r="X8" i="11"/>
  <c r="Y8" i="11"/>
  <c r="K9" i="11"/>
  <c r="S9" i="11" s="1"/>
  <c r="T9" i="11"/>
  <c r="U9" i="11"/>
  <c r="V9" i="11"/>
  <c r="W9" i="11"/>
  <c r="X9" i="11"/>
  <c r="Y9" i="11"/>
  <c r="K10" i="11"/>
  <c r="S10" i="11" s="1"/>
  <c r="T10" i="11"/>
  <c r="U10" i="11"/>
  <c r="V10" i="11"/>
  <c r="W10" i="11"/>
  <c r="X10" i="11"/>
  <c r="Y10" i="11"/>
  <c r="K11" i="11"/>
  <c r="S11" i="11"/>
  <c r="T11" i="11"/>
  <c r="U11" i="11"/>
  <c r="V11" i="11"/>
  <c r="W11" i="11"/>
  <c r="X11" i="11"/>
  <c r="Y11" i="11"/>
  <c r="K12" i="11"/>
  <c r="S12" i="11"/>
  <c r="T12" i="11"/>
  <c r="U12" i="11"/>
  <c r="V12" i="11"/>
  <c r="W12" i="11"/>
  <c r="X12" i="11"/>
  <c r="Y12" i="11"/>
  <c r="K13" i="11"/>
  <c r="S13" i="11" s="1"/>
  <c r="T13" i="11"/>
  <c r="U13" i="11"/>
  <c r="V13" i="11"/>
  <c r="W13" i="11"/>
  <c r="X13" i="11"/>
  <c r="Y13" i="11"/>
  <c r="K14" i="11"/>
  <c r="S14" i="11"/>
  <c r="T14" i="11"/>
  <c r="U14" i="11"/>
  <c r="V14" i="11"/>
  <c r="W14" i="11"/>
  <c r="X14" i="11"/>
  <c r="Y14" i="11"/>
  <c r="K15" i="11"/>
  <c r="S15" i="11" s="1"/>
  <c r="T15" i="11"/>
  <c r="U15" i="11"/>
  <c r="V15" i="11"/>
  <c r="W15" i="11"/>
  <c r="X15" i="11"/>
  <c r="Y15" i="11"/>
  <c r="K16" i="11"/>
  <c r="S16" i="11" s="1"/>
  <c r="T16" i="11"/>
  <c r="U16" i="11"/>
  <c r="V16" i="11"/>
  <c r="W16" i="11"/>
  <c r="X16" i="11"/>
  <c r="Y16" i="11"/>
  <c r="K17" i="11"/>
  <c r="S17" i="11"/>
  <c r="T17" i="11"/>
  <c r="U17" i="11"/>
  <c r="V17" i="11"/>
  <c r="W17" i="11"/>
  <c r="X17" i="11"/>
  <c r="Y17" i="11"/>
  <c r="K18" i="11"/>
  <c r="S18" i="11" s="1"/>
  <c r="T18" i="11"/>
  <c r="U18" i="11"/>
  <c r="V18" i="11"/>
  <c r="W18" i="11"/>
  <c r="X18" i="11"/>
  <c r="Y18" i="11"/>
  <c r="K19" i="11"/>
  <c r="S19" i="11" s="1"/>
  <c r="T19" i="11"/>
  <c r="U19" i="11"/>
  <c r="V19" i="11"/>
  <c r="W19" i="11"/>
  <c r="X19" i="11"/>
  <c r="Y19" i="11"/>
  <c r="K20" i="11"/>
  <c r="S20" i="11"/>
  <c r="T20" i="11"/>
  <c r="U20" i="11"/>
  <c r="V20" i="11"/>
  <c r="W20" i="11"/>
  <c r="X20" i="11"/>
  <c r="Y20" i="11"/>
  <c r="K21" i="11"/>
  <c r="S21" i="11"/>
  <c r="T21" i="11"/>
  <c r="U21" i="11"/>
  <c r="V21" i="11"/>
  <c r="W21" i="11"/>
  <c r="X21" i="11"/>
  <c r="Y21" i="11"/>
  <c r="K22" i="11"/>
  <c r="S22" i="11"/>
  <c r="T22" i="11"/>
  <c r="U22" i="11"/>
  <c r="V22" i="11"/>
  <c r="W22" i="11"/>
  <c r="X22" i="11"/>
  <c r="Y22" i="11"/>
  <c r="K23" i="11"/>
  <c r="S23" i="11" s="1"/>
  <c r="T23" i="11"/>
  <c r="U23" i="11"/>
  <c r="V23" i="11"/>
  <c r="W23" i="11"/>
  <c r="X23" i="11"/>
  <c r="Y23" i="11"/>
  <c r="K24" i="11"/>
  <c r="S24" i="11"/>
  <c r="T24" i="11"/>
  <c r="U24" i="11"/>
  <c r="V24" i="11"/>
  <c r="W24" i="11"/>
  <c r="X24" i="11"/>
  <c r="Y24" i="11"/>
  <c r="K25" i="11"/>
  <c r="S25" i="11" s="1"/>
  <c r="T25" i="11"/>
  <c r="U25" i="11"/>
  <c r="V25" i="11"/>
  <c r="W25" i="11"/>
  <c r="X25" i="11"/>
  <c r="Y25" i="11"/>
  <c r="L26" i="11"/>
  <c r="M26" i="11"/>
  <c r="N26" i="11"/>
  <c r="O26" i="11"/>
  <c r="P26" i="11"/>
  <c r="Q26" i="11"/>
  <c r="L27" i="11"/>
  <c r="M27" i="11"/>
  <c r="N27" i="11"/>
  <c r="O27" i="11"/>
  <c r="P27" i="11"/>
  <c r="Q27" i="11"/>
  <c r="L37" i="11"/>
  <c r="M37" i="11"/>
  <c r="N37" i="11"/>
  <c r="O37" i="11"/>
  <c r="P37" i="11"/>
  <c r="R37" i="11"/>
  <c r="B41" i="10"/>
  <c r="B48" i="10" s="1"/>
  <c r="B52" i="10" s="1"/>
  <c r="A35" i="10"/>
  <c r="L28" i="10"/>
  <c r="M28" i="10"/>
  <c r="U28" i="10"/>
  <c r="L29" i="10"/>
  <c r="M29" i="10"/>
  <c r="K7" i="10"/>
  <c r="N7" i="10"/>
  <c r="N28" i="10" s="1"/>
  <c r="O7" i="10"/>
  <c r="O28" i="10" s="1"/>
  <c r="P7" i="10"/>
  <c r="P29" i="10" s="1"/>
  <c r="Q7" i="10"/>
  <c r="Y7" i="10" s="1"/>
  <c r="S7" i="10"/>
  <c r="T7" i="10"/>
  <c r="T28" i="10" s="1"/>
  <c r="U7" i="10"/>
  <c r="V7" i="10"/>
  <c r="K8" i="10"/>
  <c r="S8" i="10" s="1"/>
  <c r="N8" i="10"/>
  <c r="V8" i="10" s="1"/>
  <c r="O8" i="10"/>
  <c r="O29" i="10" s="1"/>
  <c r="P8" i="10"/>
  <c r="Q8" i="10"/>
  <c r="T8" i="10"/>
  <c r="U8" i="10"/>
  <c r="U29" i="10" s="1"/>
  <c r="X8" i="10"/>
  <c r="Y8" i="10"/>
  <c r="K9" i="10"/>
  <c r="N9" i="10"/>
  <c r="V9" i="10" s="1"/>
  <c r="O9" i="10"/>
  <c r="W9" i="10" s="1"/>
  <c r="P9" i="10"/>
  <c r="X9" i="10" s="1"/>
  <c r="Q9" i="10"/>
  <c r="Y9" i="10" s="1"/>
  <c r="S9" i="10"/>
  <c r="T9" i="10"/>
  <c r="U9" i="10"/>
  <c r="K10" i="10"/>
  <c r="K28" i="10" s="1"/>
  <c r="N10" i="10"/>
  <c r="V10" i="10" s="1"/>
  <c r="O10" i="10"/>
  <c r="W10" i="10" s="1"/>
  <c r="P10" i="10"/>
  <c r="Q10" i="10"/>
  <c r="Y10" i="10" s="1"/>
  <c r="T10" i="10"/>
  <c r="U10" i="10"/>
  <c r="X10" i="10"/>
  <c r="K11" i="10"/>
  <c r="N11" i="10"/>
  <c r="O11" i="10"/>
  <c r="W11" i="10" s="1"/>
  <c r="P11" i="10"/>
  <c r="X11" i="10" s="1"/>
  <c r="Q11" i="10"/>
  <c r="Y11" i="10" s="1"/>
  <c r="S11" i="10"/>
  <c r="T11" i="10"/>
  <c r="U11" i="10"/>
  <c r="V11" i="10"/>
  <c r="K12" i="10"/>
  <c r="S12" i="10" s="1"/>
  <c r="N12" i="10"/>
  <c r="V12" i="10" s="1"/>
  <c r="O12" i="10"/>
  <c r="W12" i="10" s="1"/>
  <c r="P12" i="10"/>
  <c r="Q12" i="10"/>
  <c r="T12" i="10"/>
  <c r="U12" i="10"/>
  <c r="X12" i="10"/>
  <c r="Y12" i="10"/>
  <c r="K13" i="10"/>
  <c r="N13" i="10"/>
  <c r="V13" i="10" s="1"/>
  <c r="O13" i="10"/>
  <c r="W13" i="10" s="1"/>
  <c r="P13" i="10"/>
  <c r="X13" i="10" s="1"/>
  <c r="Q13" i="10"/>
  <c r="Y13" i="10" s="1"/>
  <c r="S13" i="10"/>
  <c r="T13" i="10"/>
  <c r="U13" i="10"/>
  <c r="K14" i="10"/>
  <c r="S14" i="10" s="1"/>
  <c r="N14" i="10"/>
  <c r="V14" i="10" s="1"/>
  <c r="O14" i="10"/>
  <c r="W14" i="10" s="1"/>
  <c r="P14" i="10"/>
  <c r="Q14" i="10"/>
  <c r="T14" i="10"/>
  <c r="U14" i="10"/>
  <c r="X14" i="10"/>
  <c r="Y14" i="10"/>
  <c r="K15" i="10"/>
  <c r="N15" i="10"/>
  <c r="O15" i="10"/>
  <c r="W15" i="10" s="1"/>
  <c r="P15" i="10"/>
  <c r="X15" i="10" s="1"/>
  <c r="Q15" i="10"/>
  <c r="Y15" i="10" s="1"/>
  <c r="S15" i="10"/>
  <c r="T15" i="10"/>
  <c r="U15" i="10"/>
  <c r="V15" i="10"/>
  <c r="K16" i="10"/>
  <c r="S16" i="10" s="1"/>
  <c r="N16" i="10"/>
  <c r="V16" i="10" s="1"/>
  <c r="O16" i="10"/>
  <c r="W16" i="10" s="1"/>
  <c r="P16" i="10"/>
  <c r="Q16" i="10"/>
  <c r="T16" i="10"/>
  <c r="U16" i="10"/>
  <c r="X16" i="10"/>
  <c r="Y16" i="10"/>
  <c r="K17" i="10"/>
  <c r="N17" i="10"/>
  <c r="V17" i="10" s="1"/>
  <c r="O17" i="10"/>
  <c r="P17" i="10"/>
  <c r="X17" i="10" s="1"/>
  <c r="Q17" i="10"/>
  <c r="Y17" i="10" s="1"/>
  <c r="S17" i="10"/>
  <c r="T17" i="10"/>
  <c r="U17" i="10"/>
  <c r="W17" i="10"/>
  <c r="K18" i="10"/>
  <c r="S18" i="10" s="1"/>
  <c r="N18" i="10"/>
  <c r="V18" i="10" s="1"/>
  <c r="O18" i="10"/>
  <c r="W18" i="10" s="1"/>
  <c r="P18" i="10"/>
  <c r="Q18" i="10"/>
  <c r="T18" i="10"/>
  <c r="U18" i="10"/>
  <c r="X18" i="10"/>
  <c r="Y18" i="10"/>
  <c r="K19" i="10"/>
  <c r="N19" i="10"/>
  <c r="V19" i="10" s="1"/>
  <c r="O19" i="10"/>
  <c r="P19" i="10"/>
  <c r="X19" i="10" s="1"/>
  <c r="Q19" i="10"/>
  <c r="Y19" i="10" s="1"/>
  <c r="S19" i="10"/>
  <c r="T19" i="10"/>
  <c r="U19" i="10"/>
  <c r="W19" i="10"/>
  <c r="K20" i="10"/>
  <c r="N20" i="10"/>
  <c r="O20" i="10"/>
  <c r="P20" i="10"/>
  <c r="Q20" i="10"/>
  <c r="S20" i="10"/>
  <c r="T20" i="10"/>
  <c r="U20" i="10"/>
  <c r="V20" i="10"/>
  <c r="W20" i="10"/>
  <c r="X20" i="10"/>
  <c r="Y20" i="10"/>
  <c r="K21" i="10"/>
  <c r="N21" i="10"/>
  <c r="V21" i="10" s="1"/>
  <c r="O21" i="10"/>
  <c r="P21" i="10"/>
  <c r="X21" i="10" s="1"/>
  <c r="Q21" i="10"/>
  <c r="Y21" i="10" s="1"/>
  <c r="S21" i="10"/>
  <c r="T21" i="10"/>
  <c r="U21" i="10"/>
  <c r="W21" i="10"/>
  <c r="K22" i="10"/>
  <c r="S22" i="10" s="1"/>
  <c r="N22" i="10"/>
  <c r="V22" i="10" s="1"/>
  <c r="O22" i="10"/>
  <c r="W22" i="10" s="1"/>
  <c r="P22" i="10"/>
  <c r="Q22" i="10"/>
  <c r="T22" i="10"/>
  <c r="U22" i="10"/>
  <c r="X22" i="10"/>
  <c r="Y22" i="10"/>
  <c r="K23" i="10"/>
  <c r="N23" i="10"/>
  <c r="V23" i="10" s="1"/>
  <c r="O23" i="10"/>
  <c r="P23" i="10"/>
  <c r="X23" i="10" s="1"/>
  <c r="Q23" i="10"/>
  <c r="Y23" i="10" s="1"/>
  <c r="S23" i="10"/>
  <c r="T23" i="10"/>
  <c r="U23" i="10"/>
  <c r="W23" i="10"/>
  <c r="K24" i="10"/>
  <c r="S24" i="10" s="1"/>
  <c r="N24" i="10"/>
  <c r="V24" i="10" s="1"/>
  <c r="O24" i="10"/>
  <c r="W24" i="10" s="1"/>
  <c r="P24" i="10"/>
  <c r="Q24" i="10"/>
  <c r="Y24" i="10" s="1"/>
  <c r="T24" i="10"/>
  <c r="U24" i="10"/>
  <c r="X24" i="10"/>
  <c r="K25" i="10"/>
  <c r="N25" i="10"/>
  <c r="V25" i="10" s="1"/>
  <c r="O25" i="10"/>
  <c r="P25" i="10"/>
  <c r="X25" i="10" s="1"/>
  <c r="Q25" i="10"/>
  <c r="Y25" i="10" s="1"/>
  <c r="S25" i="10"/>
  <c r="T25" i="10"/>
  <c r="U25" i="10"/>
  <c r="W25" i="10"/>
  <c r="K26" i="10"/>
  <c r="S26" i="10" s="1"/>
  <c r="N26" i="10"/>
  <c r="V26" i="10" s="1"/>
  <c r="O26" i="10"/>
  <c r="W26" i="10" s="1"/>
  <c r="P26" i="10"/>
  <c r="Q26" i="10"/>
  <c r="Y26" i="10" s="1"/>
  <c r="T26" i="10"/>
  <c r="U26" i="10"/>
  <c r="X26" i="10"/>
  <c r="B35" i="3"/>
  <c r="C27" i="1"/>
  <c r="T7" i="3"/>
  <c r="M12" i="2"/>
  <c r="L19" i="2" s="1"/>
  <c r="D12" i="2"/>
  <c r="C19" i="2" s="1"/>
  <c r="M11" i="2"/>
  <c r="D11" i="2"/>
  <c r="D9" i="2"/>
  <c r="C16" i="2" s="1"/>
  <c r="M31" i="2"/>
  <c r="N31" i="2" s="1"/>
  <c r="O31" i="2" s="1"/>
  <c r="P31" i="2" s="1"/>
  <c r="Q31" i="2" s="1"/>
  <c r="R31" i="2" s="1"/>
  <c r="M29" i="3"/>
  <c r="L29" i="3"/>
  <c r="M28" i="3"/>
  <c r="L28" i="3"/>
  <c r="U26" i="3"/>
  <c r="T26" i="3"/>
  <c r="U25" i="3"/>
  <c r="T25" i="3"/>
  <c r="U24" i="3"/>
  <c r="T24" i="3"/>
  <c r="U23" i="3"/>
  <c r="T23" i="3"/>
  <c r="U22" i="3"/>
  <c r="T22" i="3"/>
  <c r="U21" i="3"/>
  <c r="T21" i="3"/>
  <c r="Y20" i="3"/>
  <c r="X20" i="3"/>
  <c r="W20" i="3"/>
  <c r="V20" i="3"/>
  <c r="U20" i="3"/>
  <c r="T20" i="3"/>
  <c r="S20" i="3"/>
  <c r="U19" i="3"/>
  <c r="T19" i="3"/>
  <c r="U18" i="3"/>
  <c r="T18" i="3"/>
  <c r="U17" i="3"/>
  <c r="T17" i="3"/>
  <c r="U16" i="3"/>
  <c r="T16" i="3"/>
  <c r="U15" i="3"/>
  <c r="T15" i="3"/>
  <c r="U14" i="3"/>
  <c r="T14" i="3"/>
  <c r="U13" i="3"/>
  <c r="T13" i="3"/>
  <c r="U12" i="3"/>
  <c r="T12" i="3"/>
  <c r="U11" i="3"/>
  <c r="T11" i="3"/>
  <c r="U10" i="3"/>
  <c r="T10" i="3"/>
  <c r="U9" i="3"/>
  <c r="T9" i="3"/>
  <c r="U8" i="3"/>
  <c r="T8" i="3"/>
  <c r="U7" i="3"/>
  <c r="Q26" i="3"/>
  <c r="Y26" i="3" s="1"/>
  <c r="P26" i="3"/>
  <c r="X26" i="3" s="1"/>
  <c r="O26" i="3"/>
  <c r="W26" i="3" s="1"/>
  <c r="N26" i="3"/>
  <c r="V26" i="3" s="1"/>
  <c r="Q25" i="3"/>
  <c r="Y25" i="3" s="1"/>
  <c r="P25" i="3"/>
  <c r="X25" i="3" s="1"/>
  <c r="O25" i="3"/>
  <c r="W25" i="3" s="1"/>
  <c r="N25" i="3"/>
  <c r="V25" i="3" s="1"/>
  <c r="Q24" i="3"/>
  <c r="Y24" i="3" s="1"/>
  <c r="P24" i="3"/>
  <c r="X24" i="3" s="1"/>
  <c r="O24" i="3"/>
  <c r="W24" i="3" s="1"/>
  <c r="N24" i="3"/>
  <c r="V24" i="3" s="1"/>
  <c r="Q23" i="3"/>
  <c r="Y23" i="3" s="1"/>
  <c r="P23" i="3"/>
  <c r="X23" i="3" s="1"/>
  <c r="O23" i="3"/>
  <c r="W23" i="3" s="1"/>
  <c r="N23" i="3"/>
  <c r="V23" i="3" s="1"/>
  <c r="Q22" i="3"/>
  <c r="Y22" i="3" s="1"/>
  <c r="P22" i="3"/>
  <c r="X22" i="3" s="1"/>
  <c r="O22" i="3"/>
  <c r="W22" i="3" s="1"/>
  <c r="N22" i="3"/>
  <c r="V22" i="3" s="1"/>
  <c r="Q21" i="3"/>
  <c r="Y21" i="3" s="1"/>
  <c r="P21" i="3"/>
  <c r="X21" i="3" s="1"/>
  <c r="O21" i="3"/>
  <c r="W21" i="3" s="1"/>
  <c r="N21" i="3"/>
  <c r="V21" i="3" s="1"/>
  <c r="Q20" i="3"/>
  <c r="P20" i="3"/>
  <c r="O20" i="3"/>
  <c r="N20" i="3"/>
  <c r="Q19" i="3"/>
  <c r="Y19" i="3" s="1"/>
  <c r="P19" i="3"/>
  <c r="X19" i="3" s="1"/>
  <c r="O19" i="3"/>
  <c r="W19" i="3" s="1"/>
  <c r="N19" i="3"/>
  <c r="V19" i="3" s="1"/>
  <c r="Q18" i="3"/>
  <c r="Y18" i="3" s="1"/>
  <c r="P18" i="3"/>
  <c r="X18" i="3" s="1"/>
  <c r="O18" i="3"/>
  <c r="W18" i="3" s="1"/>
  <c r="N18" i="3"/>
  <c r="V18" i="3" s="1"/>
  <c r="Q17" i="3"/>
  <c r="Y17" i="3" s="1"/>
  <c r="P17" i="3"/>
  <c r="X17" i="3" s="1"/>
  <c r="O17" i="3"/>
  <c r="W17" i="3" s="1"/>
  <c r="N17" i="3"/>
  <c r="V17" i="3" s="1"/>
  <c r="Q16" i="3"/>
  <c r="Y16" i="3" s="1"/>
  <c r="P16" i="3"/>
  <c r="X16" i="3" s="1"/>
  <c r="O16" i="3"/>
  <c r="W16" i="3" s="1"/>
  <c r="N16" i="3"/>
  <c r="V16" i="3" s="1"/>
  <c r="Q15" i="3"/>
  <c r="Y15" i="3" s="1"/>
  <c r="P15" i="3"/>
  <c r="X15" i="3" s="1"/>
  <c r="O15" i="3"/>
  <c r="W15" i="3" s="1"/>
  <c r="N15" i="3"/>
  <c r="V15" i="3" s="1"/>
  <c r="Q14" i="3"/>
  <c r="Y14" i="3" s="1"/>
  <c r="P14" i="3"/>
  <c r="X14" i="3" s="1"/>
  <c r="O14" i="3"/>
  <c r="W14" i="3" s="1"/>
  <c r="N14" i="3"/>
  <c r="V14" i="3" s="1"/>
  <c r="Q13" i="3"/>
  <c r="Y13" i="3" s="1"/>
  <c r="P13" i="3"/>
  <c r="X13" i="3" s="1"/>
  <c r="O13" i="3"/>
  <c r="W13" i="3" s="1"/>
  <c r="N13" i="3"/>
  <c r="V13" i="3" s="1"/>
  <c r="Q12" i="3"/>
  <c r="Y12" i="3" s="1"/>
  <c r="P12" i="3"/>
  <c r="X12" i="3" s="1"/>
  <c r="O12" i="3"/>
  <c r="W12" i="3" s="1"/>
  <c r="N12" i="3"/>
  <c r="V12" i="3" s="1"/>
  <c r="Q11" i="3"/>
  <c r="Y11" i="3" s="1"/>
  <c r="P11" i="3"/>
  <c r="X11" i="3" s="1"/>
  <c r="O11" i="3"/>
  <c r="W11" i="3" s="1"/>
  <c r="N11" i="3"/>
  <c r="V11" i="3" s="1"/>
  <c r="Q10" i="3"/>
  <c r="Y10" i="3" s="1"/>
  <c r="P10" i="3"/>
  <c r="X10" i="3" s="1"/>
  <c r="O10" i="3"/>
  <c r="W10" i="3" s="1"/>
  <c r="N10" i="3"/>
  <c r="V10" i="3" s="1"/>
  <c r="Q9" i="3"/>
  <c r="Y9" i="3" s="1"/>
  <c r="P9" i="3"/>
  <c r="X9" i="3" s="1"/>
  <c r="O9" i="3"/>
  <c r="W9" i="3" s="1"/>
  <c r="N9" i="3"/>
  <c r="V9" i="3" s="1"/>
  <c r="Q8" i="3"/>
  <c r="Y8" i="3" s="1"/>
  <c r="P8" i="3"/>
  <c r="X8" i="3" s="1"/>
  <c r="O8" i="3"/>
  <c r="W8" i="3" s="1"/>
  <c r="N8" i="3"/>
  <c r="V8" i="3" s="1"/>
  <c r="Q7" i="3"/>
  <c r="Y7" i="3" s="1"/>
  <c r="P7" i="3"/>
  <c r="X7" i="3" s="1"/>
  <c r="O7" i="3"/>
  <c r="W7" i="3" s="1"/>
  <c r="N7" i="3"/>
  <c r="N29" i="3" s="1"/>
  <c r="E44" i="15" l="1"/>
  <c r="K27" i="14"/>
  <c r="W27" i="11"/>
  <c r="K27" i="11"/>
  <c r="K26" i="11"/>
  <c r="X26" i="11"/>
  <c r="F55" i="15"/>
  <c r="F59" i="15"/>
  <c r="F62" i="15" s="1"/>
  <c r="F40" i="15"/>
  <c r="F47" i="15"/>
  <c r="F54" i="15" s="1"/>
  <c r="G28" i="15"/>
  <c r="E34" i="15"/>
  <c r="G36" i="15"/>
  <c r="F36" i="15"/>
  <c r="H28" i="15"/>
  <c r="G30" i="15"/>
  <c r="G33" i="15" s="1"/>
  <c r="F30" i="15"/>
  <c r="F33" i="15" s="1"/>
  <c r="C51" i="15"/>
  <c r="V26" i="14"/>
  <c r="M55" i="16"/>
  <c r="M56" i="16" s="1"/>
  <c r="M57" i="16" s="1"/>
  <c r="M58" i="16" s="1"/>
  <c r="M59" i="16" s="1"/>
  <c r="M60" i="16" s="1"/>
  <c r="M61" i="16" s="1"/>
  <c r="M62" i="16" s="1"/>
  <c r="M63" i="16" s="1"/>
  <c r="M64" i="16" s="1"/>
  <c r="M65" i="16" s="1"/>
  <c r="M66" i="16" s="1"/>
  <c r="M67" i="16" s="1"/>
  <c r="M68" i="16" s="1"/>
  <c r="M69" i="16" s="1"/>
  <c r="M70" i="16" s="1"/>
  <c r="M71" i="16" s="1"/>
  <c r="M72" i="16" s="1"/>
  <c r="M73" i="16" s="1"/>
  <c r="M74" i="16" s="1"/>
  <c r="M75" i="16" s="1"/>
  <c r="M76" i="16" s="1"/>
  <c r="M77" i="16" s="1"/>
  <c r="M78" i="16" s="1"/>
  <c r="M79" i="16" s="1"/>
  <c r="M80" i="16" s="1"/>
  <c r="M81" i="16" s="1"/>
  <c r="M82" i="16" s="1"/>
  <c r="M83" i="16" s="1"/>
  <c r="M84" i="16" s="1"/>
  <c r="M85" i="16" s="1"/>
  <c r="M86" i="16" s="1"/>
  <c r="M87" i="16" s="1"/>
  <c r="M88" i="16" s="1"/>
  <c r="M89" i="16" s="1"/>
  <c r="M90" i="16" s="1"/>
  <c r="M91" i="16" s="1"/>
  <c r="M92" i="16" s="1"/>
  <c r="M93" i="16" s="1"/>
  <c r="M94" i="16" s="1"/>
  <c r="M95" i="16" s="1"/>
  <c r="M96" i="16" s="1"/>
  <c r="M97" i="16" s="1"/>
  <c r="M98" i="16" s="1"/>
  <c r="M99" i="16" s="1"/>
  <c r="M100" i="16" s="1"/>
  <c r="M101" i="16" s="1"/>
  <c r="M102" i="16" s="1"/>
  <c r="M103" i="16" s="1"/>
  <c r="M104" i="16" s="1"/>
  <c r="O20" i="17"/>
  <c r="I29" i="17" s="1"/>
  <c r="I32" i="17" s="1"/>
  <c r="I39" i="17" s="1"/>
  <c r="I26" i="17" s="1"/>
  <c r="Q18" i="17"/>
  <c r="P20" i="17"/>
  <c r="H29" i="17" s="1"/>
  <c r="H32" i="17" s="1"/>
  <c r="H39" i="17" s="1"/>
  <c r="H26" i="17" s="1"/>
  <c r="O18" i="17"/>
  <c r="Q20" i="17"/>
  <c r="G29" i="17" s="1"/>
  <c r="G32" i="17" s="1"/>
  <c r="G39" i="17" s="1"/>
  <c r="G26" i="17" s="1"/>
  <c r="O21" i="17"/>
  <c r="I30" i="17" s="1"/>
  <c r="I33" i="17" s="1"/>
  <c r="I40" i="17" s="1"/>
  <c r="I28" i="17" s="1"/>
  <c r="P21" i="17"/>
  <c r="H30" i="17" s="1"/>
  <c r="H33" i="17" s="1"/>
  <c r="H40" i="17" s="1"/>
  <c r="H28" i="17" s="1"/>
  <c r="O19" i="17"/>
  <c r="Q21" i="17"/>
  <c r="G30" i="17" s="1"/>
  <c r="G33" i="17" s="1"/>
  <c r="G40" i="17" s="1"/>
  <c r="G28" i="17" s="1"/>
  <c r="P19" i="17"/>
  <c r="Q19" i="17"/>
  <c r="P18" i="17"/>
  <c r="E54" i="15"/>
  <c r="P20" i="12"/>
  <c r="H29" i="12" s="1"/>
  <c r="Q20" i="12"/>
  <c r="G29" i="12" s="1"/>
  <c r="O20" i="12"/>
  <c r="I29" i="12" s="1"/>
  <c r="Q21" i="12"/>
  <c r="G30" i="12" s="1"/>
  <c r="O21" i="12"/>
  <c r="I30" i="12" s="1"/>
  <c r="P21" i="12"/>
  <c r="H30" i="12" s="1"/>
  <c r="X27" i="11"/>
  <c r="V26" i="11"/>
  <c r="W26" i="11"/>
  <c r="U26" i="11"/>
  <c r="X27" i="14"/>
  <c r="Y26" i="14"/>
  <c r="T26" i="14"/>
  <c r="V27" i="14"/>
  <c r="X26" i="14"/>
  <c r="T27" i="14"/>
  <c r="U27" i="14"/>
  <c r="K26" i="14"/>
  <c r="S7" i="14"/>
  <c r="U26" i="14"/>
  <c r="W27" i="14"/>
  <c r="W26" i="14"/>
  <c r="H34" i="14" s="1"/>
  <c r="Y27" i="14"/>
  <c r="O20" i="13"/>
  <c r="N19" i="13"/>
  <c r="N20" i="13"/>
  <c r="P20" i="13"/>
  <c r="C27" i="13"/>
  <c r="C33" i="13" s="1"/>
  <c r="C40" i="13" s="1"/>
  <c r="C44" i="13" s="1"/>
  <c r="P19" i="13"/>
  <c r="O19" i="13"/>
  <c r="Q18" i="12"/>
  <c r="P19" i="12"/>
  <c r="P18" i="12"/>
  <c r="Q19" i="12"/>
  <c r="O19" i="12"/>
  <c r="E26" i="12" s="1"/>
  <c r="O18" i="12"/>
  <c r="S26" i="11"/>
  <c r="U27" i="11"/>
  <c r="T27" i="11"/>
  <c r="Y27" i="11"/>
  <c r="V27" i="11"/>
  <c r="S27" i="11"/>
  <c r="Y26" i="11"/>
  <c r="R44" i="11"/>
  <c r="R47" i="11" s="1"/>
  <c r="T26" i="11"/>
  <c r="B34" i="11" s="1"/>
  <c r="R45" i="11"/>
  <c r="R48" i="11" s="1"/>
  <c r="Y29" i="10"/>
  <c r="Y28" i="10"/>
  <c r="V29" i="10"/>
  <c r="V28" i="10"/>
  <c r="X7" i="10"/>
  <c r="T29" i="10"/>
  <c r="K29" i="10"/>
  <c r="Q28" i="10"/>
  <c r="W8" i="10"/>
  <c r="N29" i="10"/>
  <c r="S10" i="10"/>
  <c r="S28" i="10" s="1"/>
  <c r="W7" i="10"/>
  <c r="S29" i="10"/>
  <c r="P28" i="10"/>
  <c r="Q29" i="10"/>
  <c r="W28" i="3"/>
  <c r="X28" i="3"/>
  <c r="T28" i="3"/>
  <c r="W29" i="3"/>
  <c r="V7" i="3"/>
  <c r="U29" i="3"/>
  <c r="V29" i="3"/>
  <c r="T29" i="3"/>
  <c r="Y28" i="3"/>
  <c r="U28" i="3"/>
  <c r="O29" i="3"/>
  <c r="X29" i="3"/>
  <c r="V28" i="3"/>
  <c r="P29" i="3"/>
  <c r="Y29" i="3"/>
  <c r="N28" i="3"/>
  <c r="Q29" i="3"/>
  <c r="O28" i="3"/>
  <c r="P28" i="3"/>
  <c r="Q28" i="3"/>
  <c r="F44" i="15" l="1"/>
  <c r="E34" i="11"/>
  <c r="E54" i="11" s="1"/>
  <c r="W28" i="11"/>
  <c r="W29" i="11" s="1"/>
  <c r="C26" i="12"/>
  <c r="C32" i="12" s="1"/>
  <c r="C39" i="12" s="1"/>
  <c r="H40" i="14"/>
  <c r="H50" i="14" s="1"/>
  <c r="H54" i="14" s="1"/>
  <c r="U28" i="14"/>
  <c r="U29" i="14" s="1"/>
  <c r="X28" i="14"/>
  <c r="X29" i="14" s="1"/>
  <c r="W28" i="14"/>
  <c r="W29" i="14" s="1"/>
  <c r="T28" i="14"/>
  <c r="T29" i="14" s="1"/>
  <c r="X28" i="11"/>
  <c r="X29" i="11" s="1"/>
  <c r="V28" i="14"/>
  <c r="V29" i="14" s="1"/>
  <c r="Y28" i="14"/>
  <c r="Y29" i="14" s="1"/>
  <c r="G34" i="11"/>
  <c r="G40" i="11" s="1"/>
  <c r="G50" i="11" s="1"/>
  <c r="G54" i="11" s="1"/>
  <c r="H34" i="11"/>
  <c r="H40" i="11" s="1"/>
  <c r="H50" i="11" s="1"/>
  <c r="H54" i="11" s="1"/>
  <c r="H55" i="15"/>
  <c r="H59" i="15"/>
  <c r="G55" i="15"/>
  <c r="G59" i="15"/>
  <c r="G62" i="15" s="1"/>
  <c r="H40" i="15"/>
  <c r="H47" i="15"/>
  <c r="H54" i="15" s="1"/>
  <c r="G40" i="15"/>
  <c r="G44" i="15" s="1"/>
  <c r="G47" i="15"/>
  <c r="G54" i="15" s="1"/>
  <c r="F34" i="15"/>
  <c r="G34" i="15"/>
  <c r="H36" i="15"/>
  <c r="I28" i="15"/>
  <c r="H30" i="15"/>
  <c r="H33" i="15" s="1"/>
  <c r="H44" i="15" s="1"/>
  <c r="C26" i="17"/>
  <c r="C32" i="17" s="1"/>
  <c r="C39" i="17" s="1"/>
  <c r="C43" i="17" s="1"/>
  <c r="D26" i="17"/>
  <c r="D32" i="17" s="1"/>
  <c r="D39" i="17" s="1"/>
  <c r="D43" i="17" s="1"/>
  <c r="E26" i="17"/>
  <c r="E32" i="17" s="1"/>
  <c r="E39" i="17" s="1"/>
  <c r="E43" i="17" s="1"/>
  <c r="I23" i="17"/>
  <c r="I24" i="17"/>
  <c r="G23" i="17"/>
  <c r="G24" i="17"/>
  <c r="H23" i="17"/>
  <c r="H24" i="17"/>
  <c r="I33" i="12"/>
  <c r="I40" i="12" s="1"/>
  <c r="I28" i="12" s="1"/>
  <c r="H32" i="12"/>
  <c r="H39" i="12" s="1"/>
  <c r="H26" i="12" s="1"/>
  <c r="I32" i="12"/>
  <c r="I39" i="12" s="1"/>
  <c r="I26" i="12" s="1"/>
  <c r="H33" i="12"/>
  <c r="H40" i="12" s="1"/>
  <c r="H28" i="12" s="1"/>
  <c r="E32" i="12"/>
  <c r="E39" i="12" s="1"/>
  <c r="E43" i="12" s="1"/>
  <c r="G33" i="12"/>
  <c r="G40" i="12" s="1"/>
  <c r="G28" i="12" s="1"/>
  <c r="G32" i="12"/>
  <c r="G39" i="12" s="1"/>
  <c r="G26" i="12" s="1"/>
  <c r="D26" i="12"/>
  <c r="H70" i="15"/>
  <c r="I70" i="15"/>
  <c r="F70" i="15"/>
  <c r="G70" i="15"/>
  <c r="E70" i="15"/>
  <c r="V28" i="11"/>
  <c r="V29" i="11" s="1"/>
  <c r="U28" i="11"/>
  <c r="G34" i="14"/>
  <c r="G40" i="14" s="1"/>
  <c r="G50" i="14" s="1"/>
  <c r="G54" i="14" s="1"/>
  <c r="C34" i="14"/>
  <c r="C40" i="14" s="1"/>
  <c r="C50" i="14" s="1"/>
  <c r="C54" i="14" s="1"/>
  <c r="S26" i="14"/>
  <c r="S27" i="14"/>
  <c r="I34" i="14" s="1"/>
  <c r="I40" i="14" s="1"/>
  <c r="I50" i="14" s="1"/>
  <c r="I54" i="14" s="1"/>
  <c r="S28" i="11"/>
  <c r="S29" i="11" s="1"/>
  <c r="B40" i="11"/>
  <c r="B50" i="11" s="1"/>
  <c r="B54" i="11" s="1"/>
  <c r="D34" i="11"/>
  <c r="D40" i="11" s="1"/>
  <c r="D50" i="11" s="1"/>
  <c r="D54" i="11" s="1"/>
  <c r="I34" i="11"/>
  <c r="I54" i="11" s="1"/>
  <c r="C34" i="11"/>
  <c r="C40" i="11" s="1"/>
  <c r="C50" i="11" s="1"/>
  <c r="C54" i="11" s="1"/>
  <c r="E50" i="11"/>
  <c r="Y28" i="11"/>
  <c r="T28" i="11"/>
  <c r="W28" i="10"/>
  <c r="W29" i="10"/>
  <c r="B35" i="10"/>
  <c r="X28" i="10"/>
  <c r="X29" i="10"/>
  <c r="M38" i="14" l="1" a="1"/>
  <c r="M38" i="14" s="1"/>
  <c r="M41" i="14" s="1"/>
  <c r="M45" i="14" s="1"/>
  <c r="M36" i="14" s="1"/>
  <c r="S28" i="14"/>
  <c r="S29" i="14" s="1"/>
  <c r="P41" i="11" a="1"/>
  <c r="P41" i="11" s="1"/>
  <c r="U29" i="11"/>
  <c r="Q42" i="11" s="1" a="1"/>
  <c r="Q42" i="11" s="1"/>
  <c r="Q45" i="11" s="1"/>
  <c r="Q48" i="11" s="1"/>
  <c r="Q40" i="11" s="1"/>
  <c r="Q41" i="11" a="1"/>
  <c r="Q41" i="11" s="1"/>
  <c r="Q44" i="11" s="1"/>
  <c r="Q47" i="11" s="1"/>
  <c r="Q38" i="11" s="1"/>
  <c r="C47" i="17"/>
  <c r="C46" i="17"/>
  <c r="C45" i="17"/>
  <c r="C49" i="17" s="1"/>
  <c r="E7" i="23" s="1"/>
  <c r="B56" i="11"/>
  <c r="B60" i="11" s="1"/>
  <c r="D5" i="23" s="1"/>
  <c r="C43" i="12"/>
  <c r="D32" i="12"/>
  <c r="D39" i="12" s="1"/>
  <c r="D43" i="12" s="1"/>
  <c r="I55" i="15"/>
  <c r="I59" i="15"/>
  <c r="I62" i="15" s="1"/>
  <c r="H62" i="15"/>
  <c r="I40" i="15"/>
  <c r="I47" i="15"/>
  <c r="I54" i="15" s="1"/>
  <c r="H34" i="15"/>
  <c r="I36" i="15"/>
  <c r="I30" i="15"/>
  <c r="I33" i="15" s="1"/>
  <c r="Q38" i="14" a="1"/>
  <c r="Q38" i="14" s="1"/>
  <c r="Q37" i="14" a="1"/>
  <c r="Q37" i="14" s="1"/>
  <c r="I24" i="12"/>
  <c r="I23" i="12"/>
  <c r="G23" i="12"/>
  <c r="G24" i="12"/>
  <c r="H24" i="12"/>
  <c r="H23" i="12"/>
  <c r="O41" i="11" a="1"/>
  <c r="O41" i="11" s="1"/>
  <c r="O44" i="11" s="1"/>
  <c r="O47" i="11" s="1"/>
  <c r="O38" i="11" s="1"/>
  <c r="O42" i="11" a="1"/>
  <c r="O42" i="11" s="1"/>
  <c r="O45" i="11" s="1"/>
  <c r="O48" i="11" s="1"/>
  <c r="O40" i="11" s="1"/>
  <c r="M37" i="14" a="1"/>
  <c r="M37" i="14" s="1"/>
  <c r="M40" i="14" s="1"/>
  <c r="M44" i="14" s="1"/>
  <c r="M34" i="14" s="1"/>
  <c r="E34" i="14"/>
  <c r="E40" i="14" s="1"/>
  <c r="E50" i="14" s="1"/>
  <c r="E54" i="14" s="1"/>
  <c r="P38" i="14" a="1"/>
  <c r="P38" i="14" s="1"/>
  <c r="P37" i="14" a="1"/>
  <c r="P37" i="14" s="1"/>
  <c r="R37" i="14" a="1"/>
  <c r="R37" i="14" s="1"/>
  <c r="R40" i="14" s="1"/>
  <c r="R44" i="14" s="1"/>
  <c r="R34" i="14" s="1"/>
  <c r="B34" i="14"/>
  <c r="B40" i="14" s="1"/>
  <c r="B50" i="14" s="1"/>
  <c r="B54" i="14" s="1"/>
  <c r="D34" i="14"/>
  <c r="D40" i="14" s="1"/>
  <c r="D50" i="14" s="1"/>
  <c r="D54" i="14" s="1"/>
  <c r="P44" i="11"/>
  <c r="P47" i="11" s="1"/>
  <c r="P38" i="11" s="1"/>
  <c r="L41" i="11" a="1"/>
  <c r="L41" i="11" s="1"/>
  <c r="L44" i="11" s="1"/>
  <c r="L47" i="11" s="1"/>
  <c r="L38" i="11" s="1"/>
  <c r="N41" i="11" a="1"/>
  <c r="N41" i="11" s="1"/>
  <c r="N44" i="11" s="1"/>
  <c r="N47" i="11" s="1"/>
  <c r="N38" i="11" s="1"/>
  <c r="R41" i="11" a="1"/>
  <c r="R41" i="11" s="1"/>
  <c r="R38" i="11" s="1"/>
  <c r="M41" i="11" a="1"/>
  <c r="M41" i="11" s="1"/>
  <c r="B58" i="11"/>
  <c r="T29" i="11"/>
  <c r="Y29" i="11"/>
  <c r="I44" i="15" l="1"/>
  <c r="M35" i="14"/>
  <c r="Q40" i="14"/>
  <c r="Q44" i="14" s="1"/>
  <c r="Q34" i="14" s="1"/>
  <c r="Q41" i="14"/>
  <c r="Q45" i="14" s="1"/>
  <c r="Q36" i="14" s="1"/>
  <c r="C47" i="12"/>
  <c r="C45" i="12"/>
  <c r="C46" i="12"/>
  <c r="C49" i="12" s="1"/>
  <c r="E5" i="23" s="1"/>
  <c r="E6" i="23" s="1"/>
  <c r="P40" i="14"/>
  <c r="P44" i="14" s="1"/>
  <c r="P34" i="14" s="1"/>
  <c r="P41" i="14"/>
  <c r="P45" i="14" s="1"/>
  <c r="P36" i="14" s="1"/>
  <c r="Q39" i="11"/>
  <c r="B57" i="11"/>
  <c r="B57" i="14"/>
  <c r="B58" i="14"/>
  <c r="B56" i="14"/>
  <c r="B60" i="14" s="1"/>
  <c r="D7" i="23" s="1"/>
  <c r="D6" i="23" s="1"/>
  <c r="P42" i="11" a="1"/>
  <c r="P42" i="11" s="1"/>
  <c r="P45" i="11" s="1"/>
  <c r="P48" i="11" s="1"/>
  <c r="P40" i="11" s="1"/>
  <c r="P39" i="11" s="1"/>
  <c r="I34" i="15"/>
  <c r="O39" i="11"/>
  <c r="N37" i="14" a="1"/>
  <c r="N37" i="14" s="1"/>
  <c r="N40" i="14" s="1"/>
  <c r="N44" i="14" s="1"/>
  <c r="N34" i="14" s="1"/>
  <c r="O37" i="14" a="1"/>
  <c r="O37" i="14" s="1"/>
  <c r="O40" i="14" s="1"/>
  <c r="O44" i="14" s="1"/>
  <c r="O34" i="14" s="1"/>
  <c r="L37" i="14" a="1"/>
  <c r="L37" i="14" s="1"/>
  <c r="L40" i="14" s="1"/>
  <c r="L44" i="14" s="1"/>
  <c r="L34" i="14" s="1"/>
  <c r="R38" i="14" a="1"/>
  <c r="R38" i="14" s="1"/>
  <c r="R41" i="14" s="1"/>
  <c r="R45" i="14" s="1"/>
  <c r="R36" i="14" s="1"/>
  <c r="R35" i="14" s="1"/>
  <c r="M44" i="11"/>
  <c r="M47" i="11" s="1"/>
  <c r="M38" i="11" s="1"/>
  <c r="L42" i="11" a="1"/>
  <c r="L42" i="11" s="1"/>
  <c r="L45" i="11" s="1"/>
  <c r="L48" i="11" s="1"/>
  <c r="L40" i="11" s="1"/>
  <c r="L39" i="11" s="1"/>
  <c r="N42" i="11" a="1"/>
  <c r="N42" i="11" s="1"/>
  <c r="N45" i="11" s="1"/>
  <c r="N48" i="11" s="1"/>
  <c r="N40" i="11" s="1"/>
  <c r="N39" i="11" s="1"/>
  <c r="R42" i="11" a="1"/>
  <c r="R42" i="11" s="1"/>
  <c r="R40" i="11" s="1"/>
  <c r="R39" i="11" s="1"/>
  <c r="M42" i="11" a="1"/>
  <c r="M42" i="11" s="1"/>
  <c r="M45" i="11" s="1"/>
  <c r="M48" i="11" s="1"/>
  <c r="M40" i="11" s="1"/>
  <c r="C33" i="1"/>
  <c r="A35" i="3"/>
  <c r="B27" i="1"/>
  <c r="O17" i="1"/>
  <c r="P17" i="1"/>
  <c r="O16" i="1"/>
  <c r="P16" i="1"/>
  <c r="O15" i="1"/>
  <c r="P15" i="1"/>
  <c r="O14" i="1"/>
  <c r="P14" i="1"/>
  <c r="O13" i="1"/>
  <c r="P13" i="1"/>
  <c r="O12" i="1"/>
  <c r="P12" i="1"/>
  <c r="O11" i="1"/>
  <c r="P11" i="1"/>
  <c r="O10" i="1"/>
  <c r="P10" i="1"/>
  <c r="O9" i="1"/>
  <c r="P9" i="1"/>
  <c r="O8" i="1"/>
  <c r="P8" i="1"/>
  <c r="P7" i="1"/>
  <c r="O7" i="1"/>
  <c r="N7" i="1"/>
  <c r="N8" i="1"/>
  <c r="N9" i="1"/>
  <c r="N10" i="1"/>
  <c r="N11" i="1"/>
  <c r="N12" i="1"/>
  <c r="N13" i="1"/>
  <c r="N14" i="1"/>
  <c r="N15" i="1"/>
  <c r="N16" i="1"/>
  <c r="N17" i="1"/>
  <c r="N6" i="1"/>
  <c r="O6" i="1"/>
  <c r="P6" i="1"/>
  <c r="D31" i="2"/>
  <c r="E31" i="2" s="1"/>
  <c r="F31" i="2" s="1"/>
  <c r="G31" i="2" s="1"/>
  <c r="H31" i="2" s="1"/>
  <c r="I31" i="2" s="1"/>
  <c r="M8" i="2"/>
  <c r="D15" i="5"/>
  <c r="E15" i="5"/>
  <c r="F15" i="5"/>
  <c r="C15" i="5"/>
  <c r="D9" i="5"/>
  <c r="E9" i="5"/>
  <c r="F9" i="5"/>
  <c r="C9" i="5"/>
  <c r="K12" i="3"/>
  <c r="S12" i="3" s="1"/>
  <c r="K7" i="3"/>
  <c r="K28" i="3" s="1"/>
  <c r="K8" i="3"/>
  <c r="S8" i="3" s="1"/>
  <c r="K26" i="3"/>
  <c r="S26" i="3" s="1"/>
  <c r="K25" i="3"/>
  <c r="S25" i="3" s="1"/>
  <c r="K24" i="3"/>
  <c r="S24" i="3" s="1"/>
  <c r="K23" i="3"/>
  <c r="S23" i="3" s="1"/>
  <c r="K22" i="3"/>
  <c r="S22" i="3" s="1"/>
  <c r="K21" i="3"/>
  <c r="S21" i="3" s="1"/>
  <c r="K20" i="3"/>
  <c r="K19" i="3"/>
  <c r="S19" i="3" s="1"/>
  <c r="K18" i="3"/>
  <c r="S18" i="3" s="1"/>
  <c r="K17" i="3"/>
  <c r="S17" i="3" s="1"/>
  <c r="K16" i="3"/>
  <c r="S16" i="3" s="1"/>
  <c r="K15" i="3"/>
  <c r="S15" i="3" s="1"/>
  <c r="K14" i="3"/>
  <c r="S14" i="3" s="1"/>
  <c r="K13" i="3"/>
  <c r="S13" i="3" s="1"/>
  <c r="K11" i="3"/>
  <c r="S11" i="3" s="1"/>
  <c r="K10" i="3"/>
  <c r="S10" i="3" s="1"/>
  <c r="K9" i="3"/>
  <c r="S9" i="3" s="1"/>
  <c r="M10" i="2"/>
  <c r="L17" i="2" s="1"/>
  <c r="M9" i="2"/>
  <c r="L16" i="2" s="1"/>
  <c r="M7" i="2"/>
  <c r="M6" i="2"/>
  <c r="B17" i="1"/>
  <c r="B16" i="1"/>
  <c r="B15" i="1"/>
  <c r="B14" i="1"/>
  <c r="B13" i="1"/>
  <c r="B12" i="1"/>
  <c r="B11" i="1"/>
  <c r="D10" i="2"/>
  <c r="C17" i="2" s="1"/>
  <c r="D8" i="2"/>
  <c r="D7" i="2"/>
  <c r="D6" i="2"/>
  <c r="B10" i="1"/>
  <c r="B9" i="1"/>
  <c r="B8" i="1"/>
  <c r="B7" i="1"/>
  <c r="B6" i="1"/>
  <c r="Q35" i="14" l="1"/>
  <c r="P35" i="14"/>
  <c r="L38" i="14" a="1"/>
  <c r="L38" i="14" s="1"/>
  <c r="L41" i="14" s="1"/>
  <c r="L45" i="14" s="1"/>
  <c r="L36" i="14" s="1"/>
  <c r="L35" i="14" s="1"/>
  <c r="O38" i="14" a="1"/>
  <c r="O38" i="14" s="1"/>
  <c r="O41" i="14" s="1"/>
  <c r="O45" i="14" s="1"/>
  <c r="O36" i="14" s="1"/>
  <c r="O35" i="14" s="1"/>
  <c r="N38" i="14" a="1"/>
  <c r="N38" i="14" s="1"/>
  <c r="N41" i="14" s="1"/>
  <c r="N45" i="14" s="1"/>
  <c r="N36" i="14" s="1"/>
  <c r="N35" i="14" s="1"/>
  <c r="M39" i="11"/>
  <c r="F18" i="5"/>
  <c r="E17" i="5"/>
  <c r="E18" i="5" s="1"/>
  <c r="D17" i="5"/>
  <c r="D20" i="5" s="1"/>
  <c r="C17" i="5"/>
  <c r="C18" i="5" s="1"/>
  <c r="C31" i="5"/>
  <c r="C30" i="5"/>
  <c r="C26" i="5"/>
  <c r="C24" i="5"/>
  <c r="F31" i="5"/>
  <c r="F30" i="5"/>
  <c r="F26" i="5"/>
  <c r="F24" i="5"/>
  <c r="E31" i="5"/>
  <c r="E30" i="5"/>
  <c r="E26" i="5"/>
  <c r="E24" i="5"/>
  <c r="D31" i="5"/>
  <c r="D30" i="5"/>
  <c r="D26" i="5"/>
  <c r="D24" i="5"/>
  <c r="C29" i="5"/>
  <c r="C25" i="5"/>
  <c r="F29" i="5"/>
  <c r="F25" i="5"/>
  <c r="E29" i="5"/>
  <c r="E25" i="5"/>
  <c r="D29" i="5"/>
  <c r="D25" i="5"/>
  <c r="S7" i="3"/>
  <c r="K29" i="3"/>
  <c r="B41" i="3"/>
  <c r="B48" i="3" s="1"/>
  <c r="B52" i="3" s="1"/>
  <c r="C40" i="1"/>
  <c r="C44" i="1" s="1"/>
  <c r="O26" i="2"/>
  <c r="N26" i="2"/>
  <c r="M26" i="2"/>
  <c r="R26" i="2"/>
  <c r="Q26" i="2"/>
  <c r="P26" i="2"/>
  <c r="D18" i="5" l="1"/>
  <c r="E20" i="5"/>
  <c r="F20" i="5"/>
  <c r="H20" i="5" s="1"/>
  <c r="M19" i="2"/>
  <c r="N19" i="2" s="1"/>
  <c r="O19" i="2" s="1"/>
  <c r="P19" i="2" s="1"/>
  <c r="Q19" i="2" s="1"/>
  <c r="R19" i="2" s="1"/>
  <c r="M16" i="2"/>
  <c r="N16" i="2" s="1"/>
  <c r="O16" i="2" s="1"/>
  <c r="P16" i="2" s="1"/>
  <c r="Q16" i="2" s="1"/>
  <c r="R16" i="2" s="1"/>
  <c r="S28" i="3"/>
  <c r="S29" i="3"/>
  <c r="L26" i="2"/>
  <c r="C27" i="2" l="1"/>
  <c r="C29" i="2" s="1"/>
  <c r="L27" i="2"/>
  <c r="E16" i="2"/>
  <c r="F16" i="2" s="1"/>
  <c r="G16" i="2" s="1"/>
  <c r="H16" i="2" s="1"/>
  <c r="I16" i="2" s="1"/>
  <c r="C25" i="2"/>
  <c r="D19" i="2"/>
  <c r="E19" i="2" s="1"/>
  <c r="F19" i="2" s="1"/>
  <c r="G19" i="2" s="1"/>
  <c r="H19" i="2" s="1"/>
  <c r="I19" i="2" s="1"/>
  <c r="R25" i="2" s="1"/>
  <c r="M25" i="2"/>
  <c r="Q25" i="2"/>
  <c r="L25" i="2"/>
  <c r="O25" i="2"/>
  <c r="P25" i="2"/>
  <c r="C20" i="2"/>
  <c r="C21" i="2" s="1"/>
  <c r="M17" i="2"/>
  <c r="L18" i="2"/>
  <c r="D4" i="2"/>
  <c r="C18" i="2"/>
  <c r="M27" i="2" l="1"/>
  <c r="N27" i="2" s="1"/>
  <c r="O27" i="2" s="1"/>
  <c r="P27" i="2" s="1"/>
  <c r="Q27" i="2" s="1"/>
  <c r="R27" i="2" s="1"/>
  <c r="L29" i="2"/>
  <c r="D27" i="2"/>
  <c r="E27" i="2" s="1"/>
  <c r="F27" i="2" s="1"/>
  <c r="G27" i="2" s="1"/>
  <c r="H27" i="2" s="1"/>
  <c r="I27" i="2" s="1"/>
  <c r="D18" i="2"/>
  <c r="D20" i="2"/>
  <c r="D21" i="2" s="1"/>
  <c r="I25" i="2"/>
  <c r="D25" i="2"/>
  <c r="H25" i="2"/>
  <c r="G25" i="2"/>
  <c r="F25" i="2"/>
  <c r="N25" i="2"/>
  <c r="E25" i="2"/>
  <c r="M20" i="2"/>
  <c r="M21" i="2" s="1"/>
  <c r="L20" i="2"/>
  <c r="F17" i="2"/>
  <c r="G17" i="2" s="1"/>
  <c r="H17" i="2" s="1"/>
  <c r="I17" i="2" s="1"/>
  <c r="N17" i="2"/>
  <c r="N20" i="2" s="1"/>
  <c r="M18" i="2"/>
  <c r="L30" i="2"/>
  <c r="D5" i="2"/>
  <c r="C22" i="2"/>
  <c r="C23" i="2" s="1"/>
  <c r="L23" i="2" l="1"/>
  <c r="C30" i="2"/>
  <c r="I32" i="2" s="1"/>
  <c r="L21" i="2"/>
  <c r="L22" i="2"/>
  <c r="D22" i="2"/>
  <c r="D23" i="2" s="1"/>
  <c r="D29" i="2" s="1"/>
  <c r="D33" i="2" s="1"/>
  <c r="M22" i="2"/>
  <c r="M23" i="2" s="1"/>
  <c r="M29" i="2" s="1"/>
  <c r="N21" i="2"/>
  <c r="N22" i="2"/>
  <c r="N23" i="2" s="1"/>
  <c r="N29" i="2" s="1"/>
  <c r="P32" i="2"/>
  <c r="N32" i="2"/>
  <c r="M32" i="2"/>
  <c r="R32" i="2"/>
  <c r="Q32" i="2"/>
  <c r="O32" i="2"/>
  <c r="L32" i="2"/>
  <c r="E20" i="2"/>
  <c r="E21" i="2" s="1"/>
  <c r="E18" i="2"/>
  <c r="N18" i="2"/>
  <c r="O17" i="2"/>
  <c r="O20" i="2" s="1"/>
  <c r="F18" i="2"/>
  <c r="F20" i="2"/>
  <c r="F21" i="2" s="1"/>
  <c r="D32" i="2" l="1"/>
  <c r="E32" i="2"/>
  <c r="F32" i="2"/>
  <c r="G32" i="2"/>
  <c r="C33" i="2"/>
  <c r="H32" i="2"/>
  <c r="M33" i="2"/>
  <c r="N33" i="2"/>
  <c r="O21" i="2"/>
  <c r="O22" i="2"/>
  <c r="O23" i="2" s="1"/>
  <c r="O29" i="2" s="1"/>
  <c r="O33" i="2" s="1"/>
  <c r="E22" i="2"/>
  <c r="E23" i="2" s="1"/>
  <c r="E29" i="2" s="1"/>
  <c r="P17" i="2"/>
  <c r="P20" i="2" s="1"/>
  <c r="O18" i="2"/>
  <c r="F22" i="2"/>
  <c r="F23" i="2" s="1"/>
  <c r="F29" i="2" s="1"/>
  <c r="G18" i="2"/>
  <c r="G20" i="2"/>
  <c r="G21" i="2" s="1"/>
  <c r="F33" i="2" l="1"/>
  <c r="E33" i="2"/>
  <c r="P21" i="2"/>
  <c r="P22" i="2"/>
  <c r="P23" i="2" s="1"/>
  <c r="P29" i="2" s="1"/>
  <c r="P33" i="2" s="1"/>
  <c r="Q17" i="2"/>
  <c r="Q20" i="2" s="1"/>
  <c r="P18" i="2"/>
  <c r="I18" i="2"/>
  <c r="I20" i="2"/>
  <c r="I21" i="2" s="1"/>
  <c r="G22" i="2"/>
  <c r="G23" i="2" s="1"/>
  <c r="G29" i="2" s="1"/>
  <c r="G33" i="2" s="1"/>
  <c r="H18" i="2"/>
  <c r="H20" i="2"/>
  <c r="H21" i="2" s="1"/>
  <c r="Q21" i="2" l="1"/>
  <c r="Q22" i="2"/>
  <c r="Q23" i="2" s="1"/>
  <c r="Q29" i="2" s="1"/>
  <c r="Q33" i="2" s="1"/>
  <c r="R17" i="2"/>
  <c r="Q18" i="2"/>
  <c r="H22" i="2"/>
  <c r="H23" i="2" s="1"/>
  <c r="H29" i="2" s="1"/>
  <c r="H33" i="2" s="1"/>
  <c r="I22" i="2"/>
  <c r="I23" i="2" s="1"/>
  <c r="I29" i="2" s="1"/>
  <c r="I33" i="2" s="1"/>
  <c r="C35" i="2" l="1"/>
  <c r="C37" i="2" s="1"/>
  <c r="R18" i="2"/>
  <c r="R20" i="2"/>
  <c r="R21" i="2" l="1"/>
  <c r="R22" i="2"/>
  <c r="R23" i="2" s="1"/>
  <c r="R29" i="2" s="1"/>
  <c r="R33" i="2" s="1"/>
  <c r="L35" i="2" s="1"/>
  <c r="L37" i="2" s="1"/>
  <c r="D50" i="15" l="1"/>
  <c r="D45" i="15"/>
  <c r="E45" i="15" l="1"/>
  <c r="E50" i="15"/>
  <c r="D53" i="15"/>
  <c r="D51" i="15"/>
  <c r="D65" i="15" l="1"/>
  <c r="D66" i="15" s="1"/>
  <c r="D71" i="15" s="1"/>
  <c r="F50" i="15"/>
  <c r="F45" i="15"/>
  <c r="E53" i="15"/>
  <c r="E65" i="15" s="1"/>
  <c r="E66" i="15" s="1"/>
  <c r="E71" i="15" s="1"/>
  <c r="E51" i="15"/>
  <c r="F51" i="15" l="1"/>
  <c r="F53" i="15"/>
  <c r="F65" i="15" s="1"/>
  <c r="F66" i="15" s="1"/>
  <c r="F71" i="15" s="1"/>
  <c r="G45" i="15"/>
  <c r="G50" i="15"/>
  <c r="G53" i="15" l="1"/>
  <c r="G65" i="15" s="1"/>
  <c r="G66" i="15" s="1"/>
  <c r="G71" i="15" s="1"/>
  <c r="G51" i="15"/>
  <c r="H50" i="15"/>
  <c r="H45" i="15"/>
  <c r="H51" i="15" l="1"/>
  <c r="H53" i="15"/>
  <c r="H65" i="15" s="1"/>
  <c r="H66" i="15" s="1"/>
  <c r="H71" i="15" s="1"/>
  <c r="I50" i="15"/>
  <c r="I45" i="15"/>
  <c r="I53" i="15" l="1"/>
  <c r="I65" i="15" s="1"/>
  <c r="I66" i="15" s="1"/>
  <c r="I71" i="15" s="1"/>
  <c r="C73" i="15" s="1"/>
  <c r="C75" i="15" s="1"/>
  <c r="C82" i="15" s="1"/>
  <c r="C86" i="15" s="1"/>
  <c r="C5" i="23" s="1"/>
  <c r="C6" i="23" s="1"/>
  <c r="I51"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<sst xmlns="http://schemas.openxmlformats.org/spreadsheetml/2006/main" count="1342" uniqueCount="400">
  <si>
    <t>Precedent Transactions Analysis - Seller Case</t>
  </si>
  <si>
    <t>Transaction</t>
  </si>
  <si>
    <t>Valuation</t>
  </si>
  <si>
    <t>Include in Valuation</t>
  </si>
  <si>
    <t>Selected Ratios</t>
  </si>
  <si>
    <t>Yes</t>
  </si>
  <si>
    <t>Average</t>
  </si>
  <si>
    <t>Date</t>
  </si>
  <si>
    <t>Target Company</t>
  </si>
  <si>
    <t>Value ($M)</t>
  </si>
  <si>
    <t>Buyers</t>
  </si>
  <si>
    <t>Type of Transaction</t>
  </si>
  <si>
    <t>Valuation/Sales</t>
  </si>
  <si>
    <t>Valuation/EBITDA</t>
  </si>
  <si>
    <t>Valuation/EBIT</t>
  </si>
  <si>
    <t>No</t>
  </si>
  <si>
    <t>Median</t>
  </si>
  <si>
    <t>Mazda Motor</t>
  </si>
  <si>
    <t>Bolt</t>
  </si>
  <si>
    <t>M&amp;A</t>
  </si>
  <si>
    <t>SsangYong Motor Company</t>
  </si>
  <si>
    <t>KG Group (Korea), Cactus Private Equity, and Kyobo AIM Asset Management</t>
  </si>
  <si>
    <t>Pioneer</t>
  </si>
  <si>
    <t>BPEA EQT and HERE Global</t>
  </si>
  <si>
    <t>Leveraged Buyout</t>
  </si>
  <si>
    <t>Erwin Hymer Group</t>
  </si>
  <si>
    <t>Thor Industries</t>
  </si>
  <si>
    <t>Europcar Mobility Group</t>
  </si>
  <si>
    <t>Volkswagen Group</t>
  </si>
  <si>
    <t>Suvanto Trucks</t>
  </si>
  <si>
    <t>Wetteri Group</t>
  </si>
  <si>
    <t>General Motors</t>
  </si>
  <si>
    <t>The Goldman Sachs Group</t>
  </si>
  <si>
    <t>Secondary Transaction - Private</t>
  </si>
  <si>
    <t xml:space="preserve">Renault Automative </t>
  </si>
  <si>
    <t>The Government of France</t>
  </si>
  <si>
    <t>Suzuki Motor</t>
  </si>
  <si>
    <t>Undisclosed</t>
  </si>
  <si>
    <t>Geety Automobile Holdings</t>
  </si>
  <si>
    <t>`</t>
  </si>
  <si>
    <t>Tata Motors</t>
  </si>
  <si>
    <t>Tata Group</t>
  </si>
  <si>
    <t>Mercedes-Benz Group</t>
  </si>
  <si>
    <t>Which Ratio Would You Like to Use?</t>
  </si>
  <si>
    <t>Would You Like to Use the Median or Average?</t>
  </si>
  <si>
    <t>Sales (2024)</t>
  </si>
  <si>
    <t>EBITDA (2024)</t>
  </si>
  <si>
    <t>EBIT (2024)</t>
  </si>
  <si>
    <r>
      <rPr>
        <sz val="12"/>
        <color rgb="FF000000"/>
        <rFont val="Calibri"/>
        <family val="2"/>
      </rPr>
      <t xml:space="preserve">Enterprise Value </t>
    </r>
    <r>
      <rPr>
        <i/>
        <sz val="12"/>
        <color rgb="FF000000"/>
        <rFont val="Calibri"/>
        <family val="2"/>
      </rPr>
      <t>($M)</t>
    </r>
  </si>
  <si>
    <t>Net Debt</t>
  </si>
  <si>
    <t>Preferred Equity</t>
  </si>
  <si>
    <t>Non-Controlling Interest</t>
  </si>
  <si>
    <t>Equity Value</t>
  </si>
  <si>
    <r>
      <rPr>
        <sz val="12"/>
        <color rgb="FF000000"/>
        <rFont val="Calibri"/>
        <family val="2"/>
      </rPr>
      <t xml:space="preserve">Shares Outstanding </t>
    </r>
    <r>
      <rPr>
        <i/>
        <sz val="12"/>
        <color rgb="FF000000"/>
        <rFont val="Calibri"/>
        <family val="2"/>
      </rPr>
      <t>(in millions)</t>
    </r>
  </si>
  <si>
    <t>Share Price</t>
  </si>
  <si>
    <t>Problem</t>
  </si>
  <si>
    <t>You are an investment banking associate at Evercore in the Automotive M&amp;A Group. One of Evercore’s clients, Honda, is looking to make a fast-paced acquisition in the Automotive industry, specifically Kia. Your Managing Director has a meeting with the sell-side banker, Morgan Stanley representing Kia. 
To prepare for this meeting, he needs you to build him a that will provide him with all the inputs required to build two valuations. The first valuation will be from the perspective of the acquirer (Honda) where the valuation will be pessimistic. The second valuation will be from the perspective of the target (Kia) where the valuation will be optimistic. The goal of these two valuations is to best prepare your Managing Director with his meeting to help him negotiate effectively with the sell-side bankers. It will help him justify the lower valuation and convince the bankers to price it lower.</t>
  </si>
  <si>
    <t>Precedent Transactions Analysis - Buyer Case</t>
  </si>
  <si>
    <t>Quartile 1</t>
  </si>
  <si>
    <t>Quartile 3</t>
  </si>
  <si>
    <r>
      <t xml:space="preserve">Enterprise Value </t>
    </r>
    <r>
      <rPr>
        <b/>
        <i/>
        <sz val="12"/>
        <color rgb="FF000000"/>
        <rFont val="Calibri"/>
        <family val="2"/>
      </rPr>
      <t>($M)</t>
    </r>
  </si>
  <si>
    <r>
      <t xml:space="preserve">Equity Value </t>
    </r>
    <r>
      <rPr>
        <b/>
        <i/>
        <sz val="12"/>
        <color theme="1"/>
        <rFont val="Calibri"/>
        <family val="2"/>
      </rPr>
      <t>($M)</t>
    </r>
  </si>
  <si>
    <t>Min</t>
  </si>
  <si>
    <t>Max</t>
  </si>
  <si>
    <t>Which Share Price Would You Like to Use?</t>
  </si>
  <si>
    <t>Chosen Share Price</t>
  </si>
  <si>
    <t>Comparable Companies Analysis</t>
  </si>
  <si>
    <t>Included in Valuation</t>
  </si>
  <si>
    <t>Market Data</t>
  </si>
  <si>
    <t>Financial Data</t>
  </si>
  <si>
    <t>Price</t>
  </si>
  <si>
    <t>Market Cap</t>
  </si>
  <si>
    <t>TEV</t>
  </si>
  <si>
    <t>Sales</t>
  </si>
  <si>
    <t>EBITDA</t>
  </si>
  <si>
    <t>Earnings</t>
  </si>
  <si>
    <t>EV/Sales</t>
  </si>
  <si>
    <t>EV/EBITDA</t>
  </si>
  <si>
    <t>EV/EBIT</t>
  </si>
  <si>
    <t>P/BV (x)</t>
  </si>
  <si>
    <t>P/E (x)</t>
  </si>
  <si>
    <t>P/FCF</t>
  </si>
  <si>
    <t>P/sales</t>
  </si>
  <si>
    <t>Company Name</t>
  </si>
  <si>
    <t>($/Share)</t>
  </si>
  <si>
    <t>($M)</t>
  </si>
  <si>
    <t>Kia</t>
  </si>
  <si>
    <t>Stellantis</t>
  </si>
  <si>
    <t>Daewon Sanup</t>
  </si>
  <si>
    <t>SUBARU</t>
  </si>
  <si>
    <t>Nissan Motor</t>
  </si>
  <si>
    <t>-</t>
  </si>
  <si>
    <t>Ford Motor</t>
  </si>
  <si>
    <t>Volkswagen</t>
  </si>
  <si>
    <t>Toyota Motor</t>
  </si>
  <si>
    <t>Honda Motor</t>
  </si>
  <si>
    <t>Mitsubishi Motors</t>
  </si>
  <si>
    <t>Tesla</t>
  </si>
  <si>
    <t>Renault</t>
  </si>
  <si>
    <t>BMW</t>
  </si>
  <si>
    <t>Porsche</t>
  </si>
  <si>
    <t>SNT MOTIV</t>
  </si>
  <si>
    <r>
      <t xml:space="preserve">Enterprise Value </t>
    </r>
    <r>
      <rPr>
        <b/>
        <i/>
        <sz val="12"/>
        <color theme="1"/>
        <rFont val="Calibri"/>
        <family val="2"/>
      </rPr>
      <t>($M)</t>
    </r>
  </si>
  <si>
    <t>1st quartile</t>
  </si>
  <si>
    <t>3rd quartile</t>
  </si>
  <si>
    <t>EPS</t>
  </si>
  <si>
    <t>Sales per Share</t>
  </si>
  <si>
    <t>FCF Per Share</t>
  </si>
  <si>
    <t>Book Value Per Share</t>
  </si>
  <si>
    <r>
      <t xml:space="preserve">Shares Outstanding </t>
    </r>
    <r>
      <rPr>
        <i/>
        <sz val="12"/>
        <color theme="1"/>
        <rFont val="Calibri"/>
        <family val="2"/>
      </rPr>
      <t>(in millions)</t>
    </r>
  </si>
  <si>
    <t>Included in Valuation?</t>
  </si>
  <si>
    <t>Share Price Used</t>
  </si>
  <si>
    <t>DCF Model - Buyer Case</t>
  </si>
  <si>
    <t>Inputs</t>
  </si>
  <si>
    <t>Revenue Growth - 2024</t>
  </si>
  <si>
    <t>SG&amp;A Change - 2045</t>
  </si>
  <si>
    <t>D&amp;A Change - 2024</t>
  </si>
  <si>
    <t>CapEx Change - 2024</t>
  </si>
  <si>
    <t>Revenue Growth - 2025</t>
  </si>
  <si>
    <t>SG&amp;A Change - 2025</t>
  </si>
  <si>
    <t>D&amp;A Change - 2025</t>
  </si>
  <si>
    <t>CapEx Change - 2025</t>
  </si>
  <si>
    <t>WACC</t>
  </si>
  <si>
    <t>Revenue Growth - 2026</t>
  </si>
  <si>
    <t>SG&amp;A Change - 2026</t>
  </si>
  <si>
    <t>D&amp;A Change - 2026</t>
  </si>
  <si>
    <t>CapEx Change - 2026</t>
  </si>
  <si>
    <t>Debt</t>
  </si>
  <si>
    <t xml:space="preserve">Preferred Equity </t>
  </si>
  <si>
    <t>Revenue Growth - 2027</t>
  </si>
  <si>
    <t>SG&amp;A Change - 2027</t>
  </si>
  <si>
    <t>D&amp;A Change - 2027</t>
  </si>
  <si>
    <t>CapEx Change - 2027</t>
  </si>
  <si>
    <t>Cost of Debt</t>
  </si>
  <si>
    <t>Cost of Preferred Equity</t>
  </si>
  <si>
    <t>Revenue Growth - 2028</t>
  </si>
  <si>
    <t>SG&amp;A Change - 2028</t>
  </si>
  <si>
    <t>D&amp;A Change - 2028</t>
  </si>
  <si>
    <t>CapEx Change - 2028</t>
  </si>
  <si>
    <t>Debt-to-Enterprise Value Ratio</t>
  </si>
  <si>
    <t>Preferred Equity-to-Enterprise Value Ratio</t>
  </si>
  <si>
    <t>Revenue Growth - 2029</t>
  </si>
  <si>
    <t>SG&amp;A Change - 2029</t>
  </si>
  <si>
    <t>D&amp;A Change - 2029</t>
  </si>
  <si>
    <t>CapEx Change - 2029</t>
  </si>
  <si>
    <t>Common Equity</t>
  </si>
  <si>
    <t>COGS Change - 2024</t>
  </si>
  <si>
    <t>Other Operating Expense/(Income) Growth - 2024</t>
  </si>
  <si>
    <t>NWC Change - 2024</t>
  </si>
  <si>
    <t>COGS Change - 2025</t>
  </si>
  <si>
    <t>Other Operating Expense/(Income) Growth - 2025</t>
  </si>
  <si>
    <t>Tax Rate</t>
  </si>
  <si>
    <t>NWC Change - 2025</t>
  </si>
  <si>
    <t>Cost of Equity (CAPM)</t>
  </si>
  <si>
    <t>COGS Change - 2026</t>
  </si>
  <si>
    <t>Other Operating Expense/(Income) Growth - 2026</t>
  </si>
  <si>
    <t>NWC Change - 2026</t>
  </si>
  <si>
    <t>Risk-Free Rate</t>
  </si>
  <si>
    <t>COGS Change - 2027</t>
  </si>
  <si>
    <t>Other Operating Expense/(Income) Growth - 2027</t>
  </si>
  <si>
    <t>EBITDA Exit Multiple</t>
  </si>
  <si>
    <t>NWC Change - 2027</t>
  </si>
  <si>
    <t>Expected Market Return</t>
  </si>
  <si>
    <t>COGS Change - 2028</t>
  </si>
  <si>
    <t>Other Operating Expense/(Income) Growth - 2028</t>
  </si>
  <si>
    <t>NWC Change - 2028</t>
  </si>
  <si>
    <t>Beta</t>
  </si>
  <si>
    <t>COGS Change - 2029</t>
  </si>
  <si>
    <t>Other Operating Expense/(Income) Growth - 2029</t>
  </si>
  <si>
    <t>NWC Change - 2029</t>
  </si>
  <si>
    <t>Common Equity-to-Enterprise Value Ratio</t>
  </si>
  <si>
    <t>Note: 2023A Inputs are From FactSet</t>
  </si>
  <si>
    <t>2023A</t>
  </si>
  <si>
    <t>2024F</t>
  </si>
  <si>
    <t>2025F</t>
  </si>
  <si>
    <t>2026F</t>
  </si>
  <si>
    <t>2027F</t>
  </si>
  <si>
    <t>2028F</t>
  </si>
  <si>
    <t>2029F</t>
  </si>
  <si>
    <t>Revenue</t>
  </si>
  <si>
    <t>Revenue Growth %</t>
  </si>
  <si>
    <t>Cost of Goods Sold (COGS)</t>
  </si>
  <si>
    <t>% of revenue</t>
  </si>
  <si>
    <t>Change</t>
  </si>
  <si>
    <t>Gross Profit</t>
  </si>
  <si>
    <t>Gross Margin %</t>
  </si>
  <si>
    <t>Selling General &amp; Administrative Exp.</t>
  </si>
  <si>
    <t>% of Revenue</t>
  </si>
  <si>
    <t>Other Operating Expenses/(Income)</t>
  </si>
  <si>
    <t>Margin %</t>
  </si>
  <si>
    <t>Depreciation &amp; Amortization</t>
  </si>
  <si>
    <t>EBIT</t>
  </si>
  <si>
    <t>Margin</t>
  </si>
  <si>
    <t>Less: Taxes</t>
  </si>
  <si>
    <t>Plus: Depreciation &amp; Amortization</t>
  </si>
  <si>
    <t>Less: Capital Expenditures</t>
  </si>
  <si>
    <t>Less: Inc./(Dec.) in Net Working Capital</t>
  </si>
  <si>
    <t>Net Working Capital Requirements</t>
  </si>
  <si>
    <t>Change in NWC</t>
  </si>
  <si>
    <t>Terminal Value</t>
  </si>
  <si>
    <t>Unlevered Free Cash Flow</t>
  </si>
  <si>
    <t>Sum of Free Cash Flow</t>
  </si>
  <si>
    <t>Discount Period</t>
  </si>
  <si>
    <t>Discount Factor</t>
  </si>
  <si>
    <t xml:space="preserve"> Present Value of Free Cash Flow</t>
  </si>
  <si>
    <t>Sum of PV FCF</t>
  </si>
  <si>
    <t>Enterprise Value</t>
  </si>
  <si>
    <t>Equity Value( in millions of USD)</t>
  </si>
  <si>
    <r>
      <rPr>
        <sz val="12"/>
        <color theme="1"/>
        <rFont val="Calibri"/>
        <family val="2"/>
      </rPr>
      <t>Shares Outstanding</t>
    </r>
    <r>
      <rPr>
        <b/>
        <sz val="12"/>
        <color theme="1"/>
        <rFont val="Calibri"/>
        <family val="2"/>
      </rPr>
      <t xml:space="preserve"> </t>
    </r>
    <r>
      <rPr>
        <i/>
        <sz val="12"/>
        <color theme="1"/>
        <rFont val="Calibri"/>
        <family val="2"/>
      </rPr>
      <t>(In millions)</t>
    </r>
  </si>
  <si>
    <t>Share Price ( in USD)</t>
  </si>
  <si>
    <t>SG&amp;A Change - 2024</t>
  </si>
  <si>
    <t>DCF Model - Seller Case</t>
  </si>
  <si>
    <t>Other Operating Expenses/Income</t>
  </si>
  <si>
    <t>Sum</t>
  </si>
  <si>
    <r>
      <t xml:space="preserve">Equity Value </t>
    </r>
    <r>
      <rPr>
        <b/>
        <i/>
        <sz val="12"/>
        <color theme="1"/>
        <rFont val="Calibri"/>
        <family val="2"/>
      </rPr>
      <t>(In millions)</t>
    </r>
  </si>
  <si>
    <t xml:space="preserve">Share Price </t>
  </si>
  <si>
    <t>Precedent Transactions Analysis</t>
  </si>
  <si>
    <t>Shares Outstanding</t>
  </si>
  <si>
    <t>shares outstanding</t>
  </si>
  <si>
    <t>P/BV</t>
  </si>
  <si>
    <t>P/E</t>
  </si>
  <si>
    <t xml:space="preserve">No </t>
  </si>
  <si>
    <t>Firstec</t>
  </si>
  <si>
    <t>Sales Growth</t>
  </si>
  <si>
    <t>Final Share Price Range</t>
  </si>
  <si>
    <t>DCF Valuation</t>
  </si>
  <si>
    <t>Comps Valuation</t>
  </si>
  <si>
    <t>Precedents Valuation</t>
  </si>
  <si>
    <t>Buyer</t>
  </si>
  <si>
    <t>Difference</t>
  </si>
  <si>
    <t>Seller</t>
  </si>
  <si>
    <t>A buyer will be looking to value at Kia between $45.28 and $69.61, while a seller will be looking to value Kia between $94.33 and $139.83</t>
  </si>
  <si>
    <t>Total Debt</t>
  </si>
  <si>
    <t>Total Equity</t>
  </si>
  <si>
    <t>Total Shareholders Equity</t>
  </si>
  <si>
    <t>Weight of Debt</t>
  </si>
  <si>
    <t>Weight of Equity</t>
  </si>
  <si>
    <t>Cost of Equity</t>
  </si>
  <si>
    <t>Tax rate</t>
  </si>
  <si>
    <t>Revenue Growth</t>
  </si>
  <si>
    <t>Change in EBITDA</t>
  </si>
  <si>
    <t>Change in D&amp;A</t>
  </si>
  <si>
    <t>Change in CAPEX</t>
  </si>
  <si>
    <t>DCF Model 1</t>
  </si>
  <si>
    <t>DCF Model 2</t>
  </si>
  <si>
    <t>Projections from KIA Perspective</t>
  </si>
  <si>
    <t xml:space="preserve">Projections from Honda Pespective </t>
  </si>
  <si>
    <t xml:space="preserve">   % margin</t>
  </si>
  <si>
    <t>Taxes</t>
  </si>
  <si>
    <t>EBIAT</t>
  </si>
  <si>
    <t xml:space="preserve">Sum of PV FCF </t>
  </si>
  <si>
    <t>Kia Corporation (000270-KR)</t>
  </si>
  <si>
    <t>W97800.00</t>
  </si>
  <si>
    <t>Kia Corporation</t>
  </si>
  <si>
    <t xml:space="preserve">000270-KR   6490928   Korea    Common stock    </t>
  </si>
  <si>
    <t>Source: FactSet Fundamentals</t>
  </si>
  <si>
    <t>DEC '20</t>
  </si>
  <si>
    <t>DEC '21</t>
  </si>
  <si>
    <t>DEC '22</t>
  </si>
  <si>
    <t>DEC '23</t>
  </si>
  <si>
    <t>Income Statement</t>
  </si>
  <si>
    <t>Gross Income</t>
  </si>
  <si>
    <t>Net Income</t>
  </si>
  <si>
    <t>Balance Sheet</t>
  </si>
  <si>
    <t>Cash &amp; Short-Term Investments</t>
  </si>
  <si>
    <t>Total Assets</t>
  </si>
  <si>
    <t>Total Liabilities</t>
  </si>
  <si>
    <t>Total Shareholders' Equity</t>
  </si>
  <si>
    <t>Cash Flow</t>
  </si>
  <si>
    <t>Net Operating Cash Flow</t>
  </si>
  <si>
    <t>Capital Expenditures</t>
  </si>
  <si>
    <t>Net Investing Cash Flow</t>
  </si>
  <si>
    <t>Net Financing Cash Flow</t>
  </si>
  <si>
    <t>Free Cash Flow</t>
  </si>
  <si>
    <t>Supplemental</t>
  </si>
  <si>
    <t>Operating Lease Commitments</t>
  </si>
  <si>
    <t>Long Term Debt Maturities</t>
  </si>
  <si>
    <t>Audit Information</t>
  </si>
  <si>
    <t>Fees</t>
  </si>
  <si>
    <t>Opinion</t>
  </si>
  <si>
    <t>Unqualified</t>
  </si>
  <si>
    <t>Pension</t>
  </si>
  <si>
    <t>Pension Funded Status</t>
  </si>
  <si>
    <t>Pension Expense</t>
  </si>
  <si>
    <t>All figures in millions of U.S. Dollar.</t>
  </si>
  <si>
    <t>Assets</t>
  </si>
  <si>
    <t>Cash Only</t>
  </si>
  <si>
    <t>Total Short Term Investments</t>
  </si>
  <si>
    <t>Short-Term Receivables</t>
  </si>
  <si>
    <t>Accounts Receivables, Net</t>
  </si>
  <si>
    <t>Accounts Receivables, Gross</t>
  </si>
  <si>
    <t>Bad Debt/Doubtful Accounts</t>
  </si>
  <si>
    <t>Other Receivables</t>
  </si>
  <si>
    <t>Inventories</t>
  </si>
  <si>
    <t>Finished Goods</t>
  </si>
  <si>
    <t>Work in Progress</t>
  </si>
  <si>
    <t>Raw Materials</t>
  </si>
  <si>
    <t>Other Current Assets</t>
  </si>
  <si>
    <t>Prepaid Expenses</t>
  </si>
  <si>
    <t>Miscellaneous Current Assets</t>
  </si>
  <si>
    <t>Total Current Assets</t>
  </si>
  <si>
    <t>Net Property, Plant &amp; Equipment</t>
  </si>
  <si>
    <t>Property, Plant &amp; Equipment - Gross</t>
  </si>
  <si>
    <t>Buildings</t>
  </si>
  <si>
    <t>Land &amp; Improvements</t>
  </si>
  <si>
    <t>Machinery &amp; Equipment</t>
  </si>
  <si>
    <t>Construction in Progress</t>
  </si>
  <si>
    <t>Leases</t>
  </si>
  <si>
    <t>Transportation Equipment</t>
  </si>
  <si>
    <t>Other Property, Plant &amp; Equipment</t>
  </si>
  <si>
    <t>Operating Lease Right-of-Use Assets</t>
  </si>
  <si>
    <t>Accumulated Depreciation</t>
  </si>
  <si>
    <t xml:space="preserve">Total Long-Term Investments </t>
  </si>
  <si>
    <t>LT Investment - Affiliate Companies</t>
  </si>
  <si>
    <t>Other Long-Term Investments</t>
  </si>
  <si>
    <t>Long-Term Note Receivable</t>
  </si>
  <si>
    <t>Intangible Assets</t>
  </si>
  <si>
    <t>Goodwill</t>
  </si>
  <si>
    <t>Other Intangible Assets</t>
  </si>
  <si>
    <t>Deferred Tax Assets</t>
  </si>
  <si>
    <t>Other Assets</t>
  </si>
  <si>
    <t>Deferred Charges</t>
  </si>
  <si>
    <t>Tangible Other Assets</t>
  </si>
  <si>
    <t>Liabilities &amp; Shareholders' Equity</t>
  </si>
  <si>
    <t>Current</t>
  </si>
  <si>
    <t>ST Debt &amp; Curr. Portion LT Debt</t>
  </si>
  <si>
    <t>Accounts Payable</t>
  </si>
  <si>
    <t>Income Tax Payable</t>
  </si>
  <si>
    <t>Other Current Liabilities</t>
  </si>
  <si>
    <t>Dividends Payable</t>
  </si>
  <si>
    <t>Miscellaneous Current Liabilities</t>
  </si>
  <si>
    <t>Total Current Liabilities</t>
  </si>
  <si>
    <t>Long-Term</t>
  </si>
  <si>
    <t>Long-Term Debt</t>
  </si>
  <si>
    <t>Long-Term Debt excl Lease Obligations</t>
  </si>
  <si>
    <t>Capital and Operating Lease Obligations</t>
  </si>
  <si>
    <t>Provision for Risks &amp; Charges</t>
  </si>
  <si>
    <t>Deferred Tax Liabilities</t>
  </si>
  <si>
    <t>Other Liabilities</t>
  </si>
  <si>
    <t>Other Liabilities (excl. Deferred Income)</t>
  </si>
  <si>
    <t>Deferred Income</t>
  </si>
  <si>
    <t>Equity</t>
  </si>
  <si>
    <t>Common Stock Par/Carry Value</t>
  </si>
  <si>
    <t>Additional Paid-In Capital/Capital Surplus</t>
  </si>
  <si>
    <t>Retained Earnings</t>
  </si>
  <si>
    <t>Cumulative Translation Adjustment/Unrealized For. Exch. Gain</t>
  </si>
  <si>
    <t>Unrealized Gain/Loss Marketable Securities</t>
  </si>
  <si>
    <t>Other Appropriated Reserves</t>
  </si>
  <si>
    <t>Unappropriated Reserves</t>
  </si>
  <si>
    <t>Treasury Stock</t>
  </si>
  <si>
    <t>Accumulated Minority Interest</t>
  </si>
  <si>
    <t>Total Liabilities &amp; Shareholders' Equity</t>
  </si>
  <si>
    <t>Per Share</t>
  </si>
  <si>
    <t>Book Value per Share</t>
  </si>
  <si>
    <t>Tangible Book Value per Share</t>
  </si>
  <si>
    <t>All figures in millions of U.S. Dollar except per share items.</t>
  </si>
  <si>
    <t>All figures are in millions of USD</t>
  </si>
  <si>
    <t>Cost of Goods Sold</t>
  </si>
  <si>
    <t>Current Assets</t>
  </si>
  <si>
    <t>Accounts Receivable</t>
  </si>
  <si>
    <t>Prepaid Expenses and Other</t>
  </si>
  <si>
    <t xml:space="preserve">   Total Current Assets</t>
  </si>
  <si>
    <t>Current Liabilities</t>
  </si>
  <si>
    <t>Accrued Liabilities</t>
  </si>
  <si>
    <t xml:space="preserve">   Total Current Liabilities</t>
  </si>
  <si>
    <t xml:space="preserve">   Net Working Capital</t>
  </si>
  <si>
    <t xml:space="preserve">   % sales</t>
  </si>
  <si>
    <t xml:space="preserve">   (Increase) / Decrease in NWC</t>
  </si>
  <si>
    <t>On average NWC decrease by that amount</t>
  </si>
  <si>
    <t>Assume it decreases by 2% each quarter</t>
  </si>
  <si>
    <t>Assumptions</t>
  </si>
  <si>
    <t>Days Sales Outstanding</t>
  </si>
  <si>
    <t>Days Inventory Held</t>
  </si>
  <si>
    <t>Prepaids and Other CA (% of sales)</t>
  </si>
  <si>
    <t>Days Payable Outstanding</t>
  </si>
  <si>
    <t>Accrued Liabilities (% of sales)</t>
  </si>
  <si>
    <t>Other Current Liabilities (% of sales)</t>
  </si>
  <si>
    <t>Disclaimer: Accrued Liabilities consisted of Income Tax Payable, Short Term and Long Term Debt, and Dividend Payable</t>
  </si>
  <si>
    <t>Book Value</t>
  </si>
  <si>
    <t>Price to</t>
  </si>
  <si>
    <t>Company</t>
  </si>
  <si>
    <t>Shares</t>
  </si>
  <si>
    <t>Market</t>
  </si>
  <si>
    <t>Enterprise</t>
  </si>
  <si>
    <t>per Share</t>
  </si>
  <si>
    <t>FCF</t>
  </si>
  <si>
    <t>to Sales</t>
  </si>
  <si>
    <t>EV/</t>
  </si>
  <si>
    <t>EV/SALES</t>
  </si>
  <si>
    <t>Name</t>
  </si>
  <si>
    <t>Outstanding</t>
  </si>
  <si>
    <t>Value</t>
  </si>
  <si>
    <t>FCF PS</t>
  </si>
  <si>
    <t>Actual</t>
  </si>
  <si>
    <t>Actual (x)</t>
  </si>
  <si>
    <t>EBITDA (x)</t>
  </si>
  <si>
    <t>EBIT (x)</t>
  </si>
  <si>
    <t>Sales (x)</t>
  </si>
  <si>
    <t>NTM (x)</t>
  </si>
  <si>
    <t>Mitsubishi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</si>
</sst>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4" formatCode="_(&quot;$&quot;* #,##0.00_);_(&quot;$&quot;* \(#,##0.00\);_(&quot;$&quot;* &quot;-&quot;??_);_(@_)"/>
    <numFmt numFmtId="43" formatCode="_(* #,##0.00_);_(* \(#,##0.00\);_(* &quot;-&quot;??_);_(@_)"/>
    <numFmt numFmtId="164" formatCode="_-[$₩-412]* #,##0.00_-;\-[$₩-412]* #,##0.00_-;_-[$₩-412]* &quot;-&quot;??_-;_-@_-"/>
    <numFmt numFmtId="165" formatCode="#,##0.000"/>
    <numFmt numFmtId="166" formatCode="0.00\x"/>
    <numFmt numFmtId="167" formatCode="#,##0.0"/>
    <numFmt numFmtId="168" formatCode="_([$$-409]* #,##0.00_);_([$$-409]* \(#,##0.00\);_([$$-409]* &quot;-&quot;??_);_(@_)"/>
    <numFmt numFmtId="169" formatCode="_-[$$-409]* #,##0.0000000_ ;_-[$$-409]* \-#,##0.0000000\ ;_-[$$-409]* &quot;-&quot;???????_ ;_-@_ "/>
    <numFmt numFmtId="170" formatCode="#,##0.00\x"/>
    <numFmt numFmtId="171" formatCode="0.0000%"/>
    <numFmt numFmtId="172" formatCode="&quot;$&quot;#,##0.00"/>
    <numFmt numFmtId="173" formatCode="_(* #,##0_);_(* \(#,##0\);_(* &quot;-&quot;??_);_(@_)"/>
    <numFmt numFmtId="174" formatCode="&quot;$&quot;#,##0"/>
    <numFmt numFmtId="175" formatCode="0\x"/>
    <numFmt numFmtId="176" formatCode="0E+00"/>
    <numFmt numFmtId="177" formatCode="0.0"/>
    <numFmt numFmtId="178" formatCode="0.00000000000000%"/>
    <numFmt numFmtId="179" formatCode="0.0000000000000000%"/>
    <numFmt numFmtId="180" formatCode="0.00000000000000000%"/>
    <numFmt numFmtId="181" formatCode="0.00000000000000000000%"/>
  </numFmts>
  <fonts count="45" x14ac:knownFonts="1">
    <font>
      <sz val="11"/>
      <color theme="1"/>
      <name val="Aptos Narrow"/>
      <family val="2"/>
      <scheme val="minor"/>
    </font>
    <font>
      <sz val="12"/>
      <color theme="0"/>
      <name val="Calibri"/>
      <family val="2"/>
    </font>
    <font>
      <sz val="12"/>
      <color theme="1"/>
      <name val="Calibri"/>
      <family val="2"/>
    </font>
    <font>
      <b/>
      <sz val="12"/>
      <color theme="0"/>
      <name val="Calibri"/>
      <family val="2"/>
    </font>
    <font>
      <b/>
      <sz val="10"/>
      <color theme="1"/>
      <name val="Arial"/>
      <family val="2"/>
    </font>
    <font>
      <b/>
      <sz val="10"/>
      <color rgb="FF003366"/>
      <name val="Arial"/>
      <family val="2"/>
    </font>
    <font>
      <sz val="10"/>
      <color rgb="FFFF0000"/>
      <name val="Arial"/>
      <family val="2"/>
    </font>
    <font>
      <sz val="11"/>
      <color theme="1"/>
      <name val="Aptos Narrow"/>
      <family val="2"/>
      <scheme val="minor"/>
    </font>
    <font>
      <sz val="11"/>
      <color theme="0"/>
      <name val="Aptos Narrow"/>
      <family val="2"/>
      <scheme val="minor"/>
    </font>
    <font>
      <sz val="10"/>
      <color theme="1"/>
      <name val="Arial"/>
      <family val="2"/>
    </font>
    <font>
      <sz val="9"/>
      <color indexed="0"/>
      <name val="Helvetica"/>
      <family val="2"/>
    </font>
    <font>
      <b/>
      <sz val="10"/>
      <name val="Arial"/>
      <family val="2"/>
    </font>
    <font>
      <i/>
      <sz val="10"/>
      <name val="Arial"/>
      <family val="2"/>
    </font>
    <font>
      <sz val="10"/>
      <name val="Arial"/>
      <family val="2"/>
    </font>
    <font>
      <b/>
      <sz val="10"/>
      <color indexed="0"/>
      <name val="Arial"/>
      <family val="2"/>
    </font>
    <font>
      <sz val="10"/>
      <color indexed="0"/>
      <name val="Arial"/>
      <family val="2"/>
    </font>
    <font>
      <b/>
      <sz val="11"/>
      <color theme="1"/>
      <name val="Aptos Narrow"/>
      <family val="2"/>
      <scheme val="minor"/>
    </font>
    <font>
      <b/>
      <sz val="10"/>
      <color rgb="FF000000"/>
      <name val="Arial"/>
      <family val="2"/>
    </font>
    <font>
      <sz val="10"/>
      <color rgb="FF000000"/>
      <name val="Arial"/>
      <family val="2"/>
    </font>
    <font>
      <b/>
      <sz val="11"/>
      <color rgb="FF000000"/>
      <name val="Aptos Narrow"/>
      <family val="2"/>
      <scheme val="minor"/>
    </font>
    <font>
      <b/>
      <u/>
      <sz val="11"/>
      <color theme="1"/>
      <name val="Aptos Narrow"/>
      <family val="2"/>
      <scheme val="minor"/>
    </font>
    <font>
      <i/>
      <sz val="12"/>
      <color theme="0"/>
      <name val="Calibri"/>
      <family val="2"/>
    </font>
    <font>
      <b/>
      <sz val="12"/>
      <color rgb="FFFFFFFF"/>
      <name val="Calibri"/>
      <family val="2"/>
    </font>
    <font>
      <b/>
      <sz val="10"/>
      <color theme="0"/>
      <name val="Arial"/>
      <family val="2"/>
    </font>
    <font>
      <sz val="12"/>
      <color rgb="FF000000"/>
      <name val="Calibri"/>
      <family val="2"/>
    </font>
    <font>
      <sz val="11"/>
      <color rgb="FF000000"/>
      <name val="Aptos Narrow"/>
      <family val="2"/>
      <scheme val="minor"/>
    </font>
    <font>
      <b/>
      <sz val="12"/>
      <color theme="1"/>
      <name val="Calibri"/>
      <family val="2"/>
    </font>
    <font>
      <b/>
      <sz val="12"/>
      <color rgb="FF000000"/>
      <name val="Calibri"/>
      <family val="2"/>
    </font>
    <font>
      <sz val="10"/>
      <color rgb="FF646464"/>
      <name val="Arial"/>
      <family val="2"/>
    </font>
    <font>
      <i/>
      <sz val="12"/>
      <color rgb="FF000000"/>
      <name val="Calibri"/>
      <family val="2"/>
    </font>
    <font>
      <sz val="12"/>
      <color theme="1"/>
      <name val="Calibri"/>
      <family val="2"/>
    </font>
    <font>
      <b/>
      <sz val="12"/>
      <name val="Calibri"/>
      <family val="2"/>
    </font>
    <font>
      <i/>
      <sz val="12"/>
      <name val="Calibri"/>
      <family val="2"/>
    </font>
    <font>
      <sz val="12"/>
      <name val="Calibri"/>
      <family val="2"/>
    </font>
    <font>
      <sz val="12"/>
      <color indexed="0"/>
      <name val="Calibri"/>
      <family val="2"/>
    </font>
    <font>
      <sz val="12"/>
      <color rgb="FFFF0000"/>
      <name val="Calibri"/>
      <family val="2"/>
    </font>
    <font>
      <i/>
      <sz val="12"/>
      <color theme="1"/>
      <name val="Calibri"/>
      <family val="2"/>
    </font>
    <font>
      <sz val="12"/>
      <color rgb="FF4F81BD"/>
      <name val="Calibri"/>
      <family val="2"/>
    </font>
    <font>
      <sz val="14"/>
      <color theme="1"/>
      <name val="Calibri"/>
      <family val="2"/>
    </font>
    <font>
      <sz val="8"/>
      <name val="Aptos Narrow"/>
      <family val="2"/>
      <scheme val="minor"/>
    </font>
    <font>
      <b/>
      <i/>
      <sz val="12"/>
      <color rgb="FF000000"/>
      <name val="Calibri"/>
      <family val="2"/>
    </font>
    <font>
      <b/>
      <i/>
      <sz val="12"/>
      <color theme="1"/>
      <name val="Calibri"/>
      <family val="2"/>
    </font>
    <font>
      <sz val="12"/>
      <color theme="1"/>
      <name val="Aptos Narrow"/>
      <family val="2"/>
      <scheme val="minor"/>
    </font>
    <font>
      <sz val="12"/>
      <color theme="2"/>
      <name val="Calibri"/>
      <family val="2"/>
    </font>
    <font>
      <b/>
      <sz val="12"/>
      <color theme="2"/>
      <name val="Calibri"/>
      <family val="2"/>
    </font>
  </fonts>
  <fills count="9">
    <fill>
      <patternFill patternType="none"/>
    </fill>
    <fill>
      <patternFill patternType="gray125"/>
    </fill>
    <fill>
      <patternFill patternType="solid">
        <fgColor rgb="FF002060"/>
        <bgColor indexed="64"/>
      </patternFill>
    </fill>
    <fill>
      <patternFill patternType="solid">
        <fgColor rgb="FFC8C8C8"/>
        <bgColor indexed="64"/>
      </patternFill>
    </fill>
    <fill>
      <patternFill patternType="solid">
        <fgColor rgb="FFF0F0F0"/>
        <bgColor indexed="64"/>
      </patternFill>
    </fill>
    <fill>
      <patternFill patternType="solid">
        <fgColor theme="0"/>
        <bgColor indexed="64"/>
      </patternFill>
    </fill>
    <fill>
      <patternFill patternType="solid">
        <fgColor rgb="FFC8C8C8"/>
        <bgColor rgb="FF000000"/>
      </patternFill>
    </fill>
    <fill>
      <patternFill patternType="solid">
        <fgColor theme="2"/>
        <bgColor indexed="64"/>
      </patternFill>
    </fill>
    <fill>
      <patternFill patternType="solid">
        <fgColor theme="0"/>
        <bgColor rgb="FF000000"/>
      </patternFill>
    </fill>
  </fills>
  <borders count="7">
    <border>
      <left/>
      <right/>
      <top/>
      <bottom/>
      <diagonal/>
    </border>
    <border>
      <left/>
      <right/>
      <top/>
      <bottom style="thin">
        <color theme="0"/>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
      <left/>
      <right/>
      <top/>
      <bottom style="thin">
        <color indexed="64"/>
      </bottom>
      <diagonal/>
    </border>
    <border>
      <left/>
      <right/>
      <top style="thin">
        <color indexed="64"/>
      </top>
      <bottom style="double">
        <color indexed="64"/>
      </bottom>
      <diagonal/>
    </border>
    <border>
      <left/>
      <right/>
      <top style="thin">
        <color rgb="FF000000"/>
      </top>
      <bottom/>
      <diagonal/>
    </border>
  </borders>
  <cellStyleXfs count="6">
    <xf numFmtId="0" fontId="0" fillId="0" borderId="0"/>
    <xf numFmtId="44" fontId="7" fillId="0" borderId="0" applyFont="0" applyFill="0" applyBorder="0" applyAlignment="0" applyProtection="0"/>
    <xf numFmtId="9" fontId="7" fillId="0" borderId="0" applyFont="0" applyFill="0" applyBorder="0" applyAlignment="0" applyProtection="0"/>
    <xf numFmtId="0" fontId="9" fillId="0" borderId="0"/>
    <xf numFmtId="0" fontId="10" fillId="0" borderId="0"/>
    <xf numFmtId="43" fontId="7" fillId="0" borderId="0" applyFont="0" applyFill="0" applyBorder="0" applyAlignment="0" applyProtection="0"/>
  </cellStyleXfs>
  <cellXfs count="282">
    <xf numFmtId="0" fontId="0" fillId="0" borderId="0" xfId="0"/>
    <xf numFmtId="0" fontId="2" fillId="0" borderId="0" xfId="0" applyFont="1"/>
    <xf numFmtId="0" fontId="1" fillId="2" borderId="0" xfId="0" applyFont="1" applyFill="1"/>
    <xf numFmtId="0" fontId="1" fillId="2" borderId="1" xfId="0" applyFont="1" applyFill="1" applyBorder="1"/>
    <xf numFmtId="0" fontId="3" fillId="2" borderId="0" xfId="0" applyFont="1" applyFill="1"/>
    <xf numFmtId="0" fontId="3" fillId="2" borderId="1" xfId="0" applyFont="1" applyFill="1" applyBorder="1"/>
    <xf numFmtId="14" fontId="2" fillId="0" borderId="0" xfId="0" applyNumberFormat="1" applyFont="1" applyAlignment="1">
      <alignment horizontal="center"/>
    </xf>
    <xf numFmtId="0" fontId="2" fillId="0" borderId="0" xfId="0" applyFont="1" applyAlignment="1">
      <alignment horizontal="center"/>
    </xf>
    <xf numFmtId="3" fontId="2" fillId="0" borderId="0" xfId="0" applyNumberFormat="1" applyFont="1" applyAlignment="1">
      <alignment horizontal="center"/>
    </xf>
    <xf numFmtId="0" fontId="1" fillId="2" borderId="0" xfId="0" applyFont="1" applyFill="1" applyAlignment="1">
      <alignment horizontal="center"/>
    </xf>
    <xf numFmtId="0" fontId="8" fillId="0" borderId="0" xfId="0" applyFont="1"/>
    <xf numFmtId="9" fontId="0" fillId="0" borderId="0" xfId="2" applyFont="1"/>
    <xf numFmtId="2" fontId="2" fillId="0" borderId="0" xfId="0" applyNumberFormat="1" applyFont="1" applyAlignment="1">
      <alignment horizontal="center"/>
    </xf>
    <xf numFmtId="0" fontId="9" fillId="0" borderId="0" xfId="3"/>
    <xf numFmtId="0" fontId="4" fillId="3" borderId="0" xfId="3" applyFont="1" applyFill="1" applyAlignment="1">
      <alignment horizontal="left"/>
    </xf>
    <xf numFmtId="0" fontId="5" fillId="0" borderId="0" xfId="3" applyFont="1" applyAlignment="1">
      <alignment horizontal="left"/>
    </xf>
    <xf numFmtId="0" fontId="9" fillId="0" borderId="0" xfId="3" applyAlignment="1">
      <alignment horizontal="left" indent="1"/>
    </xf>
    <xf numFmtId="0" fontId="9" fillId="4" borderId="0" xfId="3" applyFill="1" applyAlignment="1">
      <alignment horizontal="left" indent="1"/>
    </xf>
    <xf numFmtId="3" fontId="9" fillId="4" borderId="0" xfId="3" applyNumberFormat="1" applyFill="1" applyAlignment="1">
      <alignment horizontal="right"/>
    </xf>
    <xf numFmtId="3" fontId="9" fillId="0" borderId="0" xfId="3" applyNumberFormat="1" applyAlignment="1">
      <alignment horizontal="right"/>
    </xf>
    <xf numFmtId="3" fontId="6" fillId="0" borderId="0" xfId="3" applyNumberFormat="1" applyFont="1" applyAlignment="1">
      <alignment horizontal="right"/>
    </xf>
    <xf numFmtId="0" fontId="5" fillId="4" borderId="0" xfId="3" applyFont="1" applyFill="1" applyAlignment="1">
      <alignment horizontal="left"/>
    </xf>
    <xf numFmtId="3" fontId="6" fillId="4" borderId="0" xfId="3" applyNumberFormat="1" applyFont="1" applyFill="1" applyAlignment="1">
      <alignment horizontal="right"/>
    </xf>
    <xf numFmtId="0" fontId="9" fillId="0" borderId="0" xfId="3" applyAlignment="1">
      <alignment horizontal="left"/>
    </xf>
    <xf numFmtId="0" fontId="4" fillId="0" borderId="0" xfId="3" applyFont="1"/>
    <xf numFmtId="0" fontId="9" fillId="0" borderId="2" xfId="3" applyBorder="1"/>
    <xf numFmtId="165" fontId="9" fillId="5" borderId="0" xfId="3" applyNumberFormat="1" applyFill="1" applyAlignment="1">
      <alignment horizontal="right"/>
    </xf>
    <xf numFmtId="0" fontId="11" fillId="0" borderId="0" xfId="4" applyFont="1"/>
    <xf numFmtId="0" fontId="12" fillId="0" borderId="0" xfId="4" applyFont="1" applyAlignment="1">
      <alignment horizontal="left"/>
    </xf>
    <xf numFmtId="0" fontId="13" fillId="0" borderId="0" xfId="4" applyFont="1" applyAlignment="1">
      <alignment horizontal="left"/>
    </xf>
    <xf numFmtId="0" fontId="14" fillId="0" borderId="0" xfId="4" applyFont="1"/>
    <xf numFmtId="0" fontId="15" fillId="0" borderId="0" xfId="4" applyFont="1"/>
    <xf numFmtId="165" fontId="0" fillId="0" borderId="0" xfId="0" applyNumberFormat="1"/>
    <xf numFmtId="10" fontId="0" fillId="0" borderId="0" xfId="2" applyNumberFormat="1" applyFont="1"/>
    <xf numFmtId="0" fontId="5" fillId="5" borderId="0" xfId="3" applyFont="1" applyFill="1" applyAlignment="1">
      <alignment horizontal="left"/>
    </xf>
    <xf numFmtId="0" fontId="9" fillId="5" borderId="0" xfId="3" applyFill="1" applyAlignment="1">
      <alignment horizontal="left" indent="1"/>
    </xf>
    <xf numFmtId="165" fontId="5" fillId="5" borderId="0" xfId="3" applyNumberFormat="1" applyFont="1" applyFill="1" applyAlignment="1">
      <alignment horizontal="left"/>
    </xf>
    <xf numFmtId="165" fontId="6" fillId="5" borderId="0" xfId="3" applyNumberFormat="1" applyFont="1" applyFill="1" applyAlignment="1">
      <alignment horizontal="right"/>
    </xf>
    <xf numFmtId="168" fontId="0" fillId="0" borderId="0" xfId="0" applyNumberFormat="1"/>
    <xf numFmtId="10" fontId="0" fillId="0" borderId="0" xfId="0" applyNumberFormat="1"/>
    <xf numFmtId="17" fontId="4" fillId="3" borderId="0" xfId="3" applyNumberFormat="1" applyFont="1" applyFill="1" applyAlignment="1">
      <alignment horizontal="left"/>
    </xf>
    <xf numFmtId="0" fontId="16" fillId="0" borderId="0" xfId="0" applyFont="1"/>
    <xf numFmtId="3" fontId="0" fillId="0" borderId="0" xfId="0" applyNumberFormat="1"/>
    <xf numFmtId="0" fontId="1" fillId="5" borderId="0" xfId="0" applyFont="1" applyFill="1"/>
    <xf numFmtId="17" fontId="4" fillId="5" borderId="0" xfId="3" applyNumberFormat="1" applyFont="1" applyFill="1" applyAlignment="1">
      <alignment horizontal="left"/>
    </xf>
    <xf numFmtId="0" fontId="18" fillId="0" borderId="0" xfId="0" applyFont="1"/>
    <xf numFmtId="3" fontId="18" fillId="0" borderId="0" xfId="0" applyNumberFormat="1" applyFont="1"/>
    <xf numFmtId="0" fontId="19" fillId="0" borderId="0" xfId="0" applyFont="1"/>
    <xf numFmtId="0" fontId="20" fillId="0" borderId="0" xfId="0" applyFont="1"/>
    <xf numFmtId="0" fontId="16" fillId="0" borderId="3" xfId="0" applyFont="1" applyBorder="1"/>
    <xf numFmtId="2" fontId="0" fillId="0" borderId="0" xfId="0" applyNumberFormat="1"/>
    <xf numFmtId="1" fontId="0" fillId="0" borderId="0" xfId="0" applyNumberFormat="1"/>
    <xf numFmtId="0" fontId="0" fillId="4" borderId="0" xfId="0" applyFill="1" applyAlignment="1">
      <alignment horizontal="left"/>
    </xf>
    <xf numFmtId="4" fontId="0" fillId="4" borderId="0" xfId="0" applyNumberFormat="1" applyFill="1" applyAlignment="1">
      <alignment horizontal="right"/>
    </xf>
    <xf numFmtId="167" fontId="0" fillId="4" borderId="0" xfId="0" applyNumberFormat="1" applyFill="1" applyAlignment="1">
      <alignment horizontal="right"/>
    </xf>
    <xf numFmtId="170" fontId="0" fillId="4" borderId="0" xfId="0" applyNumberFormat="1" applyFill="1" applyAlignment="1">
      <alignment horizontal="right"/>
    </xf>
    <xf numFmtId="0" fontId="0" fillId="0" borderId="0" xfId="0" applyAlignment="1">
      <alignment horizontal="left"/>
    </xf>
    <xf numFmtId="4" fontId="0" fillId="0" borderId="0" xfId="0" applyNumberFormat="1" applyAlignment="1">
      <alignment horizontal="right"/>
    </xf>
    <xf numFmtId="167" fontId="0" fillId="0" borderId="0" xfId="0" applyNumberFormat="1" applyAlignment="1">
      <alignment horizontal="right"/>
    </xf>
    <xf numFmtId="170" fontId="0" fillId="0" borderId="0" xfId="0" applyNumberFormat="1" applyAlignment="1">
      <alignment horizontal="right"/>
    </xf>
    <xf numFmtId="170" fontId="6" fillId="4" borderId="0" xfId="0" applyNumberFormat="1" applyFont="1" applyFill="1" applyAlignment="1">
      <alignment horizontal="right"/>
    </xf>
    <xf numFmtId="167" fontId="6" fillId="4" borderId="0" xfId="0" applyNumberFormat="1" applyFont="1" applyFill="1" applyAlignment="1">
      <alignment horizontal="right"/>
    </xf>
    <xf numFmtId="4" fontId="6" fillId="4" borderId="0" xfId="0" applyNumberFormat="1" applyFont="1" applyFill="1" applyAlignment="1">
      <alignment horizontal="right"/>
    </xf>
    <xf numFmtId="4" fontId="6" fillId="0" borderId="0" xfId="0" applyNumberFormat="1" applyFont="1" applyAlignment="1">
      <alignment horizontal="right"/>
    </xf>
    <xf numFmtId="0" fontId="0" fillId="0" borderId="0" xfId="2" applyNumberFormat="1" applyFont="1"/>
    <xf numFmtId="0" fontId="15" fillId="0" borderId="0" xfId="4" applyFont="1" applyAlignment="1">
      <alignment horizontal="left"/>
    </xf>
    <xf numFmtId="0" fontId="11" fillId="0" borderId="4" xfId="4" applyFont="1" applyBorder="1"/>
    <xf numFmtId="1" fontId="0" fillId="0" borderId="4" xfId="0" applyNumberFormat="1" applyBorder="1"/>
    <xf numFmtId="0" fontId="11" fillId="0" borderId="5" xfId="4" applyFont="1" applyBorder="1"/>
    <xf numFmtId="0" fontId="2" fillId="2" borderId="0" xfId="0" applyFont="1" applyFill="1"/>
    <xf numFmtId="0" fontId="1" fillId="2" borderId="1" xfId="0" applyFont="1" applyFill="1" applyBorder="1" applyAlignment="1">
      <alignment horizontal="center" vertical="center"/>
    </xf>
    <xf numFmtId="0" fontId="3" fillId="2" borderId="1" xfId="0" applyFont="1" applyFill="1" applyBorder="1" applyAlignment="1">
      <alignment horizontal="center"/>
    </xf>
    <xf numFmtId="0" fontId="2" fillId="0" borderId="0" xfId="0" applyFont="1" applyAlignment="1">
      <alignment horizontal="left"/>
    </xf>
    <xf numFmtId="0" fontId="2" fillId="7" borderId="0" xfId="0" applyFont="1" applyFill="1" applyAlignment="1">
      <alignment horizontal="center"/>
    </xf>
    <xf numFmtId="2" fontId="2" fillId="7" borderId="0" xfId="0" applyNumberFormat="1" applyFont="1" applyFill="1" applyAlignment="1">
      <alignment horizontal="center"/>
    </xf>
    <xf numFmtId="0" fontId="2" fillId="0" borderId="0" xfId="0" applyFont="1" applyAlignment="1">
      <alignment horizontal="center" vertical="center"/>
    </xf>
    <xf numFmtId="1" fontId="2" fillId="7" borderId="0" xfId="0" applyNumberFormat="1" applyFont="1" applyFill="1" applyAlignment="1">
      <alignment horizontal="center" vertical="center"/>
    </xf>
    <xf numFmtId="9" fontId="13" fillId="5" borderId="0" xfId="2" applyFont="1" applyFill="1" applyAlignment="1">
      <alignment horizontal="right"/>
    </xf>
    <xf numFmtId="3" fontId="9" fillId="5" borderId="5" xfId="3" applyNumberFormat="1" applyFill="1" applyBorder="1" applyAlignment="1">
      <alignment horizontal="right"/>
    </xf>
    <xf numFmtId="3" fontId="2" fillId="0" borderId="0" xfId="0" applyNumberFormat="1" applyFont="1"/>
    <xf numFmtId="1" fontId="2" fillId="7" borderId="0" xfId="0" applyNumberFormat="1" applyFont="1" applyFill="1" applyAlignment="1">
      <alignment horizontal="center"/>
    </xf>
    <xf numFmtId="0" fontId="1" fillId="2" borderId="0" xfId="0" applyFont="1" applyFill="1" applyAlignment="1">
      <alignment horizontal="center" vertical="center"/>
    </xf>
    <xf numFmtId="0" fontId="2" fillId="2" borderId="1" xfId="0" applyFont="1" applyFill="1" applyBorder="1" applyAlignment="1">
      <alignment horizontal="center" vertical="center"/>
    </xf>
    <xf numFmtId="0" fontId="21" fillId="2" borderId="0" xfId="0" applyFont="1" applyFill="1" applyAlignment="1">
      <alignment horizontal="center"/>
    </xf>
    <xf numFmtId="2" fontId="2" fillId="0" borderId="0" xfId="0" applyNumberFormat="1" applyFont="1"/>
    <xf numFmtId="166" fontId="2" fillId="0" borderId="0" xfId="0" applyNumberFormat="1" applyFont="1"/>
    <xf numFmtId="43" fontId="2" fillId="0" borderId="0" xfId="0" applyNumberFormat="1" applyFont="1"/>
    <xf numFmtId="0" fontId="2" fillId="2" borderId="1" xfId="0" applyFont="1" applyFill="1" applyBorder="1"/>
    <xf numFmtId="0" fontId="3" fillId="2" borderId="1" xfId="0" applyFont="1" applyFill="1" applyBorder="1" applyAlignment="1">
      <alignment horizontal="center" vertical="center"/>
    </xf>
    <xf numFmtId="0" fontId="0" fillId="5" borderId="0" xfId="0" applyFill="1"/>
    <xf numFmtId="0" fontId="23" fillId="2" borderId="0" xfId="0" applyFont="1" applyFill="1" applyAlignment="1">
      <alignment horizontal="left"/>
    </xf>
    <xf numFmtId="0" fontId="0" fillId="0" borderId="0" xfId="0" applyAlignment="1">
      <alignment horizontal="center"/>
    </xf>
    <xf numFmtId="0" fontId="0" fillId="4" borderId="0" xfId="0" applyFill="1" applyAlignment="1">
      <alignment horizontal="center"/>
    </xf>
    <xf numFmtId="0" fontId="11" fillId="0" borderId="0" xfId="4" applyFont="1" applyAlignment="1">
      <alignment horizontal="left"/>
    </xf>
    <xf numFmtId="3" fontId="0" fillId="0" borderId="4" xfId="0" applyNumberFormat="1" applyBorder="1"/>
    <xf numFmtId="0" fontId="4" fillId="5" borderId="0" xfId="3" applyFont="1" applyFill="1"/>
    <xf numFmtId="165" fontId="13" fillId="5" borderId="4" xfId="3" applyNumberFormat="1" applyFont="1" applyFill="1" applyBorder="1" applyAlignment="1">
      <alignment horizontal="right"/>
    </xf>
    <xf numFmtId="171" fontId="6" fillId="5" borderId="0" xfId="2" applyNumberFormat="1" applyFont="1" applyFill="1" applyAlignment="1">
      <alignment horizontal="right"/>
    </xf>
    <xf numFmtId="166" fontId="2" fillId="0" borderId="0" xfId="0" applyNumberFormat="1" applyFont="1" applyAlignment="1">
      <alignment horizontal="center"/>
    </xf>
    <xf numFmtId="173" fontId="2" fillId="0" borderId="0" xfId="0" applyNumberFormat="1" applyFont="1"/>
    <xf numFmtId="0" fontId="24" fillId="7" borderId="0" xfId="0" applyFont="1" applyFill="1" applyAlignment="1">
      <alignment horizontal="center"/>
    </xf>
    <xf numFmtId="0" fontId="25" fillId="7" borderId="0" xfId="0" applyFont="1" applyFill="1" applyAlignment="1">
      <alignment horizontal="center"/>
    </xf>
    <xf numFmtId="0" fontId="2" fillId="2" borderId="0" xfId="0" applyFont="1" applyFill="1" applyAlignment="1">
      <alignment horizontal="center"/>
    </xf>
    <xf numFmtId="173" fontId="2" fillId="0" borderId="0" xfId="0" applyNumberFormat="1" applyFont="1" applyAlignment="1">
      <alignment horizontal="center"/>
    </xf>
    <xf numFmtId="173" fontId="2" fillId="0" borderId="0" xfId="0" applyNumberFormat="1" applyFont="1" applyAlignment="1">
      <alignment horizontal="center" vertical="center"/>
    </xf>
    <xf numFmtId="0" fontId="26" fillId="7" borderId="0" xfId="0" applyFont="1" applyFill="1" applyAlignment="1">
      <alignment horizontal="center"/>
    </xf>
    <xf numFmtId="172" fontId="26" fillId="7" borderId="0" xfId="0" applyNumberFormat="1" applyFont="1" applyFill="1" applyAlignment="1">
      <alignment horizontal="center"/>
    </xf>
    <xf numFmtId="43" fontId="2" fillId="7" borderId="0" xfId="0" applyNumberFormat="1" applyFont="1" applyFill="1"/>
    <xf numFmtId="0" fontId="27" fillId="7" borderId="0" xfId="0" applyFont="1" applyFill="1" applyAlignment="1">
      <alignment horizontal="center"/>
    </xf>
    <xf numFmtId="166" fontId="27" fillId="7" borderId="0" xfId="0" applyNumberFormat="1" applyFont="1" applyFill="1" applyAlignment="1">
      <alignment horizontal="center"/>
    </xf>
    <xf numFmtId="173" fontId="2" fillId="7" borderId="0" xfId="0" applyNumberFormat="1" applyFont="1" applyFill="1"/>
    <xf numFmtId="167" fontId="9" fillId="0" borderId="0" xfId="3" applyNumberFormat="1" applyAlignment="1">
      <alignment horizontal="right"/>
    </xf>
    <xf numFmtId="167" fontId="9" fillId="4" borderId="0" xfId="3" applyNumberFormat="1" applyFill="1" applyAlignment="1">
      <alignment horizontal="right"/>
    </xf>
    <xf numFmtId="4" fontId="9" fillId="4" borderId="0" xfId="3" applyNumberFormat="1" applyFill="1" applyAlignment="1">
      <alignment horizontal="right"/>
    </xf>
    <xf numFmtId="0" fontId="28" fillId="0" borderId="0" xfId="3" applyFont="1" applyAlignment="1">
      <alignment horizontal="left"/>
    </xf>
    <xf numFmtId="0" fontId="9" fillId="0" borderId="6" xfId="3" applyBorder="1"/>
    <xf numFmtId="0" fontId="9" fillId="5" borderId="0" xfId="3" applyFill="1"/>
    <xf numFmtId="0" fontId="4" fillId="5" borderId="0" xfId="3" applyFont="1" applyFill="1" applyAlignment="1">
      <alignment horizontal="left"/>
    </xf>
    <xf numFmtId="44" fontId="0" fillId="5" borderId="0" xfId="1" applyFont="1" applyFill="1"/>
    <xf numFmtId="164" fontId="0" fillId="5" borderId="0" xfId="0" applyNumberFormat="1" applyFill="1"/>
    <xf numFmtId="168" fontId="0" fillId="5" borderId="0" xfId="0" applyNumberFormat="1" applyFill="1"/>
    <xf numFmtId="169" fontId="0" fillId="5" borderId="0" xfId="0" applyNumberFormat="1" applyFill="1"/>
    <xf numFmtId="3" fontId="9" fillId="5" borderId="0" xfId="3" applyNumberFormat="1" applyFill="1" applyAlignment="1">
      <alignment horizontal="right"/>
    </xf>
    <xf numFmtId="3" fontId="6" fillId="5" borderId="0" xfId="3" applyNumberFormat="1" applyFont="1" applyFill="1" applyAlignment="1">
      <alignment horizontal="right"/>
    </xf>
    <xf numFmtId="0" fontId="9" fillId="5" borderId="0" xfId="3" applyFill="1" applyAlignment="1">
      <alignment horizontal="left"/>
    </xf>
    <xf numFmtId="165" fontId="0" fillId="5" borderId="0" xfId="0" applyNumberFormat="1" applyFill="1"/>
    <xf numFmtId="3" fontId="0" fillId="5" borderId="0" xfId="0" applyNumberFormat="1" applyFill="1"/>
    <xf numFmtId="17" fontId="17" fillId="6" borderId="0" xfId="0" applyNumberFormat="1" applyFont="1" applyFill="1"/>
    <xf numFmtId="0" fontId="17" fillId="8" borderId="0" xfId="0" applyFont="1" applyFill="1"/>
    <xf numFmtId="0" fontId="5" fillId="8" borderId="0" xfId="0" applyFont="1" applyFill="1"/>
    <xf numFmtId="174" fontId="2" fillId="7" borderId="0" xfId="0" applyNumberFormat="1" applyFont="1" applyFill="1" applyAlignment="1">
      <alignment horizontal="center"/>
    </xf>
    <xf numFmtId="174" fontId="2" fillId="0" borderId="0" xfId="0" applyNumberFormat="1" applyFont="1" applyAlignment="1">
      <alignment horizontal="center"/>
    </xf>
    <xf numFmtId="174" fontId="2" fillId="7" borderId="0" xfId="0" applyNumberFormat="1" applyFont="1" applyFill="1" applyAlignment="1">
      <alignment horizontal="center" vertical="center"/>
    </xf>
    <xf numFmtId="0" fontId="3" fillId="2" borderId="0" xfId="0" applyFont="1" applyFill="1" applyAlignment="1">
      <alignment horizontal="center" vertical="center"/>
    </xf>
    <xf numFmtId="1" fontId="2" fillId="0" borderId="0" xfId="0" applyNumberFormat="1" applyFont="1"/>
    <xf numFmtId="166" fontId="2" fillId="0" borderId="0" xfId="0" applyNumberFormat="1" applyFont="1" applyAlignment="1">
      <alignment horizontal="center" vertical="center"/>
    </xf>
    <xf numFmtId="0" fontId="26" fillId="0" borderId="0" xfId="0" applyFont="1"/>
    <xf numFmtId="0" fontId="2" fillId="7" borderId="0" xfId="0" applyFont="1" applyFill="1"/>
    <xf numFmtId="166" fontId="2" fillId="7" borderId="0" xfId="0" applyNumberFormat="1" applyFont="1" applyFill="1"/>
    <xf numFmtId="3" fontId="2" fillId="0" borderId="0" xfId="0" applyNumberFormat="1" applyFont="1" applyAlignment="1">
      <alignment horizontal="center" vertical="center"/>
    </xf>
    <xf numFmtId="166" fontId="2" fillId="7" borderId="0" xfId="0" applyNumberFormat="1" applyFont="1" applyFill="1" applyAlignment="1">
      <alignment horizontal="center"/>
    </xf>
    <xf numFmtId="166" fontId="26" fillId="7" borderId="0" xfId="0" applyNumberFormat="1" applyFont="1" applyFill="1" applyAlignment="1">
      <alignment horizontal="center"/>
    </xf>
    <xf numFmtId="0" fontId="30" fillId="0" borderId="0" xfId="0" applyFont="1"/>
    <xf numFmtId="10" fontId="2" fillId="0" borderId="0" xfId="2" applyNumberFormat="1" applyFont="1"/>
    <xf numFmtId="10" fontId="2" fillId="0" borderId="0" xfId="0" applyNumberFormat="1" applyFont="1"/>
    <xf numFmtId="9" fontId="1" fillId="2" borderId="0" xfId="2" applyFont="1" applyFill="1"/>
    <xf numFmtId="9" fontId="2" fillId="0" borderId="0" xfId="2" applyFont="1"/>
    <xf numFmtId="0" fontId="1" fillId="0" borderId="0" xfId="0" applyFont="1"/>
    <xf numFmtId="0" fontId="2" fillId="5" borderId="0" xfId="0" applyFont="1" applyFill="1"/>
    <xf numFmtId="9" fontId="2" fillId="5" borderId="0" xfId="2" applyFont="1" applyFill="1" applyBorder="1"/>
    <xf numFmtId="0" fontId="31" fillId="0" borderId="0" xfId="4" applyFont="1"/>
    <xf numFmtId="1" fontId="2" fillId="5" borderId="0" xfId="0" applyNumberFormat="1" applyFont="1" applyFill="1"/>
    <xf numFmtId="0" fontId="34" fillId="0" borderId="0" xfId="4" applyFont="1"/>
    <xf numFmtId="2" fontId="2" fillId="5" borderId="0" xfId="0" applyNumberFormat="1" applyFont="1" applyFill="1"/>
    <xf numFmtId="0" fontId="31" fillId="0" borderId="4" xfId="4" applyFont="1" applyBorder="1"/>
    <xf numFmtId="165" fontId="35" fillId="5" borderId="0" xfId="3" applyNumberFormat="1" applyFont="1" applyFill="1" applyAlignment="1">
      <alignment horizontal="right"/>
    </xf>
    <xf numFmtId="0" fontId="34" fillId="0" borderId="0" xfId="4" applyFont="1" applyAlignment="1">
      <alignment horizontal="left"/>
    </xf>
    <xf numFmtId="165" fontId="2" fillId="5" borderId="0" xfId="3" applyNumberFormat="1" applyFont="1" applyFill="1" applyAlignment="1">
      <alignment horizontal="right"/>
    </xf>
    <xf numFmtId="3" fontId="2" fillId="5" borderId="0" xfId="3" applyNumberFormat="1" applyFont="1" applyFill="1" applyAlignment="1">
      <alignment horizontal="right"/>
    </xf>
    <xf numFmtId="0" fontId="31" fillId="0" borderId="5" xfId="4" applyFont="1" applyBorder="1"/>
    <xf numFmtId="3" fontId="2" fillId="5" borderId="5" xfId="3" applyNumberFormat="1" applyFont="1" applyFill="1" applyBorder="1" applyAlignment="1">
      <alignment horizontal="right"/>
    </xf>
    <xf numFmtId="0" fontId="2" fillId="5" borderId="0" xfId="3" applyFont="1" applyFill="1" applyAlignment="1">
      <alignment horizontal="left" indent="1"/>
    </xf>
    <xf numFmtId="0" fontId="31" fillId="0" borderId="0" xfId="4" applyFont="1" applyAlignment="1">
      <alignment horizontal="left"/>
    </xf>
    <xf numFmtId="3" fontId="2" fillId="0" borderId="4" xfId="0" applyNumberFormat="1" applyFont="1" applyBorder="1"/>
    <xf numFmtId="0" fontId="26" fillId="5" borderId="0" xfId="3" applyFont="1" applyFill="1"/>
    <xf numFmtId="165" fontId="2" fillId="0" borderId="0" xfId="0" applyNumberFormat="1" applyFont="1"/>
    <xf numFmtId="0" fontId="32" fillId="0" borderId="0" xfId="4" applyFont="1"/>
    <xf numFmtId="0" fontId="27" fillId="0" borderId="0" xfId="4" applyFont="1"/>
    <xf numFmtId="9" fontId="0" fillId="0" borderId="0" xfId="0" applyNumberFormat="1"/>
    <xf numFmtId="0" fontId="33" fillId="0" borderId="0" xfId="0" applyFont="1"/>
    <xf numFmtId="9" fontId="33" fillId="0" borderId="0" xfId="2" applyFont="1"/>
    <xf numFmtId="172" fontId="2" fillId="0" borderId="0" xfId="0" applyNumberFormat="1" applyFont="1"/>
    <xf numFmtId="175" fontId="0" fillId="0" borderId="0" xfId="0" applyNumberFormat="1"/>
    <xf numFmtId="9" fontId="33" fillId="5" borderId="0" xfId="2" applyFont="1" applyFill="1" applyBorder="1"/>
    <xf numFmtId="0" fontId="33" fillId="5" borderId="0" xfId="0" applyFont="1" applyFill="1"/>
    <xf numFmtId="17" fontId="31" fillId="5" borderId="0" xfId="3" applyNumberFormat="1" applyFont="1" applyFill="1" applyAlignment="1">
      <alignment horizontal="left"/>
    </xf>
    <xf numFmtId="1" fontId="33" fillId="5" borderId="0" xfId="0" applyNumberFormat="1" applyFont="1" applyFill="1"/>
    <xf numFmtId="0" fontId="31" fillId="0" borderId="0" xfId="0" applyFont="1"/>
    <xf numFmtId="176" fontId="0" fillId="0" borderId="0" xfId="0" applyNumberFormat="1"/>
    <xf numFmtId="2" fontId="33" fillId="5" borderId="0" xfId="2" applyNumberFormat="1" applyFont="1" applyFill="1" applyBorder="1"/>
    <xf numFmtId="10" fontId="33" fillId="5" borderId="0" xfId="2" applyNumberFormat="1" applyFont="1" applyFill="1"/>
    <xf numFmtId="0" fontId="31" fillId="0" borderId="4" xfId="0" applyFont="1" applyBorder="1"/>
    <xf numFmtId="10" fontId="31" fillId="0" borderId="4" xfId="2" applyNumberFormat="1" applyFont="1" applyBorder="1"/>
    <xf numFmtId="9" fontId="37" fillId="0" borderId="0" xfId="2" applyFont="1"/>
    <xf numFmtId="10" fontId="37" fillId="0" borderId="0" xfId="2" applyNumberFormat="1" applyFont="1"/>
    <xf numFmtId="166" fontId="37" fillId="0" borderId="0" xfId="0" applyNumberFormat="1" applyFont="1"/>
    <xf numFmtId="10" fontId="37" fillId="5" borderId="0" xfId="0" applyNumberFormat="1" applyFont="1" applyFill="1"/>
    <xf numFmtId="10" fontId="37" fillId="5" borderId="0" xfId="2" applyNumberFormat="1" applyFont="1" applyFill="1"/>
    <xf numFmtId="2" fontId="37" fillId="5" borderId="0" xfId="2" applyNumberFormat="1" applyFont="1" applyFill="1" applyBorder="1"/>
    <xf numFmtId="173" fontId="33" fillId="0" borderId="0" xfId="5" applyNumberFormat="1" applyFont="1"/>
    <xf numFmtId="1" fontId="33" fillId="0" borderId="0" xfId="0" applyNumberFormat="1" applyFont="1"/>
    <xf numFmtId="1" fontId="33" fillId="0" borderId="4" xfId="0" applyNumberFormat="1" applyFont="1" applyBorder="1"/>
    <xf numFmtId="0" fontId="32" fillId="0" borderId="0" xfId="4" applyFont="1" applyAlignment="1">
      <alignment horizontal="left" indent="1"/>
    </xf>
    <xf numFmtId="0" fontId="32" fillId="0" borderId="4" xfId="4" applyFont="1" applyBorder="1" applyAlignment="1">
      <alignment horizontal="left" indent="1"/>
    </xf>
    <xf numFmtId="0" fontId="36" fillId="0" borderId="0" xfId="0" applyFont="1" applyAlignment="1">
      <alignment horizontal="left" indent="1"/>
    </xf>
    <xf numFmtId="0" fontId="33" fillId="0" borderId="0" xfId="4" applyFont="1"/>
    <xf numFmtId="173" fontId="37" fillId="0" borderId="0" xfId="5" applyNumberFormat="1" applyFont="1"/>
    <xf numFmtId="0" fontId="2" fillId="0" borderId="4" xfId="0" applyFont="1" applyBorder="1"/>
    <xf numFmtId="0" fontId="38" fillId="0" borderId="0" xfId="0" applyFont="1"/>
    <xf numFmtId="0" fontId="2" fillId="0" borderId="5" xfId="0" applyFont="1" applyBorder="1"/>
    <xf numFmtId="10" fontId="36" fillId="0" borderId="0" xfId="2" applyNumberFormat="1" applyFont="1"/>
    <xf numFmtId="0" fontId="31" fillId="0" borderId="0" xfId="4" applyFont="1" applyAlignment="1">
      <alignment horizontal="left" indent="1"/>
    </xf>
    <xf numFmtId="10" fontId="31" fillId="5" borderId="0" xfId="2" applyNumberFormat="1" applyFont="1" applyFill="1" applyAlignment="1">
      <alignment horizontal="right"/>
    </xf>
    <xf numFmtId="3" fontId="2" fillId="0" borderId="4" xfId="0" applyNumberFormat="1" applyFont="1" applyBorder="1" applyAlignment="1">
      <alignment horizontal="center"/>
    </xf>
    <xf numFmtId="165" fontId="2" fillId="5" borderId="0" xfId="3" applyNumberFormat="1" applyFont="1" applyFill="1" applyAlignment="1">
      <alignment horizontal="center"/>
    </xf>
    <xf numFmtId="3" fontId="31" fillId="5" borderId="4" xfId="3" applyNumberFormat="1" applyFont="1" applyFill="1" applyBorder="1" applyAlignment="1">
      <alignment horizontal="center"/>
    </xf>
    <xf numFmtId="10" fontId="32" fillId="0" borderId="0" xfId="2" applyNumberFormat="1" applyFont="1"/>
    <xf numFmtId="173" fontId="33" fillId="0" borderId="0" xfId="5" applyNumberFormat="1" applyFont="1" applyBorder="1"/>
    <xf numFmtId="10" fontId="2" fillId="0" borderId="0" xfId="2" applyNumberFormat="1" applyFont="1" applyBorder="1"/>
    <xf numFmtId="10" fontId="32" fillId="7" borderId="0" xfId="2" applyNumberFormat="1" applyFont="1" applyFill="1"/>
    <xf numFmtId="3" fontId="37" fillId="0" borderId="0" xfId="0" applyNumberFormat="1" applyFont="1"/>
    <xf numFmtId="173" fontId="2" fillId="0" borderId="0" xfId="5" applyNumberFormat="1" applyFont="1"/>
    <xf numFmtId="173" fontId="26" fillId="0" borderId="0" xfId="5" applyNumberFormat="1" applyFont="1"/>
    <xf numFmtId="172" fontId="26" fillId="7" borderId="0" xfId="0" applyNumberFormat="1" applyFont="1" applyFill="1" applyAlignment="1">
      <alignment horizontal="center" vertical="center"/>
    </xf>
    <xf numFmtId="0" fontId="0" fillId="0" borderId="0" xfId="0" applyAlignment="1">
      <alignment vertical="top" wrapText="1"/>
    </xf>
    <xf numFmtId="0" fontId="31" fillId="7" borderId="0" xfId="0" applyFont="1" applyFill="1" applyAlignment="1">
      <alignment horizontal="center"/>
    </xf>
    <xf numFmtId="172" fontId="31" fillId="7" borderId="0" xfId="0" applyNumberFormat="1" applyFont="1" applyFill="1" applyAlignment="1">
      <alignment horizontal="center" vertical="center"/>
    </xf>
    <xf numFmtId="174" fontId="26" fillId="7" borderId="0" xfId="0" applyNumberFormat="1" applyFont="1" applyFill="1" applyAlignment="1">
      <alignment horizontal="center" vertical="center"/>
    </xf>
    <xf numFmtId="174" fontId="26" fillId="7" borderId="0" xfId="0" applyNumberFormat="1" applyFont="1" applyFill="1" applyAlignment="1">
      <alignment horizontal="center"/>
    </xf>
    <xf numFmtId="10" fontId="32" fillId="7" borderId="4" xfId="2" applyNumberFormat="1" applyFont="1" applyFill="1" applyBorder="1"/>
    <xf numFmtId="9" fontId="32" fillId="0" borderId="0" xfId="2" applyFont="1"/>
    <xf numFmtId="10" fontId="33" fillId="7" borderId="0" xfId="2" applyNumberFormat="1" applyFont="1" applyFill="1"/>
    <xf numFmtId="2" fontId="33" fillId="0" borderId="0" xfId="2" applyNumberFormat="1" applyFont="1"/>
    <xf numFmtId="10" fontId="33" fillId="0" borderId="0" xfId="2" applyNumberFormat="1" applyFont="1"/>
    <xf numFmtId="10" fontId="32" fillId="0" borderId="0" xfId="2" applyNumberFormat="1" applyFont="1" applyBorder="1"/>
    <xf numFmtId="10" fontId="32" fillId="0" borderId="4" xfId="2" applyNumberFormat="1" applyFont="1" applyBorder="1"/>
    <xf numFmtId="173" fontId="33" fillId="0" borderId="0" xfId="2" applyNumberFormat="1" applyFont="1"/>
    <xf numFmtId="173" fontId="33" fillId="0" borderId="0" xfId="0" applyNumberFormat="1" applyFont="1"/>
    <xf numFmtId="3" fontId="33" fillId="0" borderId="0" xfId="0" applyNumberFormat="1" applyFont="1"/>
    <xf numFmtId="10" fontId="32" fillId="7" borderId="0" xfId="0" applyNumberFormat="1" applyFont="1" applyFill="1"/>
    <xf numFmtId="173" fontId="2" fillId="0" borderId="4" xfId="5" applyNumberFormat="1" applyFont="1" applyBorder="1"/>
    <xf numFmtId="0" fontId="2" fillId="0" borderId="0" xfId="0" applyFont="1" applyAlignment="1">
      <alignment horizontal="left" vertical="center"/>
    </xf>
    <xf numFmtId="0" fontId="26" fillId="7" borderId="0" xfId="0" applyFont="1" applyFill="1" applyAlignment="1">
      <alignment horizontal="left"/>
    </xf>
    <xf numFmtId="1" fontId="2" fillId="7" borderId="0" xfId="5" applyNumberFormat="1" applyFont="1" applyFill="1" applyAlignment="1">
      <alignment horizontal="center" vertical="center"/>
    </xf>
    <xf numFmtId="177" fontId="2" fillId="0" borderId="0" xfId="5" applyNumberFormat="1" applyFont="1" applyAlignment="1">
      <alignment horizontal="center" vertical="center"/>
    </xf>
    <xf numFmtId="2" fontId="2" fillId="7" borderId="0" xfId="5" applyNumberFormat="1" applyFont="1" applyFill="1" applyAlignment="1">
      <alignment horizontal="center" vertical="center"/>
    </xf>
    <xf numFmtId="177" fontId="2" fillId="0" borderId="0" xfId="0" applyNumberFormat="1" applyFont="1" applyAlignment="1">
      <alignment horizontal="center" vertical="center"/>
    </xf>
    <xf numFmtId="0" fontId="5" fillId="4" borderId="0" xfId="3" applyFont="1" applyFill="1" applyAlignment="1">
      <alignment horizontal="left" indent="3"/>
    </xf>
    <xf numFmtId="3" fontId="5" fillId="4" borderId="0" xfId="3" applyNumberFormat="1" applyFont="1" applyFill="1" applyAlignment="1">
      <alignment horizontal="right"/>
    </xf>
    <xf numFmtId="0" fontId="9" fillId="0" borderId="0" xfId="3" applyAlignment="1">
      <alignment horizontal="left" indent="4"/>
    </xf>
    <xf numFmtId="0" fontId="9" fillId="4" borderId="0" xfId="3" applyFill="1" applyAlignment="1">
      <alignment horizontal="left" indent="4"/>
    </xf>
    <xf numFmtId="0" fontId="5" fillId="0" borderId="0" xfId="3" applyFont="1" applyAlignment="1">
      <alignment horizontal="left" indent="3"/>
    </xf>
    <xf numFmtId="3" fontId="5" fillId="0" borderId="0" xfId="3" applyNumberFormat="1" applyFont="1" applyAlignment="1">
      <alignment horizontal="right"/>
    </xf>
    <xf numFmtId="0" fontId="5" fillId="4" borderId="0" xfId="3" applyFont="1" applyFill="1" applyAlignment="1">
      <alignment horizontal="left" indent="6"/>
    </xf>
    <xf numFmtId="0" fontId="9" fillId="0" borderId="0" xfId="3" applyAlignment="1">
      <alignment horizontal="left" indent="7"/>
    </xf>
    <xf numFmtId="0" fontId="9" fillId="4" borderId="0" xfId="3" applyFill="1" applyAlignment="1">
      <alignment horizontal="left" indent="7"/>
    </xf>
    <xf numFmtId="0" fontId="5" fillId="0" borderId="0" xfId="3" applyFont="1" applyAlignment="1">
      <alignment horizontal="left" indent="6"/>
    </xf>
    <xf numFmtId="4" fontId="9" fillId="0" borderId="0" xfId="3" applyNumberFormat="1" applyAlignment="1">
      <alignment horizontal="right"/>
    </xf>
    <xf numFmtId="0" fontId="42" fillId="0" borderId="0" xfId="0" applyFont="1"/>
    <xf numFmtId="0" fontId="31" fillId="7" borderId="0" xfId="0" applyFont="1" applyFill="1" applyAlignment="1">
      <alignment horizontal="center" vertical="center"/>
    </xf>
    <xf numFmtId="0" fontId="43" fillId="2" borderId="0" xfId="0" applyFont="1" applyFill="1"/>
    <xf numFmtId="0" fontId="44" fillId="2" borderId="0" xfId="0" applyFont="1" applyFill="1"/>
    <xf numFmtId="0" fontId="3" fillId="5" borderId="0" xfId="0" applyFont="1" applyFill="1" applyAlignment="1">
      <alignment horizontal="center"/>
    </xf>
    <xf numFmtId="0" fontId="1" fillId="5" borderId="0" xfId="0" applyFont="1" applyFill="1" applyAlignment="1">
      <alignment horizontal="left"/>
    </xf>
    <xf numFmtId="172" fontId="2" fillId="0" borderId="0" xfId="0" applyNumberFormat="1" applyFont="1" applyAlignment="1">
      <alignment horizontal="center"/>
    </xf>
    <xf numFmtId="0" fontId="2" fillId="0" borderId="0" xfId="0" applyFont="1" applyAlignment="1">
      <alignment horizontal="center" wrapText="1"/>
    </xf>
    <xf numFmtId="0" fontId="3" fillId="2" borderId="0" xfId="0" applyFont="1" applyFill="1" applyAlignment="1">
      <alignment horizontal="center" wrapText="1"/>
    </xf>
    <xf numFmtId="0" fontId="1" fillId="2" borderId="1" xfId="0" applyFont="1" applyFill="1" applyBorder="1" applyAlignment="1">
      <alignment horizontal="center"/>
    </xf>
    <xf numFmtId="0" fontId="3" fillId="2" borderId="0" xfId="0" applyFont="1" applyFill="1" applyAlignment="1">
      <alignment horizontal="center"/>
    </xf>
    <xf numFmtId="0" fontId="2" fillId="7" borderId="0" xfId="0" applyFont="1" applyFill="1" applyAlignment="1">
      <alignment horizontal="left"/>
    </xf>
    <xf numFmtId="0" fontId="2" fillId="5" borderId="0" xfId="0" applyFont="1" applyFill="1" applyAlignment="1">
      <alignment horizontal="center" vertical="center"/>
    </xf>
    <xf numFmtId="4" fontId="2" fillId="5" borderId="0" xfId="0" applyNumberFormat="1" applyFont="1" applyFill="1" applyAlignment="1">
      <alignment horizontal="center" vertical="center"/>
    </xf>
    <xf numFmtId="0" fontId="2" fillId="7" borderId="0" xfId="0" applyFont="1" applyFill="1" applyAlignment="1">
      <alignment horizontal="center" vertical="center"/>
    </xf>
    <xf numFmtId="0" fontId="26" fillId="7" borderId="0" xfId="0" applyFont="1" applyFill="1" applyAlignment="1">
      <alignment horizontal="center" vertical="center"/>
    </xf>
    <xf numFmtId="166" fontId="26" fillId="7" borderId="0" xfId="0" applyNumberFormat="1" applyFont="1" applyFill="1" applyAlignment="1">
      <alignment horizontal="center" vertical="center"/>
    </xf>
    <xf numFmtId="0" fontId="2" fillId="2" borderId="0" xfId="0" applyFont="1" applyFill="1" applyAlignment="1">
      <alignment horizontal="center" vertical="center"/>
    </xf>
    <xf numFmtId="0" fontId="22" fillId="2" borderId="1" xfId="0" applyFont="1" applyFill="1" applyBorder="1" applyAlignment="1">
      <alignment horizontal="center" vertical="center"/>
    </xf>
    <xf numFmtId="0" fontId="21" fillId="2" borderId="0" xfId="0" applyFont="1" applyFill="1" applyAlignment="1">
      <alignment horizontal="center" vertical="center"/>
    </xf>
    <xf numFmtId="2" fontId="2" fillId="0" borderId="0" xfId="0" applyNumberFormat="1" applyFont="1" applyAlignment="1">
      <alignment horizontal="center" vertical="center"/>
    </xf>
    <xf numFmtId="1" fontId="2" fillId="0" borderId="0" xfId="0" applyNumberFormat="1" applyFont="1" applyAlignment="1">
      <alignment horizontal="center" vertical="center"/>
    </xf>
    <xf numFmtId="43" fontId="2" fillId="0" borderId="0" xfId="0" applyNumberFormat="1" applyFont="1" applyAlignment="1">
      <alignment horizontal="center" vertical="center"/>
    </xf>
    <xf numFmtId="0" fontId="16" fillId="7" borderId="0" xfId="0" applyFont="1" applyFill="1" applyAlignment="1">
      <alignment horizontal="center" vertical="center"/>
    </xf>
    <xf numFmtId="0" fontId="0" fillId="7" borderId="0" xfId="0" applyFill="1" applyAlignment="1">
      <alignment horizontal="center" vertical="center"/>
    </xf>
    <xf numFmtId="166" fontId="2" fillId="7" borderId="0" xfId="0" applyNumberFormat="1" applyFont="1" applyFill="1" applyAlignment="1">
      <alignment horizontal="center" vertical="center"/>
    </xf>
    <xf numFmtId="178" fontId="0" fillId="0" borderId="0" xfId="0" applyNumberFormat="1"/>
    <xf numFmtId="179" fontId="0" fillId="0" borderId="0" xfId="0" applyNumberFormat="1"/>
    <xf numFmtId="180" fontId="0" fillId="0" borderId="0" xfId="0" applyNumberFormat="1"/>
    <xf numFmtId="181" fontId="0" fillId="0" borderId="0" xfId="0" applyNumberFormat="1"/>
    <xf numFmtId="0" fontId="2" fillId="0" borderId="0" xfId="0" applyFont="1" applyAlignment="1">
      <alignment horizontal="center"/>
    </xf>
    <xf numFmtId="0" fontId="1" fillId="2" borderId="0" xfId="0" applyFont="1" applyFill="1" applyAlignment="1">
      <alignment horizontal="center"/>
    </xf>
    <xf numFmtId="0" fontId="22" fillId="2" borderId="1" xfId="0" applyFont="1" applyFill="1" applyBorder="1" applyAlignment="1">
      <alignment horizontal="center" vertical="center"/>
    </xf>
    <xf numFmtId="0" fontId="22" fillId="2" borderId="1" xfId="0" applyFont="1" applyFill="1" applyBorder="1" applyAlignment="1">
      <alignment horizontal="center"/>
    </xf>
  </cellXfs>
  <cellStyles count="6">
    <cellStyle name="Comma" xfId="5" builtinId="3"/>
    <cellStyle name="Currency" xfId="1" builtinId="4"/>
    <cellStyle name="Normal" xfId="0" builtinId="0"/>
    <cellStyle name="Normal 2" xfId="3" xr:uid="{D2778F5F-6574-4FAE-AF2E-D02F48DF63B8}"/>
    <cellStyle name="Normal_Ch01 Pics v2.2" xfId="4" xr:uid="{F2AD3E67-EA08-4F5D-AFB0-FF17DFC740E6}"/>
    <cellStyle name="Percent" xfId="2" builtinId="5"/>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Precedents (Buyer Case)</a:t>
            </a:r>
            <a:r>
              <a:rPr lang="en-US" baseline="0"/>
              <a:t> Football Field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524973201517941"/>
          <c:y val="9.5651065271045652E-2"/>
          <c:w val="0.8464864529695818"/>
          <c:h val="0.77352481160854925"/>
        </c:manualLayout>
      </c:layout>
      <c:barChart>
        <c:barDir val="bar"/>
        <c:grouping val="stacked"/>
        <c:varyColors val="0"/>
        <c:ser>
          <c:idx val="0"/>
          <c:order val="0"/>
          <c:spPr>
            <a:noFill/>
            <a:ln>
              <a:noFill/>
            </a:ln>
            <a:effectLst/>
          </c:spPr>
          <c:invertIfNegative val="0"/>
          <c:cat>
            <c:strRef>
              <c:f>'Precedents - Buyer Case'!$G$22:$I$22</c:f>
              <c:strCache>
                <c:ptCount val="3"/>
                <c:pt idx="0">
                  <c:v>Valuation/EBIT</c:v>
                </c:pt>
                <c:pt idx="1">
                  <c:v>Valuation/EBITDA</c:v>
                </c:pt>
                <c:pt idx="2">
                  <c:v>Valuation/Sales</c:v>
                </c:pt>
              </c:strCache>
            </c:strRef>
          </c:cat>
          <c:val>
            <c:numRef>
              <c:f>'Precedents - Buyer Case'!$G$23:$I$23</c:f>
              <c:numCache>
                <c:formatCode>"$"#,##0.00</c:formatCode>
                <c:ptCount val="3"/>
                <c:pt idx="0">
                  <c:v>-32.105768268894103</c:v>
                </c:pt>
                <c:pt idx="1">
                  <c:v>97.97722953033562</c:v>
                </c:pt>
                <c:pt idx="2">
                  <c:v>70.092857500125049</c:v>
                </c:pt>
              </c:numCache>
            </c:numRef>
          </c:val>
          <c:extLst>
            <c:ext xmlns:c16="http://schemas.microsoft.com/office/drawing/2014/chart" uri="{C3380CC4-5D6E-409C-BE32-E72D297353CC}">
              <c16:uniqueId val="{00000000-F47C-40EE-B06E-3C2B9069993A}"/>
            </c:ext>
          </c:extLst>
        </c:ser>
        <c:ser>
          <c:idx val="1"/>
          <c:order val="1"/>
          <c:spPr>
            <a:solidFill>
              <a:schemeClr val="accent2"/>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2-79BB-474F-B57B-030228287212}"/>
              </c:ext>
            </c:extLst>
          </c:dPt>
          <c:dPt>
            <c:idx val="1"/>
            <c:invertIfNegative val="0"/>
            <c:bubble3D val="0"/>
            <c:spPr>
              <a:solidFill>
                <a:srgbClr val="002060"/>
              </a:solidFill>
              <a:ln>
                <a:noFill/>
              </a:ln>
              <a:effectLst/>
            </c:spPr>
            <c:extLst>
              <c:ext xmlns:c16="http://schemas.microsoft.com/office/drawing/2014/chart" uri="{C3380CC4-5D6E-409C-BE32-E72D297353CC}">
                <c16:uniqueId val="{00000001-79BB-474F-B57B-030228287212}"/>
              </c:ext>
            </c:extLst>
          </c:dPt>
          <c:dPt>
            <c:idx val="2"/>
            <c:invertIfNegative val="0"/>
            <c:bubble3D val="0"/>
            <c:spPr>
              <a:solidFill>
                <a:srgbClr val="002060"/>
              </a:solidFill>
              <a:ln>
                <a:noFill/>
              </a:ln>
              <a:effectLst/>
            </c:spPr>
            <c:extLst>
              <c:ext xmlns:c16="http://schemas.microsoft.com/office/drawing/2014/chart" uri="{C3380CC4-5D6E-409C-BE32-E72D297353CC}">
                <c16:uniqueId val="{00000000-79BB-474F-B57B-030228287212}"/>
              </c:ext>
            </c:extLst>
          </c:dPt>
          <c:cat>
            <c:strRef>
              <c:f>'Precedents - Buyer Case'!$G$22:$I$22</c:f>
              <c:strCache>
                <c:ptCount val="3"/>
                <c:pt idx="0">
                  <c:v>Valuation/EBIT</c:v>
                </c:pt>
                <c:pt idx="1">
                  <c:v>Valuation/EBITDA</c:v>
                </c:pt>
                <c:pt idx="2">
                  <c:v>Valuation/Sales</c:v>
                </c:pt>
              </c:strCache>
            </c:strRef>
          </c:cat>
          <c:val>
            <c:numRef>
              <c:f>'Precedents - Buyer Case'!$G$24:$I$24</c:f>
              <c:numCache>
                <c:formatCode>"$"#,##0.00</c:formatCode>
                <c:ptCount val="3"/>
                <c:pt idx="0">
                  <c:v>105.65141549542338</c:v>
                </c:pt>
                <c:pt idx="1">
                  <c:v>7.4849947481618528</c:v>
                </c:pt>
                <c:pt idx="2">
                  <c:v>32.606362226779353</c:v>
                </c:pt>
              </c:numCache>
            </c:numRef>
          </c:val>
          <c:extLst>
            <c:ext xmlns:c16="http://schemas.microsoft.com/office/drawing/2014/chart" uri="{C3380CC4-5D6E-409C-BE32-E72D297353CC}">
              <c16:uniqueId val="{00000001-F47C-40EE-B06E-3C2B9069993A}"/>
            </c:ext>
          </c:extLst>
        </c:ser>
        <c:dLbls>
          <c:showLegendKey val="0"/>
          <c:showVal val="0"/>
          <c:showCatName val="0"/>
          <c:showSerName val="0"/>
          <c:showPercent val="0"/>
          <c:showBubbleSize val="0"/>
        </c:dLbls>
        <c:gapWidth val="150"/>
        <c:overlap val="100"/>
        <c:axId val="875397199"/>
        <c:axId val="875402479"/>
      </c:barChart>
      <c:catAx>
        <c:axId val="875397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402479"/>
        <c:crosses val="autoZero"/>
        <c:auto val="1"/>
        <c:lblAlgn val="ctr"/>
        <c:lblOffset val="100"/>
        <c:noMultiLvlLbl val="0"/>
      </c:catAx>
      <c:valAx>
        <c:axId val="87540247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3971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Precedents</a:t>
            </a:r>
            <a:r>
              <a:rPr lang="en-US" baseline="0"/>
              <a:t> (Seller Case) Football Field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524973201517941"/>
          <c:y val="9.5651065271045652E-2"/>
          <c:w val="0.8464864529695818"/>
          <c:h val="0.77352481160854925"/>
        </c:manualLayout>
      </c:layout>
      <c:barChart>
        <c:barDir val="bar"/>
        <c:grouping val="stacked"/>
        <c:varyColors val="0"/>
        <c:ser>
          <c:idx val="0"/>
          <c:order val="0"/>
          <c:spPr>
            <a:noFill/>
            <a:ln>
              <a:noFill/>
            </a:ln>
            <a:effectLst/>
          </c:spPr>
          <c:invertIfNegative val="0"/>
          <c:cat>
            <c:strRef>
              <c:f>'Precedents - Seller Case'!$G$22:$I$22</c:f>
              <c:strCache>
                <c:ptCount val="3"/>
                <c:pt idx="0">
                  <c:v>Valuation/EBIT</c:v>
                </c:pt>
                <c:pt idx="1">
                  <c:v>Valuation/EBITDA</c:v>
                </c:pt>
                <c:pt idx="2">
                  <c:v>Valuation/Sales</c:v>
                </c:pt>
              </c:strCache>
            </c:strRef>
          </c:cat>
          <c:val>
            <c:numRef>
              <c:f>'Precedents - Seller Case'!$G$23:$I$23</c:f>
              <c:numCache>
                <c:formatCode>"$"#,##0.00</c:formatCode>
                <c:ptCount val="3"/>
                <c:pt idx="0">
                  <c:v>-10.545440904316495</c:v>
                </c:pt>
                <c:pt idx="1">
                  <c:v>107.2641674586105</c:v>
                </c:pt>
                <c:pt idx="2">
                  <c:v>76.32642674936227</c:v>
                </c:pt>
              </c:numCache>
            </c:numRef>
          </c:val>
          <c:extLst>
            <c:ext xmlns:c16="http://schemas.microsoft.com/office/drawing/2014/chart" uri="{C3380CC4-5D6E-409C-BE32-E72D297353CC}">
              <c16:uniqueId val="{00000000-BA9A-4E7C-BF42-58905E24AAE3}"/>
            </c:ext>
          </c:extLst>
        </c:ser>
        <c:ser>
          <c:idx val="1"/>
          <c:order val="1"/>
          <c:spPr>
            <a:solidFill>
              <a:srgbClr val="002060"/>
            </a:solidFill>
            <a:ln>
              <a:noFill/>
            </a:ln>
            <a:effectLst/>
          </c:spPr>
          <c:invertIfNegative val="0"/>
          <c:cat>
            <c:strRef>
              <c:f>'Precedents - Seller Case'!$G$22:$I$22</c:f>
              <c:strCache>
                <c:ptCount val="3"/>
                <c:pt idx="0">
                  <c:v>Valuation/EBIT</c:v>
                </c:pt>
                <c:pt idx="1">
                  <c:v>Valuation/EBITDA</c:v>
                </c:pt>
                <c:pt idx="2">
                  <c:v>Valuation/Sales</c:v>
                </c:pt>
              </c:strCache>
            </c:strRef>
          </c:cat>
          <c:val>
            <c:numRef>
              <c:f>'Precedents - Seller Case'!$G$24:$I$24</c:f>
              <c:numCache>
                <c:formatCode>"$"#,##0.00</c:formatCode>
                <c:ptCount val="3"/>
                <c:pt idx="0">
                  <c:v>148.77207022457864</c:v>
                </c:pt>
                <c:pt idx="1">
                  <c:v>26.058870604711643</c:v>
                </c:pt>
                <c:pt idx="2">
                  <c:v>45.073500725253837</c:v>
                </c:pt>
              </c:numCache>
            </c:numRef>
          </c:val>
          <c:extLst>
            <c:ext xmlns:c16="http://schemas.microsoft.com/office/drawing/2014/chart" uri="{C3380CC4-5D6E-409C-BE32-E72D297353CC}">
              <c16:uniqueId val="{00000001-BA9A-4E7C-BF42-58905E24AAE3}"/>
            </c:ext>
          </c:extLst>
        </c:ser>
        <c:dLbls>
          <c:showLegendKey val="0"/>
          <c:showVal val="0"/>
          <c:showCatName val="0"/>
          <c:showSerName val="0"/>
          <c:showPercent val="0"/>
          <c:showBubbleSize val="0"/>
        </c:dLbls>
        <c:gapWidth val="150"/>
        <c:overlap val="100"/>
        <c:axId val="875397199"/>
        <c:axId val="875402479"/>
      </c:barChart>
      <c:catAx>
        <c:axId val="875397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402479"/>
        <c:crosses val="autoZero"/>
        <c:auto val="1"/>
        <c:lblAlgn val="ctr"/>
        <c:lblOffset val="100"/>
        <c:noMultiLvlLbl val="0"/>
      </c:catAx>
      <c:valAx>
        <c:axId val="87540247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3971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Comps</a:t>
            </a:r>
            <a:r>
              <a:rPr lang="en-US" baseline="0"/>
              <a:t> (Buyer Case) Football Field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6134249278231217E-2"/>
          <c:y val="0.10805565316004222"/>
          <c:w val="0.90108140978482409"/>
          <c:h val="0.84477869171931075"/>
        </c:manualLayout>
      </c:layout>
      <c:barChart>
        <c:barDir val="bar"/>
        <c:grouping val="stacked"/>
        <c:varyColors val="0"/>
        <c:ser>
          <c:idx val="0"/>
          <c:order val="0"/>
          <c:spPr>
            <a:noFill/>
            <a:ln>
              <a:noFill/>
            </a:ln>
            <a:effectLst/>
          </c:spPr>
          <c:invertIfNegative val="0"/>
          <c:cat>
            <c:strRef>
              <c:f>'Comps - Buyer Case'!$L$37:$R$37</c:f>
              <c:strCache>
                <c:ptCount val="6"/>
                <c:pt idx="0">
                  <c:v>EV/EBITDA</c:v>
                </c:pt>
                <c:pt idx="1">
                  <c:v>EV/EBIT</c:v>
                </c:pt>
                <c:pt idx="2">
                  <c:v>EV/Sales</c:v>
                </c:pt>
                <c:pt idx="3">
                  <c:v>P/BV (x)</c:v>
                </c:pt>
                <c:pt idx="4">
                  <c:v>P/sales</c:v>
                </c:pt>
                <c:pt idx="5">
                  <c:v>EV/EBIT</c:v>
                </c:pt>
              </c:strCache>
            </c:strRef>
          </c:cat>
          <c:val>
            <c:numRef>
              <c:f>'Comps - Buyer Case'!$L$38:$R$38</c:f>
              <c:numCache>
                <c:formatCode>0.00</c:formatCode>
                <c:ptCount val="7"/>
                <c:pt idx="0">
                  <c:v>56.9979852417096</c:v>
                </c:pt>
                <c:pt idx="1">
                  <c:v>62.221553096708845</c:v>
                </c:pt>
                <c:pt idx="2">
                  <c:v>54.794058816770843</c:v>
                </c:pt>
                <c:pt idx="3">
                  <c:v>44.881474644952505</c:v>
                </c:pt>
                <c:pt idx="4">
                  <c:v>42.831551332580794</c:v>
                </c:pt>
                <c:pt idx="5">
                  <c:v>62.221553096708845</c:v>
                </c:pt>
                <c:pt idx="6">
                  <c:v>0</c:v>
                </c:pt>
              </c:numCache>
            </c:numRef>
          </c:val>
          <c:extLst>
            <c:ext xmlns:c16="http://schemas.microsoft.com/office/drawing/2014/chart" uri="{C3380CC4-5D6E-409C-BE32-E72D297353CC}">
              <c16:uniqueId val="{00000000-4BF9-4CDC-9B73-6E4C5E903B09}"/>
            </c:ext>
          </c:extLst>
        </c:ser>
        <c:ser>
          <c:idx val="1"/>
          <c:order val="1"/>
          <c:spPr>
            <a:solidFill>
              <a:srgbClr val="002060"/>
            </a:solidFill>
            <a:ln>
              <a:noFill/>
            </a:ln>
            <a:effectLst/>
          </c:spPr>
          <c:invertIfNegative val="0"/>
          <c:cat>
            <c:strRef>
              <c:f>'Comps - Buyer Case'!$L$37:$R$37</c:f>
              <c:strCache>
                <c:ptCount val="6"/>
                <c:pt idx="0">
                  <c:v>EV/EBITDA</c:v>
                </c:pt>
                <c:pt idx="1">
                  <c:v>EV/EBIT</c:v>
                </c:pt>
                <c:pt idx="2">
                  <c:v>EV/Sales</c:v>
                </c:pt>
                <c:pt idx="3">
                  <c:v>P/BV (x)</c:v>
                </c:pt>
                <c:pt idx="4">
                  <c:v>P/sales</c:v>
                </c:pt>
                <c:pt idx="5">
                  <c:v>EV/EBIT</c:v>
                </c:pt>
              </c:strCache>
            </c:strRef>
          </c:cat>
          <c:val>
            <c:numRef>
              <c:f>'Comps - Buyer Case'!$L$39:$R$39</c:f>
              <c:numCache>
                <c:formatCode>0.00</c:formatCode>
                <c:ptCount val="7"/>
                <c:pt idx="0">
                  <c:v>26.487490512304291</c:v>
                </c:pt>
                <c:pt idx="1">
                  <c:v>43.87270916695843</c:v>
                </c:pt>
                <c:pt idx="2">
                  <c:v>21.069297889072274</c:v>
                </c:pt>
                <c:pt idx="3">
                  <c:v>42.640584516852499</c:v>
                </c:pt>
                <c:pt idx="4">
                  <c:v>39.483919590718521</c:v>
                </c:pt>
                <c:pt idx="5">
                  <c:v>43.87270916695843</c:v>
                </c:pt>
                <c:pt idx="6">
                  <c:v>0</c:v>
                </c:pt>
              </c:numCache>
            </c:numRef>
          </c:val>
          <c:extLst>
            <c:ext xmlns:c16="http://schemas.microsoft.com/office/drawing/2014/chart" uri="{C3380CC4-5D6E-409C-BE32-E72D297353CC}">
              <c16:uniqueId val="{00000001-4BF9-4CDC-9B73-6E4C5E903B09}"/>
            </c:ext>
          </c:extLst>
        </c:ser>
        <c:dLbls>
          <c:showLegendKey val="0"/>
          <c:showVal val="0"/>
          <c:showCatName val="0"/>
          <c:showSerName val="0"/>
          <c:showPercent val="0"/>
          <c:showBubbleSize val="0"/>
        </c:dLbls>
        <c:gapWidth val="150"/>
        <c:overlap val="100"/>
        <c:axId val="1984948351"/>
        <c:axId val="1984949311"/>
      </c:barChart>
      <c:catAx>
        <c:axId val="19849483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949311"/>
        <c:crosses val="autoZero"/>
        <c:auto val="1"/>
        <c:lblAlgn val="ctr"/>
        <c:lblOffset val="100"/>
        <c:noMultiLvlLbl val="0"/>
      </c:catAx>
      <c:valAx>
        <c:axId val="198494931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9483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Comps (Seller Case) Football</a:t>
            </a:r>
            <a:r>
              <a:rPr lang="en-US" baseline="0"/>
              <a:t> Field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1094499160977792E-2"/>
          <c:y val="9.5298810959778393E-2"/>
          <c:w val="0.90108140978482409"/>
          <c:h val="0.7858048808016308"/>
        </c:manualLayout>
      </c:layout>
      <c:barChart>
        <c:barDir val="bar"/>
        <c:grouping val="stacked"/>
        <c:varyColors val="0"/>
        <c:ser>
          <c:idx val="0"/>
          <c:order val="0"/>
          <c:spPr>
            <a:noFill/>
            <a:ln>
              <a:noFill/>
            </a:ln>
            <a:effectLst/>
          </c:spPr>
          <c:invertIfNegative val="0"/>
          <c:cat>
            <c:strRef>
              <c:f>'Comps - Seller Case '!$L$33:$R$33</c:f>
              <c:strCache>
                <c:ptCount val="4"/>
                <c:pt idx="0">
                  <c:v>EV/Sales</c:v>
                </c:pt>
                <c:pt idx="1">
                  <c:v>P/sales</c:v>
                </c:pt>
                <c:pt idx="2">
                  <c:v>P/FCF</c:v>
                </c:pt>
                <c:pt idx="3">
                  <c:v>P/E (x)</c:v>
                </c:pt>
              </c:strCache>
            </c:strRef>
          </c:cat>
          <c:val>
            <c:numRef>
              <c:f>'Comps - Seller Case '!$L$34:$R$34</c:f>
              <c:numCache>
                <c:formatCode>0.00</c:formatCode>
                <c:ptCount val="7"/>
                <c:pt idx="0">
                  <c:v>134.08493234081658</c:v>
                </c:pt>
                <c:pt idx="1">
                  <c:v>60.965363771497145</c:v>
                </c:pt>
                <c:pt idx="2">
                  <c:v>149.95410320618001</c:v>
                </c:pt>
                <c:pt idx="3">
                  <c:v>134.07886274999998</c:v>
                </c:pt>
                <c:pt idx="4">
                  <c:v>0</c:v>
                </c:pt>
                <c:pt idx="5">
                  <c:v>0</c:v>
                </c:pt>
                <c:pt idx="6">
                  <c:v>0</c:v>
                </c:pt>
              </c:numCache>
            </c:numRef>
          </c:val>
          <c:extLst>
            <c:ext xmlns:c16="http://schemas.microsoft.com/office/drawing/2014/chart" uri="{C3380CC4-5D6E-409C-BE32-E72D297353CC}">
              <c16:uniqueId val="{00000000-605B-4F99-9C00-C39B3F26F781}"/>
            </c:ext>
          </c:extLst>
        </c:ser>
        <c:ser>
          <c:idx val="1"/>
          <c:order val="1"/>
          <c:spPr>
            <a:solidFill>
              <a:srgbClr val="002060"/>
            </a:solidFill>
            <a:ln>
              <a:noFill/>
            </a:ln>
            <a:effectLst/>
          </c:spPr>
          <c:invertIfNegative val="0"/>
          <c:cat>
            <c:strRef>
              <c:f>'Comps - Seller Case '!$L$33:$R$33</c:f>
              <c:strCache>
                <c:ptCount val="4"/>
                <c:pt idx="0">
                  <c:v>EV/Sales</c:v>
                </c:pt>
                <c:pt idx="1">
                  <c:v>P/sales</c:v>
                </c:pt>
                <c:pt idx="2">
                  <c:v>P/FCF</c:v>
                </c:pt>
                <c:pt idx="3">
                  <c:v>P/E (x)</c:v>
                </c:pt>
              </c:strCache>
            </c:strRef>
          </c:cat>
          <c:val>
            <c:numRef>
              <c:f>'Comps - Seller Case '!$L$35:$R$35</c:f>
              <c:numCache>
                <c:formatCode>0.00</c:formatCode>
                <c:ptCount val="7"/>
                <c:pt idx="0">
                  <c:v>44.795174456057708</c:v>
                </c:pt>
                <c:pt idx="1">
                  <c:v>45.722883998963063</c:v>
                </c:pt>
                <c:pt idx="2">
                  <c:v>21.017725750839986</c:v>
                </c:pt>
                <c:pt idx="3">
                  <c:v>27.131599749999992</c:v>
                </c:pt>
                <c:pt idx="4">
                  <c:v>0</c:v>
                </c:pt>
                <c:pt idx="5">
                  <c:v>0</c:v>
                </c:pt>
                <c:pt idx="6">
                  <c:v>0</c:v>
                </c:pt>
              </c:numCache>
            </c:numRef>
          </c:val>
          <c:extLst>
            <c:ext xmlns:c16="http://schemas.microsoft.com/office/drawing/2014/chart" uri="{C3380CC4-5D6E-409C-BE32-E72D297353CC}">
              <c16:uniqueId val="{00000001-605B-4F99-9C00-C39B3F26F781}"/>
            </c:ext>
          </c:extLst>
        </c:ser>
        <c:dLbls>
          <c:showLegendKey val="0"/>
          <c:showVal val="0"/>
          <c:showCatName val="0"/>
          <c:showSerName val="0"/>
          <c:showPercent val="0"/>
          <c:showBubbleSize val="0"/>
        </c:dLbls>
        <c:gapWidth val="150"/>
        <c:overlap val="100"/>
        <c:axId val="1984948351"/>
        <c:axId val="1984949311"/>
      </c:barChart>
      <c:catAx>
        <c:axId val="19849483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949311"/>
        <c:crosses val="autoZero"/>
        <c:auto val="1"/>
        <c:lblAlgn val="ctr"/>
        <c:lblOffset val="100"/>
        <c:noMultiLvlLbl val="0"/>
      </c:catAx>
      <c:valAx>
        <c:axId val="198494931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9483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Final</a:t>
            </a:r>
            <a:r>
              <a:rPr lang="en-US" baseline="0"/>
              <a:t> Share Price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'Final Share Price Range'!$B$5</c:f>
              <c:strCache>
                <c:ptCount val="1"/>
                <c:pt idx="0">
                  <c:v>Buyer</c:v>
                </c:pt>
              </c:strCache>
            </c:strRef>
          </c:tx>
          <c:spPr>
            <a:noFill/>
            <a:ln>
              <a:noFill/>
            </a:ln>
            <a:effectLst/>
          </c:spPr>
          <c:invertIfNegative val="0"/>
          <c:cat>
            <c:strRef>
              <c:f>'Final Share Price Range'!$C$4:$E$4</c:f>
              <c:strCache>
                <c:ptCount val="3"/>
                <c:pt idx="0">
                  <c:v>DCF Valuation</c:v>
                </c:pt>
                <c:pt idx="1">
                  <c:v>Comps Valuation</c:v>
                </c:pt>
                <c:pt idx="2">
                  <c:v>Precedents Valuation</c:v>
                </c:pt>
              </c:strCache>
            </c:strRef>
          </c:cat>
          <c:val>
            <c:numRef>
              <c:f>'Final Share Price Range'!$C$5:$E$5</c:f>
              <c:numCache>
                <c:formatCode>"$"#,##0.00</c:formatCode>
                <c:ptCount val="3"/>
                <c:pt idx="0">
                  <c:v>45.275022257456037</c:v>
                </c:pt>
                <c:pt idx="1">
                  <c:v>71.658750806153492</c:v>
                </c:pt>
                <c:pt idx="2">
                  <c:v>69.611901665582963</c:v>
                </c:pt>
              </c:numCache>
            </c:numRef>
          </c:val>
          <c:extLst>
            <c:ext xmlns:c16="http://schemas.microsoft.com/office/drawing/2014/chart" uri="{C3380CC4-5D6E-409C-BE32-E72D297353CC}">
              <c16:uniqueId val="{00000000-BE9F-8148-AB8C-B9C9596CBCB3}"/>
            </c:ext>
          </c:extLst>
        </c:ser>
        <c:ser>
          <c:idx val="1"/>
          <c:order val="1"/>
          <c:tx>
            <c:strRef>
              <c:f>'Final Share Price Range'!$B$6</c:f>
              <c:strCache>
                <c:ptCount val="1"/>
                <c:pt idx="0">
                  <c:v>Difference</c:v>
                </c:pt>
              </c:strCache>
            </c:strRef>
          </c:tx>
          <c:spPr>
            <a:solidFill>
              <a:srgbClr val="002060"/>
            </a:solidFill>
            <a:ln>
              <a:noFill/>
            </a:ln>
            <a:effectLst/>
          </c:spPr>
          <c:invertIfNegative val="0"/>
          <c:cat>
            <c:strRef>
              <c:f>'Final Share Price Range'!$C$4:$E$4</c:f>
              <c:strCache>
                <c:ptCount val="3"/>
                <c:pt idx="0">
                  <c:v>DCF Valuation</c:v>
                </c:pt>
                <c:pt idx="1">
                  <c:v>Comps Valuation</c:v>
                </c:pt>
                <c:pt idx="2">
                  <c:v>Precedents Valuation</c:v>
                </c:pt>
              </c:strCache>
            </c:strRef>
          </c:cat>
          <c:val>
            <c:numRef>
              <c:f>'Final Share Price Range'!$C$6:$E$6</c:f>
              <c:numCache>
                <c:formatCode>"$"#,##0.00</c:formatCode>
                <c:ptCount val="3"/>
                <c:pt idx="0">
                  <c:v>166.227459609237</c:v>
                </c:pt>
                <c:pt idx="1">
                  <c:v>68.166327613890772</c:v>
                </c:pt>
                <c:pt idx="2">
                  <c:v>24.720556361393136</c:v>
                </c:pt>
              </c:numCache>
            </c:numRef>
          </c:val>
          <c:extLst>
            <c:ext xmlns:c16="http://schemas.microsoft.com/office/drawing/2014/chart" uri="{C3380CC4-5D6E-409C-BE32-E72D297353CC}">
              <c16:uniqueId val="{00000001-BE9F-8148-AB8C-B9C9596CBCB3}"/>
            </c:ext>
          </c:extLst>
        </c:ser>
        <c:dLbls>
          <c:showLegendKey val="0"/>
          <c:showVal val="0"/>
          <c:showCatName val="0"/>
          <c:showSerName val="0"/>
          <c:showPercent val="0"/>
          <c:showBubbleSize val="0"/>
        </c:dLbls>
        <c:gapWidth val="150"/>
        <c:overlap val="100"/>
        <c:axId val="1473791296"/>
        <c:axId val="1136081120"/>
      </c:barChart>
      <c:catAx>
        <c:axId val="1473791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081120"/>
        <c:crosses val="autoZero"/>
        <c:auto val="1"/>
        <c:lblAlgn val="ctr"/>
        <c:lblOffset val="100"/>
        <c:noMultiLvlLbl val="0"/>
      </c:catAx>
      <c:valAx>
        <c:axId val="113608112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791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E$6" max="100" page="10" val="19"/>
</file>

<file path=xl/ctrlProps/ctrlProp2.xml><?xml version="1.0" encoding="utf-8"?>
<formControlPr xmlns="http://schemas.microsoft.com/office/spreadsheetml/2009/9/main" objectType="Spin" dx="26" fmlaLink="$E$7" max="100" page="10" val="71"/>
</file>

<file path=xl/ctrlProps/ctrlProp3.xml><?xml version="1.0" encoding="utf-8"?>
<formControlPr xmlns="http://schemas.microsoft.com/office/spreadsheetml/2009/9/main" objectType="Spin" dx="26" fmlaLink="$E$8" max="100" page="10" val="47"/>
</file>

<file path=xl/ctrlProps/ctrlProp4.xml><?xml version="1.0" encoding="utf-8"?>
<formControlPr xmlns="http://schemas.microsoft.com/office/spreadsheetml/2009/9/main" objectType="Spin" dx="26" fmlaLink="$E$9" max="200" page="10" val="120"/>
</file>

<file path=xl/ctrlProps/ctrlProp5.xml><?xml version="1.0" encoding="utf-8"?>
<formControlPr xmlns="http://schemas.microsoft.com/office/spreadsheetml/2009/9/main" objectType="Spin" dx="26" fmlaLink="$E$10" max="200" page="10" val="129"/>
</file>

<file path=xl/ctrlProps/ctrlProp6.xml><?xml version="1.0" encoding="utf-8"?>
<formControlPr xmlns="http://schemas.microsoft.com/office/spreadsheetml/2009/9/main" objectType="Spin" dx="26" fmlaLink="$N$6" max="100" page="10" val="60"/>
</file>

<file path=xl/ctrlProps/ctrlProp7.xml><?xml version="1.0" encoding="utf-8"?>
<formControlPr xmlns="http://schemas.microsoft.com/office/spreadsheetml/2009/9/main" objectType="Spin" dx="26" fmlaLink="$N$7" max="100" page="10" val="83"/>
</file>

<file path=xl/ctrlProps/ctrlProp8.xml><?xml version="1.0" encoding="utf-8"?>
<formControlPr xmlns="http://schemas.microsoft.com/office/spreadsheetml/2009/9/main" objectType="Spin" dx="26" fmlaLink="$N$8" max="100" page="10" val="2"/>
</file>

<file path=xl/ctrlProps/ctrlProp9.xml><?xml version="1.0" encoding="utf-8"?>
<formControlPr xmlns="http://schemas.microsoft.com/office/spreadsheetml/2009/9/main" objectType="Spin" dx="26" fmlaLink="$N$9" max="200" page="10" val="110"/>
</file>

<file path=xl/ctrlProps/ctrlProp10.xml><?xml version="1.0" encoding="utf-8"?>
<formControlPr xmlns="http://schemas.microsoft.com/office/spreadsheetml/2009/9/main" objectType="Spin" dx="26" fmlaLink="$N$10" max="200" page="10" val="115"/>
</file>

<file path=xl/ctrlProps/ctrlProp11.xml><?xml version="1.0" encoding="utf-8"?>
<formControlPr xmlns="http://schemas.microsoft.com/office/spreadsheetml/2009/9/main" objectType="Spin" dx="26" fmlaLink="$E$11" max="200" page="10" val="102"/>
</file>

<file path=xl/ctrlProps/ctrlProp12.xml><?xml version="1.0" encoding="utf-8"?>
<formControlPr xmlns="http://schemas.microsoft.com/office/spreadsheetml/2009/9/main" objectType="Spin" dx="26" fmlaLink="$N$11" max="200" page="10" val="97"/>
</file>

<file path=xl/ctrlProps/ctrlProp13.xml><?xml version="1.0" encoding="utf-8"?>
<formControlPr xmlns="http://schemas.microsoft.com/office/spreadsheetml/2009/9/main" objectType="Spin" dx="26" fmlaLink="$E$12" max="200" page="10" val="110"/>
</file>

<file path=xl/ctrlProps/ctrlProp14.xml><?xml version="1.0" encoding="utf-8"?>
<formControlPr xmlns="http://schemas.microsoft.com/office/spreadsheetml/2009/9/main" objectType="Spin" dx="26" fmlaLink="$E$11" max="200" page="10" val="102"/>
</file>

<file path=xl/ctrlProps/ctrlProp15.xml><?xml version="1.0" encoding="utf-8"?>
<formControlPr xmlns="http://schemas.microsoft.com/office/spreadsheetml/2009/9/main" objectType="Spin" dx="26" fmlaLink="$N$12" max="200" page="10" val="109"/>
</file>

<file path=xl/ctrlProps/ctrlProp16.xml><?xml version="1.0" encoding="utf-8"?>
<formControlPr xmlns="http://schemas.microsoft.com/office/spreadsheetml/2009/9/main" objectType="Spin" dx="31" fmlaLink="$F$13" max="100" page="10" val="13"/>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3</xdr:col>
      <xdr:colOff>266700</xdr:colOff>
      <xdr:row>2</xdr:row>
      <xdr:rowOff>66675</xdr:rowOff>
    </xdr:from>
    <xdr:to>
      <xdr:col>12</xdr:col>
      <xdr:colOff>95250</xdr:colOff>
      <xdr:row>5</xdr:row>
      <xdr:rowOff>73082</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91800" y="466725"/>
          <a:ext cx="5314950" cy="17399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1351957</xdr:colOff>
      <xdr:row>20</xdr:row>
      <xdr:rowOff>181953</xdr:rowOff>
    </xdr:from>
    <xdr:to>
      <xdr:col>10</xdr:col>
      <xdr:colOff>1081422</xdr:colOff>
      <xdr:row>44</xdr:row>
      <xdr:rowOff>78501</xdr:rowOff>
    </xdr:to>
    <xdr:graphicFrame macro="">
      <xdr:nvGraphicFramePr>
        <xdr:cNvPr id="47" name="Chart 4">
          <a:extLst>
            <a:ext uri="{FF2B5EF4-FFF2-40B4-BE49-F238E27FC236}">
              <a16:creationId xmlns:a16="http://schemas.microsoft.com/office/drawing/2014/main" id="{00000000-0008-0000-0200-00002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634407</xdr:colOff>
      <xdr:row>20</xdr:row>
      <xdr:rowOff>197888</xdr:rowOff>
    </xdr:from>
    <xdr:to>
      <xdr:col>10</xdr:col>
      <xdr:colOff>363872</xdr:colOff>
      <xdr:row>44</xdr:row>
      <xdr:rowOff>91261</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1918273</xdr:colOff>
      <xdr:row>31</xdr:row>
      <xdr:rowOff>13564</xdr:rowOff>
    </xdr:from>
    <xdr:to>
      <xdr:col>21</xdr:col>
      <xdr:colOff>329622</xdr:colOff>
      <xdr:row>55</xdr:row>
      <xdr:rowOff>168565</xdr:rowOff>
    </xdr:to>
    <xdr:graphicFrame macro="">
      <xdr:nvGraphicFramePr>
        <xdr:cNvPr id="5" name="Chart 2">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1055289</xdr:colOff>
      <xdr:row>29</xdr:row>
      <xdr:rowOff>162371</xdr:rowOff>
    </xdr:from>
    <xdr:to>
      <xdr:col>20</xdr:col>
      <xdr:colOff>198042</xdr:colOff>
      <xdr:row>54</xdr:row>
      <xdr:rowOff>125114</xdr:rowOff>
    </xdr:to>
    <xdr:graphicFrame macro="">
      <xdr:nvGraphicFramePr>
        <xdr:cNvPr id="17" name="Chart 1">
          <a:extLst>
            <a:ext uri="{FF2B5EF4-FFF2-40B4-BE49-F238E27FC236}">
              <a16:creationId xmlns:a16="http://schemas.microsoft.com/office/drawing/2014/main" id="{00000000-0008-0000-05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352587</xdr:colOff>
      <xdr:row>2</xdr:row>
      <xdr:rowOff>53762</xdr:rowOff>
    </xdr:from>
    <xdr:to>
      <xdr:col>13</xdr:col>
      <xdr:colOff>130486</xdr:colOff>
      <xdr:row>15</xdr:row>
      <xdr:rowOff>167048</xdr:rowOff>
    </xdr:to>
    <xdr:graphicFrame macro="">
      <xdr:nvGraphicFramePr>
        <xdr:cNvPr id="3" name="Chart 3">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25400</xdr:colOff>
          <xdr:row>4</xdr:row>
          <xdr:rowOff>177800</xdr:rowOff>
        </xdr:from>
        <xdr:to>
          <xdr:col>5</xdr:col>
          <xdr:colOff>25400</xdr:colOff>
          <xdr:row>5</xdr:row>
          <xdr:rowOff>177800</xdr:rowOff>
        </xdr:to>
        <xdr:sp macro="" textlink="">
          <xdr:nvSpPr>
            <xdr:cNvPr id="1025" name="Spinner 1" hidden="1">
              <a:extLst>
                <a:ext uri="{63B3BB69-23CF-44E3-9099-C40C66FF867C}">
                  <a14:compatExt spid="_x0000_s1025"/>
                </a:ext>
                <a:ext uri="{FF2B5EF4-FFF2-40B4-BE49-F238E27FC236}">
                  <a16:creationId xmlns:a16="http://schemas.microsoft.com/office/drawing/2014/main" id="{00000000-0008-0000-0D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25400</xdr:colOff>
          <xdr:row>6</xdr:row>
          <xdr:rowOff>0</xdr:rowOff>
        </xdr:from>
        <xdr:to>
          <xdr:col>6</xdr:col>
          <xdr:colOff>25400</xdr:colOff>
          <xdr:row>7</xdr:row>
          <xdr:rowOff>0</xdr:rowOff>
        </xdr:to>
        <xdr:sp macro="" textlink="">
          <xdr:nvSpPr>
            <xdr:cNvPr id="1026" name="Spinner 2" hidden="1">
              <a:extLst>
                <a:ext uri="{63B3BB69-23CF-44E3-9099-C40C66FF867C}">
                  <a14:compatExt spid="_x0000_s1026"/>
                </a:ext>
                <a:ext uri="{FF2B5EF4-FFF2-40B4-BE49-F238E27FC236}">
                  <a16:creationId xmlns:a16="http://schemas.microsoft.com/office/drawing/2014/main" id="{00000000-0008-0000-0D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6</xdr:row>
          <xdr:rowOff>177800</xdr:rowOff>
        </xdr:from>
        <xdr:to>
          <xdr:col>5</xdr:col>
          <xdr:colOff>0</xdr:colOff>
          <xdr:row>7</xdr:row>
          <xdr:rowOff>177800</xdr:rowOff>
        </xdr:to>
        <xdr:sp macro="" textlink="">
          <xdr:nvSpPr>
            <xdr:cNvPr id="1027" name="Spinner 3" hidden="1">
              <a:extLst>
                <a:ext uri="{63B3BB69-23CF-44E3-9099-C40C66FF867C}">
                  <a14:compatExt spid="_x0000_s1027"/>
                </a:ext>
                <a:ext uri="{FF2B5EF4-FFF2-40B4-BE49-F238E27FC236}">
                  <a16:creationId xmlns:a16="http://schemas.microsoft.com/office/drawing/2014/main" id="{00000000-0008-0000-0D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25400</xdr:colOff>
          <xdr:row>8</xdr:row>
          <xdr:rowOff>0</xdr:rowOff>
        </xdr:from>
        <xdr:to>
          <xdr:col>6</xdr:col>
          <xdr:colOff>25400</xdr:colOff>
          <xdr:row>9</xdr:row>
          <xdr:rowOff>0</xdr:rowOff>
        </xdr:to>
        <xdr:sp macro="" textlink="">
          <xdr:nvSpPr>
            <xdr:cNvPr id="1028" name="Spinner 4" hidden="1">
              <a:extLst>
                <a:ext uri="{63B3BB69-23CF-44E3-9099-C40C66FF867C}">
                  <a14:compatExt spid="_x0000_s1028"/>
                </a:ext>
                <a:ext uri="{FF2B5EF4-FFF2-40B4-BE49-F238E27FC236}">
                  <a16:creationId xmlns:a16="http://schemas.microsoft.com/office/drawing/2014/main" id="{00000000-0008-0000-0D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25400</xdr:colOff>
          <xdr:row>9</xdr:row>
          <xdr:rowOff>0</xdr:rowOff>
        </xdr:from>
        <xdr:to>
          <xdr:col>5</xdr:col>
          <xdr:colOff>25400</xdr:colOff>
          <xdr:row>10</xdr:row>
          <xdr:rowOff>0</xdr:rowOff>
        </xdr:to>
        <xdr:sp macro="" textlink="">
          <xdr:nvSpPr>
            <xdr:cNvPr id="1029" name="Spinner 5" hidden="1">
              <a:extLst>
                <a:ext uri="{63B3BB69-23CF-44E3-9099-C40C66FF867C}">
                  <a14:compatExt spid="_x0000_s1029"/>
                </a:ext>
                <a:ext uri="{FF2B5EF4-FFF2-40B4-BE49-F238E27FC236}">
                  <a16:creationId xmlns:a16="http://schemas.microsoft.com/office/drawing/2014/main" id="{00000000-0008-0000-0D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25400</xdr:colOff>
          <xdr:row>4</xdr:row>
          <xdr:rowOff>177800</xdr:rowOff>
        </xdr:from>
        <xdr:to>
          <xdr:col>14</xdr:col>
          <xdr:colOff>25400</xdr:colOff>
          <xdr:row>5</xdr:row>
          <xdr:rowOff>177800</xdr:rowOff>
        </xdr:to>
        <xdr:sp macro="" textlink="">
          <xdr:nvSpPr>
            <xdr:cNvPr id="1030" name="Spinner 6" hidden="1">
              <a:extLst>
                <a:ext uri="{63B3BB69-23CF-44E3-9099-C40C66FF867C}">
                  <a14:compatExt spid="_x0000_s1030"/>
                </a:ext>
                <a:ext uri="{FF2B5EF4-FFF2-40B4-BE49-F238E27FC236}">
                  <a16:creationId xmlns:a16="http://schemas.microsoft.com/office/drawing/2014/main" id="{00000000-0008-0000-0D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25400</xdr:colOff>
          <xdr:row>6</xdr:row>
          <xdr:rowOff>0</xdr:rowOff>
        </xdr:from>
        <xdr:to>
          <xdr:col>15</xdr:col>
          <xdr:colOff>25400</xdr:colOff>
          <xdr:row>7</xdr:row>
          <xdr:rowOff>0</xdr:rowOff>
        </xdr:to>
        <xdr:sp macro="" textlink="">
          <xdr:nvSpPr>
            <xdr:cNvPr id="1031" name="Spinner 7" hidden="1">
              <a:extLst>
                <a:ext uri="{63B3BB69-23CF-44E3-9099-C40C66FF867C}">
                  <a14:compatExt spid="_x0000_s1031"/>
                </a:ext>
                <a:ext uri="{FF2B5EF4-FFF2-40B4-BE49-F238E27FC236}">
                  <a16:creationId xmlns:a16="http://schemas.microsoft.com/office/drawing/2014/main" id="{00000000-0008-0000-0D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0</xdr:colOff>
          <xdr:row>6</xdr:row>
          <xdr:rowOff>177800</xdr:rowOff>
        </xdr:from>
        <xdr:to>
          <xdr:col>14</xdr:col>
          <xdr:colOff>0</xdr:colOff>
          <xdr:row>7</xdr:row>
          <xdr:rowOff>177800</xdr:rowOff>
        </xdr:to>
        <xdr:sp macro="" textlink="">
          <xdr:nvSpPr>
            <xdr:cNvPr id="1032" name="Spinner 8" hidden="1">
              <a:extLst>
                <a:ext uri="{63B3BB69-23CF-44E3-9099-C40C66FF867C}">
                  <a14:compatExt spid="_x0000_s1032"/>
                </a:ext>
                <a:ext uri="{FF2B5EF4-FFF2-40B4-BE49-F238E27FC236}">
                  <a16:creationId xmlns:a16="http://schemas.microsoft.com/office/drawing/2014/main" id="{00000000-0008-0000-0D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25400</xdr:colOff>
          <xdr:row>8</xdr:row>
          <xdr:rowOff>0</xdr:rowOff>
        </xdr:from>
        <xdr:to>
          <xdr:col>15</xdr:col>
          <xdr:colOff>25400</xdr:colOff>
          <xdr:row>9</xdr:row>
          <xdr:rowOff>0</xdr:rowOff>
        </xdr:to>
        <xdr:sp macro="" textlink="">
          <xdr:nvSpPr>
            <xdr:cNvPr id="1033" name="Spinner 9" hidden="1">
              <a:extLst>
                <a:ext uri="{63B3BB69-23CF-44E3-9099-C40C66FF867C}">
                  <a14:compatExt spid="_x0000_s1033"/>
                </a:ext>
                <a:ext uri="{FF2B5EF4-FFF2-40B4-BE49-F238E27FC236}">
                  <a16:creationId xmlns:a16="http://schemas.microsoft.com/office/drawing/2014/main" id="{00000000-0008-0000-0D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25400</xdr:colOff>
          <xdr:row>9</xdr:row>
          <xdr:rowOff>0</xdr:rowOff>
        </xdr:from>
        <xdr:to>
          <xdr:col>14</xdr:col>
          <xdr:colOff>25400</xdr:colOff>
          <xdr:row>10</xdr:row>
          <xdr:rowOff>0</xdr:rowOff>
        </xdr:to>
        <xdr:sp macro="" textlink="">
          <xdr:nvSpPr>
            <xdr:cNvPr id="1034" name="Spinner 10" hidden="1">
              <a:extLst>
                <a:ext uri="{63B3BB69-23CF-44E3-9099-C40C66FF867C}">
                  <a14:compatExt spid="_x0000_s1034"/>
                </a:ext>
                <a:ext uri="{FF2B5EF4-FFF2-40B4-BE49-F238E27FC236}">
                  <a16:creationId xmlns:a16="http://schemas.microsoft.com/office/drawing/2014/main" id="{00000000-0008-0000-0D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12700</xdr:colOff>
          <xdr:row>10</xdr:row>
          <xdr:rowOff>12700</xdr:rowOff>
        </xdr:from>
        <xdr:to>
          <xdr:col>6</xdr:col>
          <xdr:colOff>25400</xdr:colOff>
          <xdr:row>10</xdr:row>
          <xdr:rowOff>177800</xdr:rowOff>
        </xdr:to>
        <xdr:sp macro="" textlink="">
          <xdr:nvSpPr>
            <xdr:cNvPr id="1035" name="Spinner 11" hidden="1">
              <a:extLst>
                <a:ext uri="{63B3BB69-23CF-44E3-9099-C40C66FF867C}">
                  <a14:compatExt spid="_x0000_s1035"/>
                </a:ext>
                <a:ext uri="{FF2B5EF4-FFF2-40B4-BE49-F238E27FC236}">
                  <a16:creationId xmlns:a16="http://schemas.microsoft.com/office/drawing/2014/main" id="{00000000-0008-0000-0D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12700</xdr:colOff>
          <xdr:row>10</xdr:row>
          <xdr:rowOff>25400</xdr:rowOff>
        </xdr:from>
        <xdr:to>
          <xdr:col>15</xdr:col>
          <xdr:colOff>25400</xdr:colOff>
          <xdr:row>11</xdr:row>
          <xdr:rowOff>0</xdr:rowOff>
        </xdr:to>
        <xdr:sp macro="" textlink="">
          <xdr:nvSpPr>
            <xdr:cNvPr id="1036" name="Spinner 12" hidden="1">
              <a:extLst>
                <a:ext uri="{63B3BB69-23CF-44E3-9099-C40C66FF867C}">
                  <a14:compatExt spid="_x0000_s1036"/>
                </a:ext>
                <a:ext uri="{FF2B5EF4-FFF2-40B4-BE49-F238E27FC236}">
                  <a16:creationId xmlns:a16="http://schemas.microsoft.com/office/drawing/2014/main" id="{00000000-0008-0000-0D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12700</xdr:colOff>
          <xdr:row>11</xdr:row>
          <xdr:rowOff>12700</xdr:rowOff>
        </xdr:from>
        <xdr:to>
          <xdr:col>5</xdr:col>
          <xdr:colOff>25400</xdr:colOff>
          <xdr:row>11</xdr:row>
          <xdr:rowOff>177800</xdr:rowOff>
        </xdr:to>
        <xdr:sp macro="" textlink="">
          <xdr:nvSpPr>
            <xdr:cNvPr id="1037" name="Spinner 13" hidden="1">
              <a:extLst>
                <a:ext uri="{63B3BB69-23CF-44E3-9099-C40C66FF867C}">
                  <a14:compatExt spid="_x0000_s1037"/>
                </a:ext>
                <a:ext uri="{FF2B5EF4-FFF2-40B4-BE49-F238E27FC236}">
                  <a16:creationId xmlns:a16="http://schemas.microsoft.com/office/drawing/2014/main" id="{00000000-0008-0000-0D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12700</xdr:colOff>
          <xdr:row>11</xdr:row>
          <xdr:rowOff>12700</xdr:rowOff>
        </xdr:from>
        <xdr:to>
          <xdr:col>14</xdr:col>
          <xdr:colOff>25400</xdr:colOff>
          <xdr:row>11</xdr:row>
          <xdr:rowOff>177800</xdr:rowOff>
        </xdr:to>
        <xdr:sp macro="" textlink="">
          <xdr:nvSpPr>
            <xdr:cNvPr id="1038" name="Spinner 14" hidden="1">
              <a:extLst>
                <a:ext uri="{63B3BB69-23CF-44E3-9099-C40C66FF867C}">
                  <a14:compatExt spid="_x0000_s1038"/>
                </a:ext>
                <a:ext uri="{FF2B5EF4-FFF2-40B4-BE49-F238E27FC236}">
                  <a16:creationId xmlns:a16="http://schemas.microsoft.com/office/drawing/2014/main" id="{00000000-0008-0000-0D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12700</xdr:colOff>
          <xdr:row>11</xdr:row>
          <xdr:rowOff>12700</xdr:rowOff>
        </xdr:from>
        <xdr:to>
          <xdr:col>14</xdr:col>
          <xdr:colOff>25400</xdr:colOff>
          <xdr:row>11</xdr:row>
          <xdr:rowOff>177800</xdr:rowOff>
        </xdr:to>
        <xdr:sp macro="" textlink="">
          <xdr:nvSpPr>
            <xdr:cNvPr id="1039" name="Spinner 15" hidden="1">
              <a:extLst>
                <a:ext uri="{63B3BB69-23CF-44E3-9099-C40C66FF867C}">
                  <a14:compatExt spid="_x0000_s1039"/>
                </a:ext>
                <a:ext uri="{FF2B5EF4-FFF2-40B4-BE49-F238E27FC236}">
                  <a16:creationId xmlns:a16="http://schemas.microsoft.com/office/drawing/2014/main" id="{00000000-0008-0000-0D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25400</xdr:colOff>
          <xdr:row>12</xdr:row>
          <xdr:rowOff>25400</xdr:rowOff>
        </xdr:from>
        <xdr:to>
          <xdr:col>6</xdr:col>
          <xdr:colOff>38100</xdr:colOff>
          <xdr:row>12</xdr:row>
          <xdr:rowOff>177800</xdr:rowOff>
        </xdr:to>
        <xdr:sp macro="" textlink="">
          <xdr:nvSpPr>
            <xdr:cNvPr id="1040" name="Spinner 16" hidden="1">
              <a:extLst>
                <a:ext uri="{63B3BB69-23CF-44E3-9099-C40C66FF867C}">
                  <a14:compatExt spid="_x0000_s1040"/>
                </a:ext>
                <a:ext uri="{FF2B5EF4-FFF2-40B4-BE49-F238E27FC236}">
                  <a16:creationId xmlns:a16="http://schemas.microsoft.com/office/drawing/2014/main" id="{00000000-0008-0000-0D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 Type="http://schemas.openxmlformats.org/officeDocument/2006/relationships/vmlDrawing" Target="../drawings/vmlDrawing1.vml"/><Relationship Id="rId16" Type="http://schemas.openxmlformats.org/officeDocument/2006/relationships/ctrlProp" Target="../ctrlProps/ctrlProp14.xml"/><Relationship Id="rId1" Type="http://schemas.openxmlformats.org/officeDocument/2006/relationships/drawing" Target="../drawings/drawing7.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5" Type="http://schemas.openxmlformats.org/officeDocument/2006/relationships/ctrlProp" Target="../ctrlProps/ctrlProp1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56860-E173-47CA-ABB4-2AE20001B48F}">
  <sheetPr codeName="Sheet1"/>
  <dimension ref="B2:U44"/>
  <sheetViews>
    <sheetView showGridLines="0" zoomScale="72" workbookViewId="0">
      <selection activeCell="E36" sqref="E36"/>
    </sheetView>
  </sheetViews>
  <sheetFormatPr baseColWidth="10" defaultColWidth="9.1640625" defaultRowHeight="16" x14ac:dyDescent="0.2"/>
  <cols>
    <col min="1" max="1" width="9.1640625" style="142"/>
    <col min="2" max="2" width="49" style="142" customWidth="1"/>
    <col min="3" max="3" width="32.1640625" style="142" customWidth="1"/>
    <col min="4" max="4" width="12.5" style="142" customWidth="1"/>
    <col min="5" max="5" width="78.5" style="142" customWidth="1"/>
    <col min="6" max="6" width="11.5" style="142" customWidth="1"/>
    <col min="7" max="7" width="34" style="142" customWidth="1"/>
    <col min="8" max="8" width="16.1640625" style="142" customWidth="1"/>
    <col min="9" max="9" width="20.5" style="142" customWidth="1"/>
    <col min="10" max="10" width="15.5" style="142" customWidth="1"/>
    <col min="11" max="11" width="3.83203125" style="142" customWidth="1"/>
    <col min="12" max="12" width="24.5" style="142" customWidth="1"/>
    <col min="13" max="13" width="4.5" style="142" customWidth="1"/>
    <col min="14" max="14" width="16.5" style="142" customWidth="1"/>
    <col min="15" max="16" width="17.5" style="142" customWidth="1"/>
    <col min="17" max="16384" width="9.1640625" style="142"/>
  </cols>
  <sheetData>
    <row r="2" spans="2:21" x14ac:dyDescent="0.2">
      <c r="B2" s="4" t="s">
        <v>0</v>
      </c>
      <c r="C2" s="4"/>
      <c r="D2" s="4"/>
      <c r="E2" s="2"/>
      <c r="F2" s="2"/>
      <c r="G2" s="2"/>
      <c r="H2" s="2"/>
      <c r="I2" s="2"/>
      <c r="J2" s="2"/>
      <c r="K2" s="69"/>
      <c r="L2" s="69"/>
      <c r="M2" s="69"/>
      <c r="N2" s="69"/>
      <c r="O2" s="69"/>
      <c r="P2" s="69"/>
      <c r="Q2" s="1"/>
      <c r="R2" s="1"/>
      <c r="S2" s="1"/>
      <c r="T2" s="1"/>
      <c r="U2" s="1"/>
    </row>
    <row r="4" spans="2:21" x14ac:dyDescent="0.2">
      <c r="B4" s="2"/>
      <c r="C4" s="3"/>
      <c r="D4" s="5" t="s">
        <v>1</v>
      </c>
      <c r="E4" s="3"/>
      <c r="F4" s="2"/>
      <c r="G4" s="3"/>
      <c r="H4" s="3"/>
      <c r="I4" s="5" t="s">
        <v>2</v>
      </c>
      <c r="J4" s="3"/>
      <c r="K4" s="69"/>
      <c r="L4" s="71" t="s">
        <v>3</v>
      </c>
      <c r="M4" s="69"/>
      <c r="N4" s="3"/>
      <c r="O4" s="5" t="s">
        <v>4</v>
      </c>
      <c r="P4" s="3"/>
      <c r="Q4" s="1"/>
      <c r="R4" s="1"/>
      <c r="S4" s="1"/>
      <c r="T4" s="1" t="s">
        <v>5</v>
      </c>
      <c r="U4" s="1" t="s">
        <v>6</v>
      </c>
    </row>
    <row r="5" spans="2:21" x14ac:dyDescent="0.2">
      <c r="B5" s="9" t="s">
        <v>7</v>
      </c>
      <c r="C5" s="9" t="s">
        <v>8</v>
      </c>
      <c r="D5" s="9" t="s">
        <v>9</v>
      </c>
      <c r="E5" s="9" t="s">
        <v>10</v>
      </c>
      <c r="F5" s="9"/>
      <c r="G5" s="9" t="s">
        <v>11</v>
      </c>
      <c r="H5" s="9" t="s">
        <v>12</v>
      </c>
      <c r="I5" s="9" t="s">
        <v>13</v>
      </c>
      <c r="J5" s="9" t="s">
        <v>14</v>
      </c>
      <c r="K5" s="69"/>
      <c r="L5" s="9"/>
      <c r="M5" s="69"/>
      <c r="N5" s="9" t="s">
        <v>12</v>
      </c>
      <c r="O5" s="9" t="s">
        <v>13</v>
      </c>
      <c r="P5" s="9" t="s">
        <v>14</v>
      </c>
      <c r="Q5" s="1"/>
      <c r="R5" s="1"/>
      <c r="S5" s="1"/>
      <c r="T5" s="1" t="s">
        <v>15</v>
      </c>
      <c r="U5" s="1" t="s">
        <v>16</v>
      </c>
    </row>
    <row r="6" spans="2:21" x14ac:dyDescent="0.2">
      <c r="B6" s="6">
        <f>DATE(2023,4,1)</f>
        <v>45017</v>
      </c>
      <c r="C6" s="7" t="s">
        <v>17</v>
      </c>
      <c r="D6" s="8">
        <v>6000</v>
      </c>
      <c r="E6" s="7" t="s">
        <v>18</v>
      </c>
      <c r="F6" s="7"/>
      <c r="G6" s="7" t="s">
        <v>19</v>
      </c>
      <c r="H6" s="98">
        <v>0.21</v>
      </c>
      <c r="I6" s="98">
        <v>2.97</v>
      </c>
      <c r="J6" s="98">
        <v>4.84</v>
      </c>
      <c r="K6" s="7"/>
      <c r="L6" s="7" t="s">
        <v>15</v>
      </c>
      <c r="M6" s="7"/>
      <c r="N6" s="98" t="str">
        <f t="shared" ref="N6:N17" si="0">IF($L6="Yes",H6,"")</f>
        <v/>
      </c>
      <c r="O6" s="98" t="str">
        <f>IF($L$6="Yes",I6,"")</f>
        <v/>
      </c>
      <c r="P6" s="98" t="str">
        <f>IF($L$6="Yes",J6,"")</f>
        <v/>
      </c>
      <c r="Q6" s="7"/>
      <c r="R6" s="7"/>
      <c r="S6" s="7"/>
      <c r="T6" s="1"/>
      <c r="U6" s="1"/>
    </row>
    <row r="7" spans="2:21" x14ac:dyDescent="0.2">
      <c r="B7" s="6">
        <f>DATE(2022,8,15)</f>
        <v>44788</v>
      </c>
      <c r="C7" s="7" t="s">
        <v>20</v>
      </c>
      <c r="D7" s="8">
        <v>257.79000000000002</v>
      </c>
      <c r="E7" s="7" t="s">
        <v>21</v>
      </c>
      <c r="F7" s="7"/>
      <c r="G7" s="7" t="s">
        <v>19</v>
      </c>
      <c r="H7" s="98">
        <v>0.11</v>
      </c>
      <c r="I7" s="98">
        <v>2.2200000000000002</v>
      </c>
      <c r="J7" s="98">
        <v>-5.0599999999999996</v>
      </c>
      <c r="K7" s="7"/>
      <c r="L7" s="7" t="s">
        <v>5</v>
      </c>
      <c r="M7" s="7"/>
      <c r="N7" s="98">
        <f t="shared" si="0"/>
        <v>0.11</v>
      </c>
      <c r="O7" s="98">
        <f t="shared" ref="O7:O17" si="1">IF($L7="Yes",I7,"")</f>
        <v>2.2200000000000002</v>
      </c>
      <c r="P7" s="98">
        <f t="shared" ref="P7:P17" si="2">IF($L7="Yes",J7,"")</f>
        <v>-5.0599999999999996</v>
      </c>
      <c r="Q7" s="7"/>
      <c r="R7" s="7"/>
      <c r="S7" s="7"/>
      <c r="T7" s="1"/>
      <c r="U7" s="1"/>
    </row>
    <row r="8" spans="2:21" x14ac:dyDescent="0.2">
      <c r="B8" s="6">
        <f>DATE(2018,12,6)</f>
        <v>43440</v>
      </c>
      <c r="C8" s="7" t="s">
        <v>22</v>
      </c>
      <c r="D8" s="8">
        <v>920.03</v>
      </c>
      <c r="E8" s="7" t="s">
        <v>23</v>
      </c>
      <c r="F8" s="7"/>
      <c r="G8" s="7" t="s">
        <v>24</v>
      </c>
      <c r="H8" s="98">
        <v>0.28999999999999998</v>
      </c>
      <c r="I8" s="98">
        <v>7.22</v>
      </c>
      <c r="J8" s="98">
        <v>-11.92</v>
      </c>
      <c r="K8" s="7"/>
      <c r="L8" s="7" t="s">
        <v>15</v>
      </c>
      <c r="M8" s="7"/>
      <c r="N8" s="98" t="str">
        <f t="shared" si="0"/>
        <v/>
      </c>
      <c r="O8" s="98" t="str">
        <f t="shared" si="1"/>
        <v/>
      </c>
      <c r="P8" s="98" t="str">
        <f t="shared" si="2"/>
        <v/>
      </c>
      <c r="Q8" s="7"/>
      <c r="R8" s="7"/>
      <c r="S8" s="7"/>
      <c r="T8" s="1"/>
      <c r="U8" s="1"/>
    </row>
    <row r="9" spans="2:21" x14ac:dyDescent="0.2">
      <c r="B9" s="6">
        <f>DATE(2018,9,18)</f>
        <v>43361</v>
      </c>
      <c r="C9" s="7" t="s">
        <v>25</v>
      </c>
      <c r="D9" s="8">
        <v>1760</v>
      </c>
      <c r="E9" s="7" t="s">
        <v>26</v>
      </c>
      <c r="F9" s="7"/>
      <c r="G9" s="7" t="s">
        <v>19</v>
      </c>
      <c r="H9" s="98">
        <v>0.59</v>
      </c>
      <c r="I9" s="98">
        <v>5.91</v>
      </c>
      <c r="J9" s="98"/>
      <c r="K9" s="7"/>
      <c r="L9" s="7" t="s">
        <v>15</v>
      </c>
      <c r="M9" s="7"/>
      <c r="N9" s="98" t="str">
        <f t="shared" si="0"/>
        <v/>
      </c>
      <c r="O9" s="98" t="str">
        <f t="shared" si="1"/>
        <v/>
      </c>
      <c r="P9" s="98" t="str">
        <f t="shared" si="2"/>
        <v/>
      </c>
      <c r="Q9" s="7"/>
      <c r="R9" s="7"/>
      <c r="S9" s="7"/>
      <c r="T9" s="1"/>
      <c r="U9" s="1"/>
    </row>
    <row r="10" spans="2:21" x14ac:dyDescent="0.2">
      <c r="B10" s="6">
        <f>DATE(2021,7,28)</f>
        <v>44405</v>
      </c>
      <c r="C10" s="7" t="s">
        <v>27</v>
      </c>
      <c r="D10" s="8">
        <v>2630</v>
      </c>
      <c r="E10" s="7" t="s">
        <v>28</v>
      </c>
      <c r="F10" s="7"/>
      <c r="G10" s="7" t="s">
        <v>19</v>
      </c>
      <c r="H10" s="98">
        <v>0.91</v>
      </c>
      <c r="I10" s="98">
        <v>5.83</v>
      </c>
      <c r="J10" s="98">
        <v>9.44</v>
      </c>
      <c r="K10" s="7"/>
      <c r="L10" s="7" t="s">
        <v>15</v>
      </c>
      <c r="M10" s="7"/>
      <c r="N10" s="98" t="str">
        <f t="shared" si="0"/>
        <v/>
      </c>
      <c r="O10" s="98" t="str">
        <f t="shared" si="1"/>
        <v/>
      </c>
      <c r="P10" s="98" t="str">
        <f t="shared" si="2"/>
        <v/>
      </c>
      <c r="Q10" s="7"/>
      <c r="R10" s="7"/>
      <c r="S10" s="7"/>
      <c r="T10" s="1"/>
      <c r="U10" s="1"/>
    </row>
    <row r="11" spans="2:21" x14ac:dyDescent="0.2">
      <c r="B11" s="6">
        <f>DATE(2020,12,11)</f>
        <v>44176</v>
      </c>
      <c r="C11" s="7" t="s">
        <v>29</v>
      </c>
      <c r="D11" s="8">
        <v>4520</v>
      </c>
      <c r="E11" s="7" t="s">
        <v>30</v>
      </c>
      <c r="F11" s="7"/>
      <c r="G11" s="7" t="s">
        <v>19</v>
      </c>
      <c r="H11" s="98">
        <v>138.09</v>
      </c>
      <c r="I11" s="98">
        <v>2720.6</v>
      </c>
      <c r="J11" s="98">
        <v>2804.67</v>
      </c>
      <c r="K11" s="7"/>
      <c r="L11" s="7" t="s">
        <v>15</v>
      </c>
      <c r="M11" s="7"/>
      <c r="N11" s="98" t="str">
        <f t="shared" si="0"/>
        <v/>
      </c>
      <c r="O11" s="98" t="str">
        <f t="shared" si="1"/>
        <v/>
      </c>
      <c r="P11" s="98" t="str">
        <f t="shared" si="2"/>
        <v/>
      </c>
      <c r="Q11" s="7"/>
      <c r="R11" s="7"/>
      <c r="S11" s="7"/>
      <c r="T11" s="1"/>
      <c r="U11" s="1"/>
    </row>
    <row r="12" spans="2:21" x14ac:dyDescent="0.2">
      <c r="B12" s="6">
        <f>DATE(2015,4,7)</f>
        <v>42101</v>
      </c>
      <c r="C12" s="7" t="s">
        <v>31</v>
      </c>
      <c r="D12" s="8">
        <v>2700</v>
      </c>
      <c r="E12" s="7" t="s">
        <v>32</v>
      </c>
      <c r="F12" s="7"/>
      <c r="G12" s="7" t="s">
        <v>33</v>
      </c>
      <c r="H12" s="98">
        <v>0.38</v>
      </c>
      <c r="I12" s="98">
        <v>10.34</v>
      </c>
      <c r="J12" s="98">
        <v>10.34</v>
      </c>
      <c r="K12" s="7"/>
      <c r="L12" s="7" t="s">
        <v>15</v>
      </c>
      <c r="M12" s="7"/>
      <c r="N12" s="98" t="str">
        <f t="shared" si="0"/>
        <v/>
      </c>
      <c r="O12" s="98" t="str">
        <f t="shared" si="1"/>
        <v/>
      </c>
      <c r="P12" s="98" t="str">
        <f t="shared" si="2"/>
        <v/>
      </c>
      <c r="Q12" s="7"/>
      <c r="R12" s="7"/>
      <c r="S12" s="7"/>
      <c r="T12" s="1"/>
      <c r="U12" s="1"/>
    </row>
    <row r="13" spans="2:21" x14ac:dyDescent="0.2">
      <c r="B13" s="6">
        <f>DATE(2017,11,2)</f>
        <v>43041</v>
      </c>
      <c r="C13" s="7" t="s">
        <v>34</v>
      </c>
      <c r="D13" s="8">
        <v>1420</v>
      </c>
      <c r="E13" s="7" t="s">
        <v>35</v>
      </c>
      <c r="F13" s="7"/>
      <c r="G13" s="7" t="s">
        <v>33</v>
      </c>
      <c r="H13" s="98">
        <v>0.45</v>
      </c>
      <c r="I13" s="98">
        <v>2.76</v>
      </c>
      <c r="J13" s="98">
        <v>4.03</v>
      </c>
      <c r="K13" s="7"/>
      <c r="L13" s="7" t="s">
        <v>5</v>
      </c>
      <c r="M13" s="7"/>
      <c r="N13" s="98">
        <f t="shared" si="0"/>
        <v>0.45</v>
      </c>
      <c r="O13" s="98">
        <f t="shared" si="1"/>
        <v>2.76</v>
      </c>
      <c r="P13" s="98">
        <f t="shared" si="2"/>
        <v>4.03</v>
      </c>
      <c r="Q13" s="7"/>
      <c r="R13" s="7"/>
      <c r="S13" s="7"/>
      <c r="T13" s="1"/>
      <c r="U13" s="1"/>
    </row>
    <row r="14" spans="2:21" x14ac:dyDescent="0.2">
      <c r="B14" s="6">
        <f>DATE(2019,8,28)</f>
        <v>43705</v>
      </c>
      <c r="C14" s="7" t="s">
        <v>36</v>
      </c>
      <c r="D14" s="8">
        <v>902.48</v>
      </c>
      <c r="E14" s="7" t="s">
        <v>37</v>
      </c>
      <c r="F14" s="7"/>
      <c r="G14" s="7" t="s">
        <v>33</v>
      </c>
      <c r="H14" s="98">
        <v>0.54</v>
      </c>
      <c r="I14" s="98">
        <v>5.84</v>
      </c>
      <c r="J14" s="98">
        <v>10.56</v>
      </c>
      <c r="K14" s="7"/>
      <c r="L14" s="7" t="s">
        <v>15</v>
      </c>
      <c r="M14" s="7"/>
      <c r="N14" s="98" t="str">
        <f t="shared" si="0"/>
        <v/>
      </c>
      <c r="O14" s="98" t="str">
        <f t="shared" si="1"/>
        <v/>
      </c>
      <c r="P14" s="98" t="str">
        <f t="shared" si="2"/>
        <v/>
      </c>
      <c r="Q14" s="7"/>
      <c r="R14" s="7"/>
      <c r="S14" s="7"/>
      <c r="T14" s="1"/>
      <c r="U14" s="1"/>
    </row>
    <row r="15" spans="2:21" x14ac:dyDescent="0.2">
      <c r="B15" s="6">
        <f>DATE(2018,10,8)</f>
        <v>43381</v>
      </c>
      <c r="C15" s="7" t="s">
        <v>38</v>
      </c>
      <c r="D15" s="8">
        <v>309.33</v>
      </c>
      <c r="E15" s="7" t="s">
        <v>37</v>
      </c>
      <c r="F15" s="7" t="s">
        <v>39</v>
      </c>
      <c r="G15" s="7" t="s">
        <v>33</v>
      </c>
      <c r="H15" s="98">
        <v>1</v>
      </c>
      <c r="I15" s="98">
        <v>6.52</v>
      </c>
      <c r="J15" s="98">
        <v>8.6199999999999992</v>
      </c>
      <c r="K15" s="7"/>
      <c r="L15" s="7" t="s">
        <v>15</v>
      </c>
      <c r="M15" s="7"/>
      <c r="N15" s="98" t="str">
        <f t="shared" si="0"/>
        <v/>
      </c>
      <c r="O15" s="98" t="str">
        <f t="shared" si="1"/>
        <v/>
      </c>
      <c r="P15" s="98" t="str">
        <f t="shared" si="2"/>
        <v/>
      </c>
      <c r="Q15" s="7"/>
      <c r="R15" s="7"/>
      <c r="S15" s="7"/>
      <c r="T15" s="1"/>
      <c r="U15" s="1"/>
    </row>
    <row r="16" spans="2:21" x14ac:dyDescent="0.2">
      <c r="B16" s="6">
        <f>DATE(2016,12,12)</f>
        <v>42716</v>
      </c>
      <c r="C16" s="7" t="s">
        <v>40</v>
      </c>
      <c r="D16" s="8">
        <v>357.08</v>
      </c>
      <c r="E16" s="7" t="s">
        <v>41</v>
      </c>
      <c r="F16" s="7"/>
      <c r="G16" s="7" t="s">
        <v>33</v>
      </c>
      <c r="H16" s="98">
        <v>0.52</v>
      </c>
      <c r="I16" s="98">
        <v>4.41</v>
      </c>
      <c r="J16" s="98">
        <v>10.54</v>
      </c>
      <c r="K16" s="7"/>
      <c r="L16" s="7" t="s">
        <v>15</v>
      </c>
      <c r="M16" s="7"/>
      <c r="N16" s="98" t="str">
        <f t="shared" si="0"/>
        <v/>
      </c>
      <c r="O16" s="98" t="str">
        <f t="shared" si="1"/>
        <v/>
      </c>
      <c r="P16" s="98" t="str">
        <f t="shared" si="2"/>
        <v/>
      </c>
      <c r="Q16" s="7"/>
      <c r="R16" s="7"/>
      <c r="S16" s="7"/>
      <c r="T16" s="1"/>
      <c r="U16" s="1"/>
    </row>
    <row r="17" spans="2:19" x14ac:dyDescent="0.2">
      <c r="B17" s="6">
        <f>DATE(2021,5,4)</f>
        <v>44320</v>
      </c>
      <c r="C17" s="7" t="s">
        <v>42</v>
      </c>
      <c r="D17" s="8">
        <v>1380</v>
      </c>
      <c r="E17" s="7" t="s">
        <v>37</v>
      </c>
      <c r="F17" s="7"/>
      <c r="G17" s="7" t="s">
        <v>33</v>
      </c>
      <c r="H17" s="98">
        <v>0.57999999999999996</v>
      </c>
      <c r="I17" s="98">
        <v>4.0999999999999996</v>
      </c>
      <c r="J17" s="98">
        <v>7.74</v>
      </c>
      <c r="K17" s="7"/>
      <c r="L17" s="7" t="s">
        <v>5</v>
      </c>
      <c r="M17" s="7"/>
      <c r="N17" s="98">
        <f t="shared" si="0"/>
        <v>0.57999999999999996</v>
      </c>
      <c r="O17" s="98">
        <f t="shared" si="1"/>
        <v>4.0999999999999996</v>
      </c>
      <c r="P17" s="98">
        <f t="shared" si="2"/>
        <v>7.74</v>
      </c>
      <c r="Q17" s="7"/>
      <c r="R17" s="7"/>
      <c r="S17" s="7"/>
    </row>
    <row r="18" spans="2:19" x14ac:dyDescent="0.2">
      <c r="B18" s="7"/>
      <c r="C18" s="7"/>
      <c r="D18" s="7"/>
      <c r="E18" s="7"/>
      <c r="F18" s="7"/>
      <c r="G18" s="7"/>
      <c r="H18" s="7"/>
      <c r="I18" s="7"/>
      <c r="J18" s="7"/>
      <c r="K18" s="7"/>
      <c r="L18" s="7"/>
      <c r="M18" s="7"/>
      <c r="N18" s="7"/>
      <c r="O18" s="7"/>
      <c r="P18" s="7"/>
      <c r="Q18" s="7"/>
      <c r="R18" s="7"/>
      <c r="S18" s="7"/>
    </row>
    <row r="19" spans="2:19" x14ac:dyDescent="0.2">
      <c r="B19" s="105" t="s">
        <v>16</v>
      </c>
      <c r="C19" s="105"/>
      <c r="D19" s="105"/>
      <c r="E19" s="105"/>
      <c r="F19" s="105"/>
      <c r="G19" s="105"/>
      <c r="H19" s="141">
        <f>MEDIAN(H6:H17)</f>
        <v>0.53</v>
      </c>
      <c r="I19" s="141">
        <f>MEDIAN(I6:I17)</f>
        <v>5.835</v>
      </c>
      <c r="J19" s="141">
        <f>MEDIAN(J6:J17)</f>
        <v>8.6199999999999992</v>
      </c>
      <c r="K19" s="141"/>
      <c r="L19" s="141"/>
      <c r="M19" s="141"/>
      <c r="N19" s="141">
        <f>MEDIAN(N6:N17)</f>
        <v>0.45</v>
      </c>
      <c r="O19" s="141">
        <f>MEDIAN(O6:O17)</f>
        <v>2.76</v>
      </c>
      <c r="P19" s="141">
        <f>MEDIAN(P6:P17)</f>
        <v>4.03</v>
      </c>
      <c r="Q19" s="7"/>
      <c r="R19" s="7"/>
      <c r="S19" s="7"/>
    </row>
    <row r="20" spans="2:19" x14ac:dyDescent="0.2">
      <c r="B20" s="105" t="s">
        <v>6</v>
      </c>
      <c r="C20" s="105"/>
      <c r="D20" s="105"/>
      <c r="E20" s="105"/>
      <c r="F20" s="105"/>
      <c r="G20" s="105"/>
      <c r="H20" s="141">
        <f>AVERAGE(H6:H17)</f>
        <v>11.972500000000002</v>
      </c>
      <c r="I20" s="141">
        <f>AVERAGE(I6:I17)</f>
        <v>231.56000000000003</v>
      </c>
      <c r="J20" s="141">
        <f>AVERAGE(J6:J17)</f>
        <v>259.43636363636364</v>
      </c>
      <c r="K20" s="141"/>
      <c r="L20" s="141"/>
      <c r="M20" s="141"/>
      <c r="N20" s="141">
        <f>AVERAGE(N6:N17)</f>
        <v>0.38000000000000006</v>
      </c>
      <c r="O20" s="141">
        <f>AVERAGE(O6:O17)</f>
        <v>3.0266666666666668</v>
      </c>
      <c r="P20" s="141">
        <f>AVERAGE(P6:P17)</f>
        <v>2.2366666666666668</v>
      </c>
      <c r="Q20" s="7"/>
      <c r="R20" s="7"/>
      <c r="S20" s="7"/>
    </row>
    <row r="21" spans="2:19" x14ac:dyDescent="0.2">
      <c r="B21" s="7"/>
      <c r="C21" s="7"/>
      <c r="D21" s="7"/>
      <c r="E21" s="7"/>
      <c r="F21" s="7"/>
      <c r="G21" s="7"/>
      <c r="H21" s="7"/>
      <c r="I21" s="7"/>
      <c r="J21" s="7"/>
      <c r="K21" s="7"/>
      <c r="L21" s="7"/>
      <c r="M21" s="7"/>
      <c r="N21" s="7"/>
      <c r="O21" s="7"/>
      <c r="P21" s="7"/>
      <c r="Q21" s="7"/>
      <c r="R21" s="7"/>
      <c r="S21" s="7"/>
    </row>
    <row r="22" spans="2:19" x14ac:dyDescent="0.2">
      <c r="B22" s="72"/>
      <c r="C22" s="7"/>
      <c r="D22" s="7"/>
      <c r="E22" s="7"/>
      <c r="F22" s="7"/>
      <c r="G22" s="7"/>
      <c r="H22" s="7"/>
      <c r="I22" s="7"/>
      <c r="J22" s="7"/>
      <c r="K22" s="7"/>
      <c r="L22" s="7"/>
      <c r="M22" s="7"/>
      <c r="N22" s="7"/>
      <c r="O22" s="7"/>
      <c r="P22" s="7"/>
      <c r="Q22" s="7"/>
      <c r="R22" s="7"/>
      <c r="S22" s="7"/>
    </row>
    <row r="23" spans="2:19" x14ac:dyDescent="0.2">
      <c r="B23" s="73" t="s">
        <v>43</v>
      </c>
      <c r="C23" s="105" t="s">
        <v>14</v>
      </c>
      <c r="D23" s="7"/>
      <c r="E23" s="7"/>
      <c r="F23" s="7"/>
      <c r="G23" s="7"/>
      <c r="H23" s="7"/>
      <c r="I23" s="7"/>
      <c r="J23" s="7"/>
      <c r="K23" s="7"/>
      <c r="L23" s="7"/>
      <c r="M23" s="7"/>
      <c r="N23" s="7"/>
      <c r="O23" s="7"/>
      <c r="P23" s="7"/>
      <c r="Q23" s="7"/>
      <c r="R23" s="7"/>
      <c r="S23" s="7"/>
    </row>
    <row r="24" spans="2:19" x14ac:dyDescent="0.2">
      <c r="B24" s="7"/>
      <c r="C24" s="7"/>
      <c r="D24" s="7"/>
      <c r="E24" s="7"/>
      <c r="F24" s="7"/>
      <c r="G24" s="7"/>
      <c r="H24" s="7"/>
      <c r="I24" s="7"/>
      <c r="J24" s="7"/>
      <c r="K24" s="7"/>
      <c r="L24" s="7"/>
      <c r="M24" s="7"/>
      <c r="N24" s="7"/>
      <c r="O24" s="7"/>
      <c r="P24" s="7"/>
      <c r="Q24" s="7"/>
      <c r="R24" s="7"/>
      <c r="S24" s="7"/>
    </row>
    <row r="25" spans="2:19" x14ac:dyDescent="0.2">
      <c r="B25" s="73" t="s">
        <v>44</v>
      </c>
      <c r="C25" s="105" t="s">
        <v>6</v>
      </c>
      <c r="D25" s="7"/>
      <c r="E25" s="7"/>
      <c r="F25" s="7"/>
      <c r="G25" s="7"/>
      <c r="H25" s="7"/>
      <c r="I25" s="7"/>
      <c r="J25" s="7"/>
      <c r="K25" s="7"/>
      <c r="L25" s="7"/>
      <c r="M25" s="7"/>
      <c r="N25" s="7"/>
      <c r="O25" s="7"/>
      <c r="P25" s="7"/>
      <c r="Q25" s="7"/>
      <c r="R25" s="7"/>
      <c r="S25" s="7"/>
    </row>
    <row r="26" spans="2:19" x14ac:dyDescent="0.2">
      <c r="B26" s="7"/>
      <c r="C26" s="7"/>
      <c r="D26" s="7"/>
      <c r="E26" s="7"/>
      <c r="F26" s="7"/>
      <c r="G26" s="7"/>
      <c r="H26" s="7"/>
      <c r="I26" s="7"/>
      <c r="J26" s="7"/>
      <c r="K26" s="7"/>
      <c r="L26" s="7"/>
      <c r="M26" s="7"/>
      <c r="N26" s="7"/>
      <c r="O26" s="7"/>
      <c r="P26" s="7"/>
      <c r="Q26" s="7"/>
      <c r="R26" s="7"/>
      <c r="S26" s="7"/>
    </row>
    <row r="27" spans="2:19" x14ac:dyDescent="0.2">
      <c r="B27" s="73" t="str">
        <f>C23 &amp; " " &amp; "Using" &amp;  " "  &amp; C25</f>
        <v>Valuation/EBIT Using Average</v>
      </c>
      <c r="C27" s="141">
        <f>IF(C25="Average",AVERAGE(INDEX(N6:P17,0,MATCH(C23,N5:P5,0))),MEDIAN(INDEX(N6:P17,0,MATCH(C23,N5:P5,0))))</f>
        <v>2.2366666666666668</v>
      </c>
      <c r="D27" s="7"/>
      <c r="E27" s="7"/>
      <c r="F27" s="7"/>
      <c r="G27" s="7"/>
      <c r="H27" s="7"/>
      <c r="I27" s="7"/>
      <c r="J27" s="7"/>
      <c r="K27" s="7"/>
      <c r="L27" s="7"/>
      <c r="M27" s="7"/>
      <c r="N27" s="7"/>
      <c r="O27" s="7"/>
      <c r="P27" s="7"/>
      <c r="Q27" s="7"/>
      <c r="R27" s="7"/>
      <c r="S27" s="7"/>
    </row>
    <row r="28" spans="2:19" x14ac:dyDescent="0.2">
      <c r="B28" s="7"/>
      <c r="C28" s="7"/>
      <c r="D28" s="7"/>
      <c r="E28" s="7"/>
      <c r="F28" s="7"/>
      <c r="G28" s="7"/>
      <c r="H28" s="7"/>
      <c r="I28" s="7"/>
      <c r="J28" s="7"/>
      <c r="K28" s="7"/>
      <c r="L28" s="7"/>
      <c r="M28" s="7"/>
      <c r="N28" s="7"/>
      <c r="O28" s="7"/>
      <c r="P28" s="7"/>
      <c r="Q28" s="7"/>
      <c r="R28" s="7"/>
      <c r="S28" s="7"/>
    </row>
    <row r="29" spans="2:19" x14ac:dyDescent="0.2">
      <c r="B29" s="7" t="s">
        <v>45</v>
      </c>
      <c r="C29" s="131">
        <v>76694</v>
      </c>
      <c r="D29" s="7"/>
      <c r="E29" s="7"/>
      <c r="F29" s="7"/>
      <c r="G29" s="7"/>
      <c r="H29" s="7"/>
      <c r="I29" s="7"/>
      <c r="J29" s="7"/>
      <c r="K29" s="7"/>
      <c r="L29" s="7"/>
      <c r="M29" s="7"/>
      <c r="N29" s="7"/>
      <c r="O29" s="7"/>
      <c r="P29" s="7"/>
      <c r="Q29" s="7"/>
      <c r="R29" s="7"/>
      <c r="S29" s="7"/>
    </row>
    <row r="30" spans="2:19" x14ac:dyDescent="0.2">
      <c r="B30" s="7" t="s">
        <v>46</v>
      </c>
      <c r="C30" s="131">
        <v>11085</v>
      </c>
      <c r="D30" s="7"/>
      <c r="E30" s="7"/>
      <c r="F30" s="7"/>
      <c r="G30" s="7"/>
      <c r="H30" s="7"/>
      <c r="I30" s="7"/>
      <c r="J30" s="7"/>
      <c r="K30" s="7"/>
      <c r="L30" s="7"/>
      <c r="M30" s="7"/>
      <c r="N30" s="7"/>
      <c r="O30" s="7"/>
      <c r="P30" s="7"/>
      <c r="Q30" s="7"/>
      <c r="R30" s="7"/>
      <c r="S30" s="7"/>
    </row>
    <row r="31" spans="2:19" x14ac:dyDescent="0.2">
      <c r="B31" s="7" t="s">
        <v>47</v>
      </c>
      <c r="C31" s="131">
        <v>9295</v>
      </c>
      <c r="D31" s="7"/>
      <c r="E31" s="7"/>
      <c r="F31" s="7"/>
      <c r="G31" s="7"/>
      <c r="H31" s="7"/>
      <c r="I31" s="7"/>
      <c r="J31" s="7"/>
      <c r="K31" s="7"/>
      <c r="L31" s="7"/>
      <c r="M31" s="7"/>
      <c r="N31" s="7"/>
      <c r="O31" s="7"/>
      <c r="P31" s="7"/>
      <c r="Q31" s="7"/>
      <c r="R31" s="7"/>
      <c r="S31" s="7"/>
    </row>
    <row r="32" spans="2:19" x14ac:dyDescent="0.2">
      <c r="B32" s="7"/>
      <c r="C32" s="7"/>
      <c r="D32" s="7"/>
      <c r="E32" s="7"/>
      <c r="F32" s="7"/>
      <c r="G32" s="7"/>
      <c r="H32" s="7"/>
      <c r="I32" s="7"/>
      <c r="J32" s="7"/>
      <c r="K32" s="7"/>
      <c r="L32" s="7"/>
      <c r="M32" s="7"/>
      <c r="N32" s="7"/>
      <c r="O32" s="7"/>
      <c r="P32" s="7"/>
      <c r="Q32" s="7"/>
      <c r="R32" s="7"/>
      <c r="S32" s="7"/>
    </row>
    <row r="33" spans="2:19" x14ac:dyDescent="0.2">
      <c r="B33" s="100" t="s">
        <v>48</v>
      </c>
      <c r="C33" s="217">
        <f>IF(C23="Valuation/Sales",C27*C29,IF(C23="Valuation/EBITDA",C27*C30,IF(C23="Valuation/EBIT",C27*C31)))</f>
        <v>20789.816666666669</v>
      </c>
      <c r="D33" s="7"/>
      <c r="E33" s="7"/>
      <c r="F33" s="7"/>
      <c r="G33" s="7"/>
      <c r="H33" s="7"/>
      <c r="I33" s="7"/>
      <c r="J33" s="7"/>
      <c r="K33" s="7"/>
      <c r="L33" s="7"/>
      <c r="M33" s="7"/>
      <c r="N33" s="7"/>
      <c r="O33" s="7"/>
      <c r="P33" s="7"/>
      <c r="Q33" s="7"/>
      <c r="R33" s="7"/>
      <c r="S33" s="7"/>
    </row>
    <row r="34" spans="2:19" x14ac:dyDescent="0.2">
      <c r="B34" s="7"/>
      <c r="C34" s="7"/>
      <c r="D34" s="7"/>
      <c r="E34" s="7"/>
      <c r="F34" s="7"/>
      <c r="G34" s="7"/>
      <c r="H34" s="7"/>
      <c r="I34" s="7"/>
      <c r="J34" s="7"/>
      <c r="K34" s="7"/>
      <c r="L34" s="7"/>
      <c r="M34" s="7"/>
      <c r="N34" s="7"/>
      <c r="O34" s="7"/>
      <c r="P34" s="7"/>
      <c r="Q34" s="7"/>
      <c r="R34" s="7"/>
      <c r="S34" s="7"/>
    </row>
    <row r="35" spans="2:19" x14ac:dyDescent="0.2">
      <c r="B35" s="75" t="s">
        <v>49</v>
      </c>
      <c r="C35" s="131">
        <v>-13067</v>
      </c>
      <c r="D35" s="7"/>
      <c r="E35" s="7"/>
      <c r="F35" s="7"/>
      <c r="G35" s="7"/>
      <c r="H35" s="7"/>
      <c r="I35" s="7"/>
      <c r="J35" s="7"/>
      <c r="K35" s="7"/>
      <c r="L35" s="7"/>
      <c r="M35" s="7"/>
      <c r="N35" s="7"/>
      <c r="O35" s="7"/>
      <c r="P35" s="7"/>
      <c r="Q35" s="7"/>
      <c r="R35" s="7"/>
      <c r="S35" s="7"/>
    </row>
    <row r="36" spans="2:19" x14ac:dyDescent="0.2">
      <c r="B36" s="75" t="s">
        <v>50</v>
      </c>
      <c r="C36" s="131">
        <v>0</v>
      </c>
      <c r="D36" s="7"/>
      <c r="E36" s="7"/>
      <c r="F36" s="7"/>
      <c r="G36" s="7"/>
      <c r="H36" s="7"/>
      <c r="I36" s="7"/>
      <c r="J36" s="7"/>
      <c r="K36" s="7"/>
      <c r="L36" s="7"/>
      <c r="M36" s="7"/>
      <c r="N36" s="7"/>
      <c r="O36" s="7"/>
      <c r="P36" s="7"/>
      <c r="Q36" s="7"/>
      <c r="R36" s="7"/>
      <c r="S36" s="7"/>
    </row>
    <row r="37" spans="2:19" x14ac:dyDescent="0.2">
      <c r="B37" s="75" t="s">
        <v>51</v>
      </c>
      <c r="C37" s="131">
        <v>5</v>
      </c>
      <c r="D37" s="1"/>
      <c r="E37" s="1"/>
      <c r="F37" s="1"/>
      <c r="G37" s="1"/>
      <c r="H37" s="1"/>
      <c r="I37" s="1"/>
      <c r="J37" s="1"/>
      <c r="K37" s="1"/>
      <c r="L37" s="1"/>
      <c r="M37" s="1"/>
      <c r="N37" s="1"/>
      <c r="O37" s="1"/>
      <c r="P37" s="1"/>
      <c r="Q37" s="1"/>
      <c r="R37" s="1"/>
      <c r="S37" s="1"/>
    </row>
    <row r="38" spans="2:19" x14ac:dyDescent="0.2">
      <c r="B38" s="75"/>
      <c r="C38" s="7"/>
      <c r="D38" s="1"/>
      <c r="E38" s="1"/>
      <c r="F38" s="1"/>
      <c r="G38" s="1"/>
      <c r="H38" s="1"/>
      <c r="I38" s="1"/>
      <c r="J38" s="1"/>
      <c r="K38" s="1"/>
      <c r="L38" s="1"/>
      <c r="M38" s="1"/>
      <c r="N38" s="1"/>
      <c r="O38" s="1"/>
      <c r="P38" s="1"/>
      <c r="Q38" s="1"/>
      <c r="R38" s="1"/>
      <c r="S38" s="1"/>
    </row>
    <row r="39" spans="2:19" x14ac:dyDescent="0.2">
      <c r="B39" s="75"/>
      <c r="C39" s="7"/>
      <c r="D39" s="1"/>
      <c r="E39" s="1"/>
      <c r="F39" s="1"/>
      <c r="G39" s="1"/>
      <c r="H39" s="1"/>
      <c r="I39" s="1"/>
      <c r="J39" s="1"/>
      <c r="K39" s="1"/>
      <c r="L39" s="1"/>
      <c r="M39" s="1"/>
      <c r="N39" s="1"/>
      <c r="O39" s="1"/>
      <c r="P39" s="1"/>
      <c r="Q39" s="1"/>
      <c r="R39" s="1"/>
      <c r="S39" s="1"/>
    </row>
    <row r="40" spans="2:19" x14ac:dyDescent="0.2">
      <c r="B40" s="73" t="s">
        <v>52</v>
      </c>
      <c r="C40" s="218">
        <f>C33-C35-C36+C37</f>
        <v>33861.816666666666</v>
      </c>
      <c r="D40" s="1"/>
      <c r="E40" s="1"/>
      <c r="F40" s="1"/>
      <c r="G40" s="1"/>
      <c r="H40" s="1"/>
      <c r="I40" s="1"/>
      <c r="J40" s="1"/>
      <c r="K40" s="1"/>
      <c r="L40" s="1"/>
      <c r="M40" s="1"/>
      <c r="N40" s="1"/>
      <c r="O40" s="1"/>
      <c r="P40" s="1"/>
      <c r="Q40" s="1"/>
      <c r="R40" s="1"/>
      <c r="S40" s="1"/>
    </row>
    <row r="41" spans="2:19" x14ac:dyDescent="0.2">
      <c r="B41" s="7"/>
      <c r="C41" s="7"/>
      <c r="D41" s="1"/>
      <c r="E41" s="1"/>
      <c r="F41" s="1"/>
      <c r="G41" s="1"/>
      <c r="H41" s="1"/>
      <c r="I41" s="1"/>
      <c r="J41" s="1"/>
      <c r="K41" s="1"/>
      <c r="L41" s="1"/>
      <c r="M41" s="1"/>
      <c r="N41" s="1"/>
      <c r="O41" s="1"/>
      <c r="P41" s="1"/>
      <c r="Q41" s="1"/>
      <c r="R41" s="1"/>
      <c r="S41" s="1"/>
    </row>
    <row r="42" spans="2:19" x14ac:dyDescent="0.2">
      <c r="B42" s="100" t="s">
        <v>53</v>
      </c>
      <c r="C42" s="73">
        <v>399.86</v>
      </c>
      <c r="D42" s="1"/>
      <c r="E42" s="1"/>
      <c r="F42" s="1"/>
      <c r="G42" s="1"/>
      <c r="H42" s="1"/>
      <c r="I42" s="1"/>
      <c r="J42" s="1"/>
      <c r="K42" s="1"/>
      <c r="L42" s="1"/>
      <c r="M42" s="1"/>
      <c r="N42" s="1"/>
      <c r="O42" s="1"/>
      <c r="P42" s="1"/>
      <c r="Q42" s="1"/>
      <c r="R42" s="1"/>
      <c r="S42" s="1"/>
    </row>
    <row r="43" spans="2:19" x14ac:dyDescent="0.2">
      <c r="B43" s="7"/>
      <c r="C43" s="7"/>
      <c r="D43" s="1"/>
      <c r="E43" s="1"/>
      <c r="F43" s="1"/>
      <c r="G43" s="1"/>
      <c r="H43" s="1"/>
      <c r="I43" s="1"/>
      <c r="J43" s="1"/>
      <c r="K43" s="1"/>
      <c r="L43" s="1"/>
      <c r="M43" s="1"/>
      <c r="N43" s="1"/>
      <c r="O43" s="1"/>
      <c r="P43" s="1"/>
      <c r="Q43" s="1"/>
      <c r="R43" s="1"/>
      <c r="S43" s="1"/>
    </row>
    <row r="44" spans="2:19" x14ac:dyDescent="0.2">
      <c r="B44" s="106" t="s">
        <v>54</v>
      </c>
      <c r="C44" s="106">
        <f>C40/C42</f>
        <v>84.684181130062186</v>
      </c>
      <c r="D44" s="1"/>
      <c r="E44" s="1"/>
      <c r="F44" s="1"/>
      <c r="G44" s="1"/>
      <c r="H44" s="1"/>
      <c r="I44" s="1"/>
      <c r="J44" s="1"/>
      <c r="K44" s="1"/>
      <c r="L44" s="1"/>
      <c r="M44" s="1"/>
      <c r="N44" s="1"/>
      <c r="O44" s="1"/>
      <c r="P44" s="1"/>
      <c r="Q44" s="1"/>
      <c r="R44" s="1"/>
      <c r="S44" s="1"/>
    </row>
  </sheetData>
  <dataValidations count="3">
    <dataValidation type="list" allowBlank="1" showInputMessage="1" showErrorMessage="1" sqref="C20 C25" xr:uid="{7C9BA720-58B8-4002-A33A-99BE4F29AE6C}">
      <formula1>$U$4:$U$5</formula1>
    </dataValidation>
    <dataValidation type="list" allowBlank="1" showInputMessage="1" showErrorMessage="1" sqref="C23" xr:uid="{E78E4050-09A1-4E97-A232-7B35375ACE11}">
      <formula1>$H$5:$J$5</formula1>
    </dataValidation>
    <dataValidation type="list" allowBlank="1" showInputMessage="1" showErrorMessage="1" sqref="L6:L17" xr:uid="{58F163B4-F6C2-439D-A7D0-8D7882424F63}">
      <formula1>$T$4:$T$5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01819-54C6-4656-9ADC-08032527CD41}">
  <sheetPr codeName="Sheet15"/>
  <dimension ref="B1:X9"/>
  <sheetViews>
    <sheetView showGridLines="0" zoomScale="186" workbookViewId="0">
      <selection activeCell="B21" sqref="B21"/>
    </sheetView>
  </sheetViews>
  <sheetFormatPr baseColWidth="10" defaultColWidth="9.1640625" defaultRowHeight="16" x14ac:dyDescent="0.2"/>
  <cols>
    <col min="1" max="1" width="2.1640625" style="1" customWidth="1"/>
    <col min="2" max="2" width="136.5" style="1" customWidth="1"/>
    <col min="3" max="16384" width="9.1640625" style="1"/>
  </cols>
  <sheetData>
    <row r="1" spans="2:24" ht="10.25" customHeight="1" x14ac:dyDescent="0.2"/>
    <row r="2" spans="2:24" x14ac:dyDescent="0.2">
      <c r="B2" s="4" t="s">
        <v>55</v>
      </c>
      <c r="C2" s="2"/>
      <c r="D2" s="2"/>
      <c r="E2" s="2"/>
      <c r="F2" s="2"/>
      <c r="G2" s="2"/>
      <c r="H2" s="2"/>
      <c r="I2" s="2"/>
      <c r="J2" s="2"/>
      <c r="K2" s="2"/>
      <c r="L2" s="2"/>
      <c r="M2" s="2"/>
      <c r="N2" s="2"/>
      <c r="O2" s="2"/>
      <c r="P2" s="2"/>
      <c r="Q2" s="2"/>
      <c r="R2" s="2"/>
      <c r="S2" s="2"/>
      <c r="T2" s="2"/>
      <c r="U2" s="2"/>
      <c r="V2" s="2"/>
      <c r="W2" s="2"/>
      <c r="X2" s="2"/>
    </row>
    <row r="4" spans="2:24" ht="96" x14ac:dyDescent="0.2">
      <c r="B4" s="214" t="s">
        <v>56</v>
      </c>
    </row>
    <row r="7" spans="2:24" x14ac:dyDescent="0.2">
      <c r="B7" s="253"/>
      <c r="C7" s="148"/>
      <c r="D7" s="148"/>
    </row>
    <row r="8" spans="2:24" x14ac:dyDescent="0.2">
      <c r="B8" s="253"/>
      <c r="C8" s="151"/>
      <c r="D8" s="148"/>
    </row>
    <row r="9" spans="2:24" x14ac:dyDescent="0.2">
      <c r="B9" s="253"/>
      <c r="C9" s="151"/>
      <c r="D9" s="14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F0849-5353-4A5C-9003-A4D595F29754}">
  <sheetPr codeName="Sheet3"/>
  <dimension ref="B2:V49"/>
  <sheetViews>
    <sheetView showGridLines="0" zoomScale="94" zoomScaleNormal="106" workbookViewId="0">
      <selection activeCell="C12" sqref="C12"/>
    </sheetView>
  </sheetViews>
  <sheetFormatPr baseColWidth="10" defaultColWidth="9.1640625" defaultRowHeight="16" x14ac:dyDescent="0.2"/>
  <cols>
    <col min="1" max="1" width="9.1640625" style="1"/>
    <col min="2" max="2" width="48" style="1" customWidth="1"/>
    <col min="3" max="3" width="26.5" style="1" customWidth="1"/>
    <col min="4" max="4" width="32.1640625" style="1" customWidth="1"/>
    <col min="5" max="5" width="27.6640625" style="1" customWidth="1"/>
    <col min="6" max="6" width="29.83203125" style="1" customWidth="1"/>
    <col min="7" max="7" width="32.5" style="1" customWidth="1"/>
    <col min="8" max="8" width="11.5" style="1" customWidth="1"/>
    <col min="9" max="9" width="34" style="1" customWidth="1"/>
    <col min="10" max="10" width="16.1640625" style="1" customWidth="1"/>
    <col min="11" max="11" width="20.5" style="1" customWidth="1"/>
    <col min="12" max="12" width="15.5" style="1" customWidth="1"/>
    <col min="13" max="13" width="3.83203125" style="1" customWidth="1"/>
    <col min="14" max="14" width="4.5" style="1" customWidth="1"/>
    <col min="15" max="15" width="16.5" style="1" customWidth="1"/>
    <col min="16" max="17" width="17.5" style="1" customWidth="1"/>
    <col min="18" max="16384" width="9.1640625" style="1"/>
  </cols>
  <sheetData>
    <row r="2" spans="2:22" x14ac:dyDescent="0.2">
      <c r="B2" s="4" t="s">
        <v>57</v>
      </c>
      <c r="C2" s="4"/>
      <c r="D2" s="4"/>
      <c r="E2" s="4"/>
      <c r="F2" s="2"/>
      <c r="G2" s="2"/>
      <c r="H2" s="2"/>
      <c r="I2" s="2"/>
      <c r="J2" s="2"/>
      <c r="K2" s="2"/>
      <c r="L2" s="2"/>
      <c r="M2" s="69"/>
      <c r="N2" s="69"/>
      <c r="O2" s="69"/>
      <c r="P2" s="69"/>
      <c r="Q2" s="69"/>
    </row>
    <row r="4" spans="2:22" x14ac:dyDescent="0.2">
      <c r="B4" s="2"/>
      <c r="C4" s="71" t="s">
        <v>3</v>
      </c>
      <c r="D4" s="2"/>
      <c r="E4" s="258" t="s">
        <v>1</v>
      </c>
      <c r="F4" s="279"/>
      <c r="G4" s="279"/>
      <c r="H4" s="2"/>
      <c r="I4" s="2"/>
      <c r="J4" s="3"/>
      <c r="K4" s="5" t="s">
        <v>2</v>
      </c>
      <c r="L4" s="3"/>
      <c r="M4" s="69"/>
      <c r="N4" s="69"/>
      <c r="O4" s="3"/>
      <c r="P4" s="5" t="s">
        <v>4</v>
      </c>
      <c r="Q4" s="3"/>
      <c r="U4" s="1" t="s">
        <v>5</v>
      </c>
      <c r="V4" s="1" t="s">
        <v>6</v>
      </c>
    </row>
    <row r="5" spans="2:22" x14ac:dyDescent="0.2">
      <c r="B5" s="9" t="s">
        <v>7</v>
      </c>
      <c r="C5" s="9"/>
      <c r="D5" s="9" t="s">
        <v>8</v>
      </c>
      <c r="E5" s="9" t="s">
        <v>9</v>
      </c>
      <c r="F5" s="279" t="s">
        <v>10</v>
      </c>
      <c r="G5" s="279"/>
      <c r="H5" s="9"/>
      <c r="I5" s="9" t="s">
        <v>11</v>
      </c>
      <c r="J5" s="9" t="s">
        <v>12</v>
      </c>
      <c r="K5" s="9" t="s">
        <v>13</v>
      </c>
      <c r="L5" s="9" t="s">
        <v>14</v>
      </c>
      <c r="M5" s="69"/>
      <c r="N5" s="69"/>
      <c r="O5" s="9" t="s">
        <v>12</v>
      </c>
      <c r="P5" s="9" t="s">
        <v>13</v>
      </c>
      <c r="Q5" s="9" t="s">
        <v>14</v>
      </c>
      <c r="U5" s="1" t="s">
        <v>15</v>
      </c>
      <c r="V5" s="1" t="s">
        <v>16</v>
      </c>
    </row>
    <row r="6" spans="2:22" x14ac:dyDescent="0.2">
      <c r="B6" s="6">
        <f>DATE(2022,8,15)</f>
        <v>44788</v>
      </c>
      <c r="C6" s="7" t="s">
        <v>5</v>
      </c>
      <c r="D6" s="7" t="s">
        <v>20</v>
      </c>
      <c r="E6" s="8">
        <v>257.79000000000002</v>
      </c>
      <c r="F6" s="1" t="s">
        <v>21</v>
      </c>
      <c r="H6" s="7"/>
      <c r="I6" s="7" t="s">
        <v>19</v>
      </c>
      <c r="J6" s="98">
        <v>0.11</v>
      </c>
      <c r="K6" s="98">
        <v>2.2200000000000002</v>
      </c>
      <c r="L6" s="98">
        <v>-5.0599999999999996</v>
      </c>
      <c r="M6" s="7"/>
      <c r="N6" s="7"/>
      <c r="O6" s="98">
        <f t="shared" ref="O6:O16" si="0">IF($C6="Yes",J6,"")</f>
        <v>0.11</v>
      </c>
      <c r="P6" s="98">
        <f t="shared" ref="P6:P16" si="1">IF($C6="Yes",K6,"")</f>
        <v>2.2200000000000002</v>
      </c>
      <c r="Q6" s="98">
        <f t="shared" ref="Q6:Q16" si="2">IF($C6="Yes",L6,"")</f>
        <v>-5.0599999999999996</v>
      </c>
      <c r="R6" s="7"/>
      <c r="S6" s="7"/>
      <c r="T6" s="7"/>
    </row>
    <row r="7" spans="2:22" x14ac:dyDescent="0.2">
      <c r="B7" s="6">
        <f>DATE(2018,12,6)</f>
        <v>43440</v>
      </c>
      <c r="C7" s="7" t="s">
        <v>15</v>
      </c>
      <c r="D7" s="7" t="s">
        <v>22</v>
      </c>
      <c r="E7" s="8">
        <v>920.03</v>
      </c>
      <c r="F7" s="278" t="s">
        <v>23</v>
      </c>
      <c r="G7" s="278"/>
      <c r="H7" s="7"/>
      <c r="I7" s="7" t="s">
        <v>24</v>
      </c>
      <c r="J7" s="98">
        <v>0.28999999999999998</v>
      </c>
      <c r="K7" s="98">
        <v>7.22</v>
      </c>
      <c r="L7" s="98">
        <v>-11.92</v>
      </c>
      <c r="M7" s="7"/>
      <c r="N7" s="7"/>
      <c r="O7" s="98" t="str">
        <f t="shared" si="0"/>
        <v/>
      </c>
      <c r="P7" s="98" t="str">
        <f t="shared" si="1"/>
        <v/>
      </c>
      <c r="Q7" s="98" t="str">
        <f t="shared" si="2"/>
        <v/>
      </c>
      <c r="R7" s="7"/>
      <c r="S7" s="7"/>
      <c r="T7" s="7"/>
    </row>
    <row r="8" spans="2:22" x14ac:dyDescent="0.2">
      <c r="B8" s="6">
        <f>DATE(2018,9,18)</f>
        <v>43361</v>
      </c>
      <c r="C8" s="7" t="s">
        <v>15</v>
      </c>
      <c r="D8" s="7" t="s">
        <v>25</v>
      </c>
      <c r="E8" s="8">
        <v>1760</v>
      </c>
      <c r="F8" s="278" t="s">
        <v>26</v>
      </c>
      <c r="G8" s="278"/>
      <c r="H8" s="7"/>
      <c r="I8" s="7" t="s">
        <v>19</v>
      </c>
      <c r="J8" s="98">
        <v>0.59</v>
      </c>
      <c r="K8" s="98">
        <v>5.91</v>
      </c>
      <c r="L8" s="98"/>
      <c r="M8" s="7"/>
      <c r="N8" s="7"/>
      <c r="O8" s="98" t="str">
        <f t="shared" si="0"/>
        <v/>
      </c>
      <c r="P8" s="98" t="str">
        <f t="shared" si="1"/>
        <v/>
      </c>
      <c r="Q8" s="98" t="str">
        <f t="shared" si="2"/>
        <v/>
      </c>
      <c r="R8" s="7"/>
      <c r="S8" s="7"/>
      <c r="T8" s="7"/>
    </row>
    <row r="9" spans="2:22" x14ac:dyDescent="0.2">
      <c r="B9" s="6">
        <f>DATE(2021,7,28)</f>
        <v>44405</v>
      </c>
      <c r="C9" s="7" t="s">
        <v>15</v>
      </c>
      <c r="D9" s="7" t="s">
        <v>27</v>
      </c>
      <c r="E9" s="8">
        <v>2630</v>
      </c>
      <c r="F9" s="278" t="s">
        <v>28</v>
      </c>
      <c r="G9" s="278"/>
      <c r="H9" s="7"/>
      <c r="I9" s="7" t="s">
        <v>19</v>
      </c>
      <c r="J9" s="98">
        <v>0.91</v>
      </c>
      <c r="K9" s="98">
        <v>5.83</v>
      </c>
      <c r="L9" s="98">
        <v>9.44</v>
      </c>
      <c r="M9" s="7"/>
      <c r="N9" s="7"/>
      <c r="O9" s="98" t="str">
        <f t="shared" si="0"/>
        <v/>
      </c>
      <c r="P9" s="98" t="str">
        <f t="shared" si="1"/>
        <v/>
      </c>
      <c r="Q9" s="98" t="str">
        <f t="shared" si="2"/>
        <v/>
      </c>
      <c r="R9" s="7"/>
      <c r="S9" s="7"/>
      <c r="T9" s="7"/>
    </row>
    <row r="10" spans="2:22" x14ac:dyDescent="0.2">
      <c r="B10" s="6">
        <f>DATE(2020,12,11)</f>
        <v>44176</v>
      </c>
      <c r="C10" s="7" t="s">
        <v>15</v>
      </c>
      <c r="D10" s="7" t="s">
        <v>29</v>
      </c>
      <c r="E10" s="8">
        <v>4520</v>
      </c>
      <c r="F10" s="278" t="s">
        <v>30</v>
      </c>
      <c r="G10" s="278"/>
      <c r="H10" s="7"/>
      <c r="I10" s="7" t="s">
        <v>19</v>
      </c>
      <c r="J10" s="98">
        <v>138.09</v>
      </c>
      <c r="K10" s="98">
        <v>2720.6</v>
      </c>
      <c r="L10" s="98">
        <v>2804.67</v>
      </c>
      <c r="M10" s="7"/>
      <c r="N10" s="7"/>
      <c r="O10" s="98" t="str">
        <f t="shared" si="0"/>
        <v/>
      </c>
      <c r="P10" s="98" t="str">
        <f t="shared" si="1"/>
        <v/>
      </c>
      <c r="Q10" s="98" t="str">
        <f t="shared" si="2"/>
        <v/>
      </c>
      <c r="R10" s="7"/>
      <c r="S10" s="7"/>
      <c r="T10" s="7"/>
    </row>
    <row r="11" spans="2:22" x14ac:dyDescent="0.2">
      <c r="B11" s="6">
        <f>DATE(2015,4,7)</f>
        <v>42101</v>
      </c>
      <c r="C11" s="7" t="s">
        <v>15</v>
      </c>
      <c r="D11" s="7" t="s">
        <v>31</v>
      </c>
      <c r="E11" s="8">
        <v>2700</v>
      </c>
      <c r="F11" s="278" t="s">
        <v>32</v>
      </c>
      <c r="G11" s="278"/>
      <c r="H11" s="7"/>
      <c r="I11" s="7" t="s">
        <v>33</v>
      </c>
      <c r="J11" s="98">
        <v>0.38</v>
      </c>
      <c r="K11" s="98">
        <v>10.34</v>
      </c>
      <c r="L11" s="98">
        <v>10.34</v>
      </c>
      <c r="M11" s="7"/>
      <c r="N11" s="7"/>
      <c r="O11" s="98" t="str">
        <f t="shared" si="0"/>
        <v/>
      </c>
      <c r="P11" s="98" t="str">
        <f t="shared" si="1"/>
        <v/>
      </c>
      <c r="Q11" s="98" t="str">
        <f t="shared" si="2"/>
        <v/>
      </c>
      <c r="R11" s="7"/>
      <c r="S11" s="7"/>
      <c r="T11" s="7"/>
    </row>
    <row r="12" spans="2:22" x14ac:dyDescent="0.2">
      <c r="B12" s="6">
        <f>DATE(2017,11,2)</f>
        <v>43041</v>
      </c>
      <c r="C12" s="7" t="s">
        <v>5</v>
      </c>
      <c r="D12" s="7" t="s">
        <v>34</v>
      </c>
      <c r="E12" s="8">
        <v>1420</v>
      </c>
      <c r="F12" s="278" t="s">
        <v>35</v>
      </c>
      <c r="G12" s="278"/>
      <c r="H12" s="7"/>
      <c r="I12" s="7" t="s">
        <v>33</v>
      </c>
      <c r="J12" s="98">
        <v>0.45</v>
      </c>
      <c r="K12" s="98">
        <v>2.76</v>
      </c>
      <c r="L12" s="98">
        <v>4.03</v>
      </c>
      <c r="M12" s="7"/>
      <c r="N12" s="7"/>
      <c r="O12" s="98">
        <f t="shared" si="0"/>
        <v>0.45</v>
      </c>
      <c r="P12" s="98">
        <f t="shared" si="1"/>
        <v>2.76</v>
      </c>
      <c r="Q12" s="98">
        <f t="shared" si="2"/>
        <v>4.03</v>
      </c>
      <c r="R12" s="7"/>
      <c r="S12" s="7"/>
      <c r="T12" s="7"/>
    </row>
    <row r="13" spans="2:22" x14ac:dyDescent="0.2">
      <c r="B13" s="6">
        <f>DATE(2019,8,28)</f>
        <v>43705</v>
      </c>
      <c r="C13" s="7" t="s">
        <v>15</v>
      </c>
      <c r="D13" s="7" t="s">
        <v>36</v>
      </c>
      <c r="E13" s="8">
        <v>902.48</v>
      </c>
      <c r="F13" s="278" t="s">
        <v>37</v>
      </c>
      <c r="G13" s="278"/>
      <c r="H13" s="7"/>
      <c r="I13" s="7" t="s">
        <v>33</v>
      </c>
      <c r="J13" s="98">
        <v>0.54</v>
      </c>
      <c r="K13" s="98">
        <v>5.84</v>
      </c>
      <c r="L13" s="98">
        <v>10.56</v>
      </c>
      <c r="M13" s="7"/>
      <c r="N13" s="7"/>
      <c r="O13" s="98" t="str">
        <f t="shared" si="0"/>
        <v/>
      </c>
      <c r="P13" s="98" t="str">
        <f t="shared" si="1"/>
        <v/>
      </c>
      <c r="Q13" s="98" t="str">
        <f t="shared" si="2"/>
        <v/>
      </c>
      <c r="R13" s="7"/>
      <c r="S13" s="7"/>
      <c r="T13" s="7"/>
    </row>
    <row r="14" spans="2:22" x14ac:dyDescent="0.2">
      <c r="B14" s="6">
        <f>DATE(2018,10,8)</f>
        <v>43381</v>
      </c>
      <c r="C14" s="7" t="s">
        <v>15</v>
      </c>
      <c r="D14" s="7" t="s">
        <v>38</v>
      </c>
      <c r="E14" s="8">
        <v>309.33</v>
      </c>
      <c r="F14" s="278" t="s">
        <v>37</v>
      </c>
      <c r="G14" s="278"/>
      <c r="H14" s="7" t="s">
        <v>39</v>
      </c>
      <c r="I14" s="7" t="s">
        <v>33</v>
      </c>
      <c r="J14" s="98">
        <v>1</v>
      </c>
      <c r="K14" s="98">
        <v>6.52</v>
      </c>
      <c r="L14" s="98">
        <v>8.6199999999999992</v>
      </c>
      <c r="M14" s="7"/>
      <c r="N14" s="7"/>
      <c r="O14" s="98" t="str">
        <f t="shared" si="0"/>
        <v/>
      </c>
      <c r="P14" s="98" t="str">
        <f t="shared" si="1"/>
        <v/>
      </c>
      <c r="Q14" s="98" t="str">
        <f t="shared" si="2"/>
        <v/>
      </c>
      <c r="R14" s="7"/>
      <c r="S14" s="7"/>
      <c r="T14" s="7"/>
    </row>
    <row r="15" spans="2:22" x14ac:dyDescent="0.2">
      <c r="B15" s="6">
        <f>DATE(2016,12,12)</f>
        <v>42716</v>
      </c>
      <c r="C15" s="7" t="s">
        <v>15</v>
      </c>
      <c r="D15" s="7" t="s">
        <v>40</v>
      </c>
      <c r="E15" s="8">
        <v>357.08</v>
      </c>
      <c r="F15" s="278" t="s">
        <v>41</v>
      </c>
      <c r="G15" s="278"/>
      <c r="H15" s="7"/>
      <c r="I15" s="7" t="s">
        <v>33</v>
      </c>
      <c r="J15" s="98">
        <v>0.52</v>
      </c>
      <c r="K15" s="98">
        <v>4.41</v>
      </c>
      <c r="L15" s="98">
        <v>10.54</v>
      </c>
      <c r="M15" s="7"/>
      <c r="N15" s="7"/>
      <c r="O15" s="98" t="str">
        <f t="shared" si="0"/>
        <v/>
      </c>
      <c r="P15" s="98" t="str">
        <f t="shared" si="1"/>
        <v/>
      </c>
      <c r="Q15" s="98" t="str">
        <f t="shared" si="2"/>
        <v/>
      </c>
      <c r="R15" s="7"/>
      <c r="S15" s="7"/>
      <c r="T15" s="7"/>
    </row>
    <row r="16" spans="2:22" x14ac:dyDescent="0.2">
      <c r="B16" s="6">
        <f>DATE(2021,5,4)</f>
        <v>44320</v>
      </c>
      <c r="C16" s="7" t="s">
        <v>15</v>
      </c>
      <c r="D16" s="7" t="s">
        <v>42</v>
      </c>
      <c r="E16" s="8">
        <v>1380</v>
      </c>
      <c r="F16" s="278" t="s">
        <v>37</v>
      </c>
      <c r="G16" s="278"/>
      <c r="H16" s="7"/>
      <c r="I16" s="7" t="s">
        <v>33</v>
      </c>
      <c r="J16" s="98">
        <v>0.57999999999999996</v>
      </c>
      <c r="K16" s="98">
        <v>4.0999999999999996</v>
      </c>
      <c r="L16" s="98">
        <v>7.74</v>
      </c>
      <c r="M16" s="7"/>
      <c r="N16" s="7"/>
      <c r="O16" s="98" t="str">
        <f t="shared" si="0"/>
        <v/>
      </c>
      <c r="P16" s="98" t="str">
        <f t="shared" si="1"/>
        <v/>
      </c>
      <c r="Q16" s="98" t="str">
        <f t="shared" si="2"/>
        <v/>
      </c>
      <c r="R16" s="7"/>
      <c r="S16" s="7"/>
      <c r="T16" s="7"/>
    </row>
    <row r="17" spans="2:20" x14ac:dyDescent="0.2">
      <c r="B17" s="7"/>
      <c r="C17" s="7"/>
      <c r="D17" s="7"/>
      <c r="E17" s="7"/>
      <c r="F17" s="7"/>
      <c r="G17" s="7"/>
      <c r="H17" s="7"/>
      <c r="I17" s="7"/>
      <c r="J17" s="7"/>
      <c r="K17" s="7"/>
      <c r="L17" s="7"/>
      <c r="M17" s="7"/>
      <c r="N17" s="7"/>
      <c r="O17" s="7"/>
      <c r="P17" s="7"/>
      <c r="Q17" s="7"/>
      <c r="R17" s="7"/>
      <c r="S17" s="7"/>
      <c r="T17" s="7"/>
    </row>
    <row r="18" spans="2:20" x14ac:dyDescent="0.2">
      <c r="B18" s="105" t="s">
        <v>16</v>
      </c>
      <c r="C18" s="141"/>
      <c r="D18" s="105"/>
      <c r="E18" s="105"/>
      <c r="F18" s="105"/>
      <c r="G18" s="105"/>
      <c r="H18" s="105"/>
      <c r="I18" s="105"/>
      <c r="J18" s="141">
        <f>MEDIAN(J6:J16)</f>
        <v>0.54</v>
      </c>
      <c r="K18" s="141">
        <f>MEDIAN(K6:K16)</f>
        <v>5.84</v>
      </c>
      <c r="L18" s="141">
        <f>MEDIAN(L6:L16)</f>
        <v>9.0299999999999994</v>
      </c>
      <c r="M18" s="141"/>
      <c r="N18" s="141"/>
      <c r="O18" s="141">
        <f>MEDIAN(O6:O16)</f>
        <v>0.28000000000000003</v>
      </c>
      <c r="P18" s="141">
        <f>MEDIAN(P6:P16)</f>
        <v>2.4900000000000002</v>
      </c>
      <c r="Q18" s="141">
        <f>MEDIAN(Q6:Q16)</f>
        <v>-0.51499999999999968</v>
      </c>
      <c r="R18" s="7"/>
      <c r="S18" s="7"/>
      <c r="T18" s="7"/>
    </row>
    <row r="19" spans="2:20" x14ac:dyDescent="0.2">
      <c r="B19" s="105" t="s">
        <v>6</v>
      </c>
      <c r="C19" s="141"/>
      <c r="D19" s="105"/>
      <c r="E19" s="105"/>
      <c r="F19" s="105"/>
      <c r="G19" s="105"/>
      <c r="H19" s="105"/>
      <c r="I19" s="105"/>
      <c r="J19" s="141">
        <f>AVERAGE(J6:J16)</f>
        <v>13.041818181818183</v>
      </c>
      <c r="K19" s="141">
        <f>AVERAGE(K6:K16)</f>
        <v>252.34090909090909</v>
      </c>
      <c r="L19" s="141">
        <f>AVERAGE(L6:L16)</f>
        <v>284.89600000000002</v>
      </c>
      <c r="M19" s="141"/>
      <c r="N19" s="141"/>
      <c r="O19" s="141">
        <f>AVERAGE(O6:O16)</f>
        <v>0.28000000000000003</v>
      </c>
      <c r="P19" s="141">
        <f>AVERAGE(P6:P16)</f>
        <v>2.4900000000000002</v>
      </c>
      <c r="Q19" s="141">
        <f>AVERAGE(Q6:Q16)</f>
        <v>-0.51499999999999968</v>
      </c>
      <c r="R19" s="7"/>
      <c r="S19" s="7"/>
      <c r="T19" s="7"/>
    </row>
    <row r="20" spans="2:20" x14ac:dyDescent="0.2">
      <c r="B20" s="263" t="s">
        <v>58</v>
      </c>
      <c r="C20" s="263"/>
      <c r="D20" s="263"/>
      <c r="E20" s="263"/>
      <c r="F20" s="263"/>
      <c r="G20" s="263"/>
      <c r="H20" s="263"/>
      <c r="I20" s="263"/>
      <c r="J20" s="263"/>
      <c r="K20" s="263"/>
      <c r="L20" s="263"/>
      <c r="M20" s="263"/>
      <c r="N20" s="263"/>
      <c r="O20" s="264">
        <f>QUARTILE(O6:O17,1)</f>
        <v>0.19500000000000001</v>
      </c>
      <c r="P20" s="264">
        <f>QUARTILE(P6:P17,1)</f>
        <v>2.355</v>
      </c>
      <c r="Q20" s="264">
        <f>QUARTILE(Q6:Q17,1)</f>
        <v>-2.7874999999999996</v>
      </c>
      <c r="R20" s="7"/>
      <c r="S20" s="7"/>
      <c r="T20" s="7"/>
    </row>
    <row r="21" spans="2:20" x14ac:dyDescent="0.2">
      <c r="B21" s="263" t="s">
        <v>59</v>
      </c>
      <c r="C21" s="263"/>
      <c r="D21" s="263"/>
      <c r="E21" s="263"/>
      <c r="F21" s="263"/>
      <c r="G21" s="263"/>
      <c r="H21" s="263"/>
      <c r="I21" s="263"/>
      <c r="J21" s="263"/>
      <c r="K21" s="263"/>
      <c r="L21" s="263"/>
      <c r="M21" s="263"/>
      <c r="N21" s="263"/>
      <c r="O21" s="264">
        <f>QUARTILE(O6:O17,3)</f>
        <v>0.36499999999999999</v>
      </c>
      <c r="P21" s="264">
        <f>QUARTILE(P6:P17,3)</f>
        <v>2.625</v>
      </c>
      <c r="Q21" s="264">
        <f>QUARTILE(Q6:Q17,3)</f>
        <v>1.7575000000000003</v>
      </c>
      <c r="R21" s="7"/>
      <c r="S21" s="7"/>
      <c r="T21" s="7"/>
    </row>
    <row r="22" spans="2:20" x14ac:dyDescent="0.2">
      <c r="B22" s="105" t="s">
        <v>43</v>
      </c>
      <c r="C22" s="73" t="s">
        <v>14</v>
      </c>
      <c r="D22" s="73" t="s">
        <v>13</v>
      </c>
      <c r="E22" s="73" t="s">
        <v>12</v>
      </c>
      <c r="G22" s="7" t="str">
        <f>IF(C22=0,"",C22)</f>
        <v>Valuation/EBIT</v>
      </c>
      <c r="H22" s="7" t="str">
        <f t="shared" ref="H22:I22" si="3">IF(D22=0,"",D22)</f>
        <v>Valuation/EBITDA</v>
      </c>
      <c r="I22" s="7" t="str">
        <f t="shared" si="3"/>
        <v>Valuation/Sales</v>
      </c>
      <c r="J22" s="7"/>
      <c r="K22" s="7"/>
      <c r="L22" s="7"/>
      <c r="M22" s="7"/>
      <c r="N22" s="7"/>
      <c r="O22" s="7"/>
      <c r="P22" s="7"/>
      <c r="Q22" s="7"/>
      <c r="R22" s="7"/>
      <c r="S22" s="7"/>
      <c r="T22" s="7"/>
    </row>
    <row r="23" spans="2:20" x14ac:dyDescent="0.2">
      <c r="B23" s="7"/>
      <c r="C23" s="7"/>
      <c r="D23" s="7"/>
      <c r="E23" s="7"/>
      <c r="G23" s="171">
        <f>IFERROR(MIN(G26,G28),"")</f>
        <v>-32.105768268894103</v>
      </c>
      <c r="H23" s="171">
        <f>IFERROR(MIN(H26,H28),"")</f>
        <v>97.97722953033562</v>
      </c>
      <c r="I23" s="171">
        <f>IFERROR(MIN(I26,I28),"")</f>
        <v>70.092857500125049</v>
      </c>
      <c r="J23" s="7"/>
      <c r="K23" s="7"/>
      <c r="L23" s="7"/>
      <c r="M23" s="7"/>
      <c r="N23" s="7"/>
      <c r="O23" s="7"/>
      <c r="P23" s="7"/>
      <c r="Q23" s="7"/>
      <c r="R23" s="7"/>
      <c r="S23" s="7"/>
      <c r="T23" s="7"/>
    </row>
    <row r="24" spans="2:20" x14ac:dyDescent="0.2">
      <c r="B24" s="105" t="s">
        <v>44</v>
      </c>
      <c r="C24" s="73" t="s">
        <v>6</v>
      </c>
      <c r="D24" s="73" t="s">
        <v>6</v>
      </c>
      <c r="E24" s="73" t="s">
        <v>6</v>
      </c>
      <c r="G24" s="171">
        <f>IFERROR(ABS(G26-G28),"")</f>
        <v>105.65141549542338</v>
      </c>
      <c r="H24" s="171">
        <f>IFERROR(ABS(H26-H28),"")</f>
        <v>7.4849947481618528</v>
      </c>
      <c r="I24" s="171">
        <f>IFERROR(ABS(I26-I28),"")</f>
        <v>32.606362226779353</v>
      </c>
      <c r="J24" s="7"/>
      <c r="K24" s="7"/>
      <c r="L24" s="7"/>
      <c r="M24" s="7"/>
      <c r="N24" s="7"/>
      <c r="O24" s="7"/>
      <c r="P24" s="7"/>
      <c r="Q24" s="7"/>
      <c r="R24" s="7"/>
      <c r="S24" s="7"/>
      <c r="T24" s="7"/>
    </row>
    <row r="25" spans="2:20" x14ac:dyDescent="0.2">
      <c r="B25" s="7"/>
      <c r="C25" s="7"/>
      <c r="D25" s="7"/>
      <c r="E25" s="7"/>
      <c r="J25" s="7"/>
      <c r="K25" s="7"/>
      <c r="L25" s="7"/>
      <c r="M25" s="7"/>
      <c r="N25" s="7"/>
      <c r="O25" s="7"/>
      <c r="P25" s="7"/>
      <c r="Q25" s="7"/>
      <c r="R25" s="7"/>
      <c r="S25" s="7"/>
      <c r="T25" s="7"/>
    </row>
    <row r="26" spans="2:20" x14ac:dyDescent="0.2">
      <c r="B26" s="73"/>
      <c r="C26" s="140">
        <f>IFERROR(INDEX($O$18:$Q$19,MATCH(C24,$B$18:$B$19,0),MATCH(C22,$O$5:$Q$5,0)),"")</f>
        <v>-0.51499999999999968</v>
      </c>
      <c r="D26" s="140">
        <f>IFERROR(INDEX($O$18:$Q$19,MATCH(D24,$B$18:$B$19,0),MATCH(D22,$O$5:$Q$5,0)),"")</f>
        <v>2.4900000000000002</v>
      </c>
      <c r="E26" s="140">
        <f>IFERROR(INDEX($O$18:$Q$19,MATCH(E24,$B$18:$B$19,0),MATCH(E22,$O$5:$Q$5,0)),"")</f>
        <v>0.28000000000000003</v>
      </c>
      <c r="G26" s="171">
        <f>G39/$C$41</f>
        <v>-32.105768268894103</v>
      </c>
      <c r="H26" s="171">
        <f>H39/$C$41</f>
        <v>97.97722953033562</v>
      </c>
      <c r="I26" s="171">
        <f>I39/$C$41</f>
        <v>70.092857500125049</v>
      </c>
      <c r="J26" s="7"/>
      <c r="K26" s="7"/>
      <c r="L26" s="7"/>
      <c r="M26" s="7"/>
      <c r="N26" s="7"/>
      <c r="O26" s="7"/>
      <c r="P26" s="7"/>
      <c r="Q26" s="7"/>
      <c r="R26" s="7"/>
      <c r="S26" s="7"/>
      <c r="T26" s="7"/>
    </row>
    <row r="27" spans="2:20" x14ac:dyDescent="0.2">
      <c r="B27" s="7"/>
      <c r="C27" s="7"/>
      <c r="D27" s="7"/>
      <c r="E27" s="7"/>
      <c r="J27" s="7"/>
      <c r="K27" s="7"/>
      <c r="L27" s="7"/>
      <c r="M27" s="7"/>
      <c r="N27" s="7"/>
      <c r="O27" s="7"/>
      <c r="P27" s="7"/>
      <c r="Q27" s="7"/>
      <c r="R27" s="7"/>
      <c r="S27" s="7"/>
      <c r="T27" s="7"/>
    </row>
    <row r="28" spans="2:20" x14ac:dyDescent="0.2">
      <c r="B28" s="7" t="s">
        <v>45</v>
      </c>
      <c r="C28" s="131">
        <v>76694</v>
      </c>
      <c r="D28" s="7"/>
      <c r="E28" s="7"/>
      <c r="G28" s="171">
        <f>G40/$C$41</f>
        <v>73.545647226529283</v>
      </c>
      <c r="H28" s="171">
        <f>H40/$C$41</f>
        <v>105.46222427849747</v>
      </c>
      <c r="I28" s="171">
        <f>I40/$C$41</f>
        <v>102.6992197269044</v>
      </c>
      <c r="J28" s="7"/>
      <c r="K28" s="7"/>
      <c r="L28" s="7"/>
      <c r="M28" s="7"/>
      <c r="N28" s="7"/>
      <c r="O28" s="7"/>
      <c r="P28" s="7"/>
      <c r="Q28" s="7"/>
      <c r="R28" s="7"/>
      <c r="S28" s="7"/>
      <c r="T28" s="7"/>
    </row>
    <row r="29" spans="2:20" x14ac:dyDescent="0.2">
      <c r="B29" s="7" t="s">
        <v>46</v>
      </c>
      <c r="C29" s="131">
        <v>11085</v>
      </c>
      <c r="D29" s="7"/>
      <c r="E29" s="7"/>
      <c r="G29" s="7">
        <f>INDEX($O$20:$R$21,1,MATCH(G22,$O$5:$R$5,0))</f>
        <v>-2.7874999999999996</v>
      </c>
      <c r="H29" s="7">
        <f>INDEX($O$20:$R$21,1,MATCH(H22,$O$5:$R$5,0))</f>
        <v>2.355</v>
      </c>
      <c r="I29" s="7">
        <f>INDEX($O$20:$R$21,1,MATCH(I22,$O$5:$R$5,0))</f>
        <v>0.19500000000000001</v>
      </c>
      <c r="J29" s="7"/>
      <c r="K29" s="7"/>
      <c r="L29" s="7"/>
      <c r="M29" s="7"/>
      <c r="N29" s="7"/>
      <c r="O29" s="7"/>
      <c r="P29" s="7"/>
      <c r="Q29" s="7"/>
      <c r="R29" s="7"/>
      <c r="S29" s="7"/>
      <c r="T29" s="7"/>
    </row>
    <row r="30" spans="2:20" x14ac:dyDescent="0.2">
      <c r="B30" s="7" t="s">
        <v>47</v>
      </c>
      <c r="C30" s="131">
        <v>9295</v>
      </c>
      <c r="D30" s="7"/>
      <c r="E30" s="7"/>
      <c r="G30" s="7">
        <f>INDEX($O$20:$R$21,2,MATCH(G22,$O$5:$R$5,0))</f>
        <v>1.7575000000000003</v>
      </c>
      <c r="H30" s="7">
        <f>INDEX($O$20:$R$21,2,MATCH(H22,$O$5:$R$5,0))</f>
        <v>2.625</v>
      </c>
      <c r="I30" s="7">
        <f>INDEX($O$20:$R$21,2,MATCH(I22,$O$5:$R$5,0))</f>
        <v>0.36499999999999999</v>
      </c>
      <c r="J30" s="7"/>
      <c r="K30" s="7"/>
      <c r="L30" s="7"/>
      <c r="M30" s="7"/>
      <c r="N30" s="7"/>
      <c r="O30" s="7"/>
      <c r="P30" s="7"/>
      <c r="Q30" s="7"/>
      <c r="R30" s="7"/>
      <c r="S30" s="7"/>
      <c r="T30" s="7"/>
    </row>
    <row r="31" spans="2:20" x14ac:dyDescent="0.2">
      <c r="B31" s="7"/>
      <c r="C31" s="7"/>
      <c r="D31" s="7"/>
      <c r="E31" s="7"/>
      <c r="G31" s="132"/>
      <c r="H31" s="132"/>
      <c r="I31" s="132"/>
      <c r="J31" s="7"/>
      <c r="K31" s="7"/>
      <c r="L31" s="7"/>
      <c r="M31" s="7"/>
      <c r="N31" s="7"/>
      <c r="O31" s="7"/>
      <c r="P31" s="7"/>
      <c r="Q31" s="7"/>
      <c r="R31" s="7"/>
      <c r="S31" s="7"/>
      <c r="T31" s="7"/>
    </row>
    <row r="32" spans="2:20" x14ac:dyDescent="0.2">
      <c r="B32" s="108" t="s">
        <v>60</v>
      </c>
      <c r="C32" s="132">
        <f>IF(C22="Valuation/Sales",C26*$C$28,IF(C22="Valuation/EBITDA",C26*$C$29,IF(C22="Valuation/EBIT",C26*$C$30,"")))</f>
        <v>-4786.9249999999975</v>
      </c>
      <c r="D32" s="132">
        <f>IF(D22="Valuation/Sales",D26*$C$28,IF(D22="Valuation/EBITDA",D26*$C$29,IF(D22="Valuation/EBIT",D26*$C$30,"")))</f>
        <v>27601.65</v>
      </c>
      <c r="E32" s="132">
        <f t="shared" ref="E32" si="4">IF(E22="Valuation/Sales",E26*$C$28,IF(E22="Valuation/EBITDA",E26*$C$29,IF(E22="Valuation/EBIT",E26*$C$30,"")))</f>
        <v>21474.320000000003</v>
      </c>
      <c r="G32" s="132">
        <f>IF(G$22="Valuation/Sales",G29*$C$28,IF(G$22="Valuation/EBITDA",G29*$C$29,IF(G$22="Valuation/EBIT",G29*$C$30)))</f>
        <v>-25909.812499999996</v>
      </c>
      <c r="H32" s="132">
        <f>IF(H$22="Valuation/Sales",H29*$C$28,IF(H$22="Valuation/EBITDA",H29*$C$29,IF(H$22="Valuation/EBIT",H29*$C$30)))</f>
        <v>26105.174999999999</v>
      </c>
      <c r="I32" s="132">
        <f>IF(I$22="Valuation/Sales",I29*$C$28,IF(I$22="Valuation/EBITDA",I29*$C$29,IF(I$22="Valuation/EBIT",I29*$C$30,"-")))</f>
        <v>14955.33</v>
      </c>
      <c r="J32" s="7"/>
      <c r="K32" s="7"/>
      <c r="L32" s="7"/>
      <c r="M32" s="7"/>
      <c r="N32" s="7"/>
      <c r="O32" s="7"/>
      <c r="P32" s="7"/>
      <c r="Q32" s="7"/>
      <c r="R32" s="7"/>
      <c r="S32" s="7"/>
      <c r="T32" s="7"/>
    </row>
    <row r="33" spans="2:20" x14ac:dyDescent="0.2">
      <c r="B33" s="7"/>
      <c r="C33" s="7"/>
      <c r="D33" s="7"/>
      <c r="E33" s="7"/>
      <c r="G33" s="132">
        <f>IF(G$22="Valuation/Sales",G30*$C$28,IF(G$22="Valuation/EBITDA",G30*$C$29,IF(G$22="Valuation/EBIT",G30*$C$30)))</f>
        <v>16335.962500000003</v>
      </c>
      <c r="H33" s="132">
        <f>IF(H$22="Valuation/Sales",H30*$C$28,IF(H$22="Valuation/EBITDA",H30*$C$29,IF(H$22="Valuation/EBIT",H30*$C$30)))</f>
        <v>29098.125</v>
      </c>
      <c r="I33" s="132">
        <f>IF(I$22="Valuation/Sales",I30*$C$28,IF(I$22="Valuation/EBITDA",I30*$C$29,IF(I$22="Valuation/EBIT",I30*$C$30,"-")))</f>
        <v>27993.309999999998</v>
      </c>
      <c r="J33" s="7"/>
      <c r="K33" s="7"/>
      <c r="L33" s="7"/>
      <c r="M33" s="7"/>
      <c r="N33" s="7"/>
      <c r="O33" s="7"/>
      <c r="P33" s="7"/>
      <c r="Q33" s="7"/>
      <c r="R33" s="7"/>
      <c r="S33" s="7"/>
      <c r="T33" s="7"/>
    </row>
    <row r="34" spans="2:20" x14ac:dyDescent="0.2">
      <c r="B34" s="75" t="s">
        <v>49</v>
      </c>
      <c r="C34" s="131">
        <v>-13067</v>
      </c>
      <c r="D34" s="7"/>
      <c r="E34" s="7"/>
      <c r="G34" s="7"/>
      <c r="H34" s="7"/>
      <c r="I34" s="7"/>
      <c r="J34" s="7"/>
      <c r="K34" s="7"/>
      <c r="L34" s="7"/>
      <c r="M34" s="7"/>
      <c r="N34" s="7"/>
      <c r="O34" s="7"/>
      <c r="P34" s="7"/>
      <c r="Q34" s="7"/>
      <c r="R34" s="7"/>
      <c r="S34" s="7"/>
      <c r="T34" s="7"/>
    </row>
    <row r="35" spans="2:20" x14ac:dyDescent="0.2">
      <c r="B35" s="75" t="s">
        <v>50</v>
      </c>
      <c r="C35" s="131">
        <v>0</v>
      </c>
      <c r="D35" s="7"/>
      <c r="E35" s="7"/>
      <c r="G35" s="7"/>
      <c r="H35" s="7"/>
      <c r="I35" s="7"/>
      <c r="J35" s="7"/>
      <c r="K35" s="7"/>
      <c r="L35" s="7"/>
      <c r="M35" s="7"/>
      <c r="N35" s="7"/>
      <c r="O35" s="7"/>
      <c r="P35" s="7"/>
      <c r="Q35" s="7"/>
      <c r="R35" s="7"/>
      <c r="S35" s="7"/>
      <c r="T35" s="7"/>
    </row>
    <row r="36" spans="2:20" x14ac:dyDescent="0.2">
      <c r="B36" s="75" t="s">
        <v>51</v>
      </c>
      <c r="C36" s="131">
        <v>5</v>
      </c>
      <c r="H36" s="7"/>
      <c r="I36" s="7"/>
    </row>
    <row r="37" spans="2:20" x14ac:dyDescent="0.2">
      <c r="B37" s="75"/>
      <c r="C37" s="7"/>
      <c r="G37" s="7"/>
      <c r="H37" s="7"/>
      <c r="I37" s="7"/>
    </row>
    <row r="38" spans="2:20" x14ac:dyDescent="0.2">
      <c r="B38" s="75"/>
      <c r="C38" s="7"/>
      <c r="G38" s="7"/>
      <c r="H38" s="7"/>
      <c r="I38" s="7"/>
    </row>
    <row r="39" spans="2:20" x14ac:dyDescent="0.2">
      <c r="B39" s="105" t="s">
        <v>61</v>
      </c>
      <c r="C39" s="130">
        <f>IFERROR(C32-$C$34-$C$35+$C$36,"")</f>
        <v>8285.0750000000025</v>
      </c>
      <c r="D39" s="130">
        <f t="shared" ref="D39:E39" si="5">IFERROR(D32-$C$34-$C$35+$C$36,"")</f>
        <v>40673.65</v>
      </c>
      <c r="E39" s="130">
        <f t="shared" si="5"/>
        <v>34546.320000000007</v>
      </c>
      <c r="G39" s="130">
        <f t="shared" ref="G39:I40" si="6">G32-$C$34-$C$35+$C$36</f>
        <v>-12837.812499999996</v>
      </c>
      <c r="H39" s="130">
        <f t="shared" si="6"/>
        <v>39177.175000000003</v>
      </c>
      <c r="I39" s="130">
        <f t="shared" si="6"/>
        <v>28027.33</v>
      </c>
    </row>
    <row r="40" spans="2:20" x14ac:dyDescent="0.2">
      <c r="B40" s="7"/>
      <c r="C40" s="7"/>
      <c r="G40" s="130">
        <f t="shared" si="6"/>
        <v>29407.962500000001</v>
      </c>
      <c r="H40" s="130">
        <f t="shared" si="6"/>
        <v>42170.125</v>
      </c>
      <c r="I40" s="130">
        <f t="shared" si="6"/>
        <v>41065.31</v>
      </c>
    </row>
    <row r="41" spans="2:20" x14ac:dyDescent="0.2">
      <c r="B41" s="100" t="s">
        <v>53</v>
      </c>
      <c r="C41" s="73">
        <v>399.86</v>
      </c>
    </row>
    <row r="42" spans="2:20" x14ac:dyDescent="0.2">
      <c r="B42" s="7"/>
      <c r="C42" s="7"/>
    </row>
    <row r="43" spans="2:20" x14ac:dyDescent="0.2">
      <c r="B43" s="106" t="s">
        <v>54</v>
      </c>
      <c r="C43" s="106">
        <f>IFERROR(C39/$C$41,"")</f>
        <v>20.71993947881759</v>
      </c>
      <c r="D43" s="106">
        <f t="shared" ref="D43:E43" si="7">IFERROR(D39/$C$41,"")</f>
        <v>101.71972690441655</v>
      </c>
      <c r="E43" s="106">
        <f t="shared" si="7"/>
        <v>86.396038613514747</v>
      </c>
    </row>
    <row r="45" spans="2:20" x14ac:dyDescent="0.2">
      <c r="B45" s="249" t="s">
        <v>6</v>
      </c>
      <c r="C45" s="216">
        <f>AVERAGE(C43:E43)</f>
        <v>69.611901665582963</v>
      </c>
    </row>
    <row r="46" spans="2:20" x14ac:dyDescent="0.2">
      <c r="B46" s="249" t="s">
        <v>62</v>
      </c>
      <c r="C46" s="216">
        <f>MIN(C43:E43)</f>
        <v>20.71993947881759</v>
      </c>
    </row>
    <row r="47" spans="2:20" x14ac:dyDescent="0.2">
      <c r="B47" s="249" t="s">
        <v>63</v>
      </c>
      <c r="C47" s="216">
        <f>MAX(C43:E43)</f>
        <v>101.71972690441655</v>
      </c>
    </row>
    <row r="48" spans="2:20" x14ac:dyDescent="0.2">
      <c r="B48" s="215" t="s">
        <v>64</v>
      </c>
      <c r="C48" s="215" t="s">
        <v>6</v>
      </c>
    </row>
    <row r="49" spans="2:3" x14ac:dyDescent="0.2">
      <c r="B49" s="215" t="s">
        <v>65</v>
      </c>
      <c r="C49" s="213">
        <f>_xlfn.XLOOKUP(C48,B45:B47,C45:C47)</f>
        <v>69.611901665582963</v>
      </c>
    </row>
  </sheetData>
  <mergeCells count="12">
    <mergeCell ref="F5:G5"/>
    <mergeCell ref="F4:G4"/>
    <mergeCell ref="F7:G7"/>
    <mergeCell ref="F8:G8"/>
    <mergeCell ref="F15:G15"/>
    <mergeCell ref="F16:G16"/>
    <mergeCell ref="F9:G9"/>
    <mergeCell ref="F10:G10"/>
    <mergeCell ref="F11:G11"/>
    <mergeCell ref="F12:G12"/>
    <mergeCell ref="F13:G13"/>
    <mergeCell ref="F14:G14"/>
  </mergeCells>
  <dataValidations count="5">
    <dataValidation type="list" allowBlank="1" showInputMessage="1" showErrorMessage="1" sqref="D19" xr:uid="{83346930-8A1B-46CA-A968-4533CD6019DD}">
      <formula1>$V$4:$V$5</formula1>
    </dataValidation>
    <dataValidation type="list" allowBlank="1" showInputMessage="1" showErrorMessage="1" sqref="C22:E22" xr:uid="{1586BB3D-7E75-47DA-A045-5BE84BC475DF}">
      <formula1>$J$5:$M$5</formula1>
    </dataValidation>
    <dataValidation type="list" allowBlank="1" showInputMessage="1" showErrorMessage="1" sqref="C24:E24" xr:uid="{F758DB2B-E7C7-4362-A493-BD6FB8506E0B}">
      <formula1>$B$18:$B$19</formula1>
    </dataValidation>
    <dataValidation type="list" allowBlank="1" showInputMessage="1" showErrorMessage="1" sqref="C48" xr:uid="{F0B142FA-417F-6443-9B48-09314B9F510D}">
      <formula1>$B$45:$B$47</formula1>
    </dataValidation>
    <dataValidation type="list" allowBlank="1" showInputMessage="1" showErrorMessage="1" sqref="B6:C16" xr:uid="{FA6E4294-F449-47B8-8A9D-5AF3CA4B6A1C}">
      <formula1>$U$4:$U$5</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52207-D118-4ACD-8ECD-D92B19B143B3}">
  <sheetPr codeName="Sheet2"/>
  <dimension ref="B2:V49"/>
  <sheetViews>
    <sheetView showGridLines="0" zoomScaleNormal="106" workbookViewId="0">
      <selection activeCell="M39" sqref="M39"/>
    </sheetView>
  </sheetViews>
  <sheetFormatPr baseColWidth="10" defaultColWidth="9.1640625" defaultRowHeight="16" x14ac:dyDescent="0.2"/>
  <cols>
    <col min="1" max="1" width="9.1640625" style="1"/>
    <col min="2" max="2" width="49.83203125" style="1" customWidth="1"/>
    <col min="3" max="3" width="18.5" style="1" customWidth="1"/>
    <col min="4" max="4" width="32.1640625" style="1" customWidth="1"/>
    <col min="5" max="5" width="21.1640625" style="1" customWidth="1"/>
    <col min="6" max="6" width="29.83203125" style="1" customWidth="1"/>
    <col min="7" max="7" width="32.5" style="1" customWidth="1"/>
    <col min="8" max="8" width="11.5" style="1" customWidth="1"/>
    <col min="9" max="9" width="34" style="1" customWidth="1"/>
    <col min="10" max="10" width="16.1640625" style="1" customWidth="1"/>
    <col min="11" max="11" width="20.5" style="1" customWidth="1"/>
    <col min="12" max="12" width="15.5" style="1" customWidth="1"/>
    <col min="13" max="13" width="3.83203125" style="1" customWidth="1"/>
    <col min="14" max="14" width="4.5" style="1" customWidth="1"/>
    <col min="15" max="15" width="16.5" style="1" customWidth="1"/>
    <col min="16" max="17" width="17.5" style="1" customWidth="1"/>
    <col min="18" max="16384" width="9.1640625" style="1"/>
  </cols>
  <sheetData>
    <row r="2" spans="2:22" x14ac:dyDescent="0.2">
      <c r="B2" s="4" t="s">
        <v>57</v>
      </c>
      <c r="C2" s="4"/>
      <c r="D2" s="4"/>
      <c r="E2" s="4"/>
      <c r="F2" s="2"/>
      <c r="G2" s="2"/>
      <c r="H2" s="2"/>
      <c r="I2" s="2"/>
      <c r="J2" s="2"/>
      <c r="K2" s="2"/>
      <c r="L2" s="2"/>
      <c r="M2" s="69"/>
      <c r="N2" s="69"/>
      <c r="O2" s="69"/>
      <c r="P2" s="69"/>
      <c r="Q2" s="69"/>
    </row>
    <row r="4" spans="2:22" x14ac:dyDescent="0.2">
      <c r="B4" s="2"/>
      <c r="C4" s="71" t="s">
        <v>3</v>
      </c>
      <c r="D4" s="2"/>
      <c r="E4" s="4" t="s">
        <v>1</v>
      </c>
      <c r="F4" s="279"/>
      <c r="G4" s="279"/>
      <c r="H4" s="2"/>
      <c r="I4" s="2"/>
      <c r="J4" s="257"/>
      <c r="K4" s="71" t="s">
        <v>2</v>
      </c>
      <c r="L4" s="257"/>
      <c r="M4" s="69"/>
      <c r="N4" s="69"/>
      <c r="O4" s="3"/>
      <c r="P4" s="5" t="s">
        <v>4</v>
      </c>
      <c r="Q4" s="3"/>
      <c r="U4" s="1" t="s">
        <v>5</v>
      </c>
      <c r="V4" s="1" t="s">
        <v>6</v>
      </c>
    </row>
    <row r="5" spans="2:22" x14ac:dyDescent="0.2">
      <c r="B5" s="9" t="s">
        <v>7</v>
      </c>
      <c r="C5" s="9"/>
      <c r="D5" s="9" t="s">
        <v>8</v>
      </c>
      <c r="E5" s="9" t="s">
        <v>9</v>
      </c>
      <c r="F5" s="279" t="s">
        <v>10</v>
      </c>
      <c r="G5" s="279"/>
      <c r="H5" s="9"/>
      <c r="I5" s="9" t="s">
        <v>11</v>
      </c>
      <c r="J5" s="9" t="s">
        <v>12</v>
      </c>
      <c r="K5" s="9" t="s">
        <v>13</v>
      </c>
      <c r="L5" s="9" t="s">
        <v>14</v>
      </c>
      <c r="M5" s="69"/>
      <c r="N5" s="69"/>
      <c r="O5" s="9" t="s">
        <v>12</v>
      </c>
      <c r="P5" s="9" t="s">
        <v>13</v>
      </c>
      <c r="Q5" s="9" t="s">
        <v>14</v>
      </c>
      <c r="U5" s="1" t="s">
        <v>15</v>
      </c>
      <c r="V5" s="1" t="s">
        <v>16</v>
      </c>
    </row>
    <row r="6" spans="2:22" x14ac:dyDescent="0.2">
      <c r="B6" s="6">
        <f>DATE(2022,8,15)</f>
        <v>44788</v>
      </c>
      <c r="C6" s="7" t="s">
        <v>5</v>
      </c>
      <c r="D6" s="7" t="s">
        <v>20</v>
      </c>
      <c r="E6" s="8">
        <v>257.79000000000002</v>
      </c>
      <c r="F6" s="1" t="s">
        <v>21</v>
      </c>
      <c r="H6" s="7"/>
      <c r="I6" s="7" t="s">
        <v>19</v>
      </c>
      <c r="J6" s="98">
        <v>0.11</v>
      </c>
      <c r="K6" s="98">
        <v>2.2200000000000002</v>
      </c>
      <c r="L6" s="98">
        <v>-5.0599999999999996</v>
      </c>
      <c r="M6" s="7"/>
      <c r="N6" s="7"/>
      <c r="O6" s="98">
        <f t="shared" ref="O6:O16" si="0">IF($C6="Yes",J6,"")</f>
        <v>0.11</v>
      </c>
      <c r="P6" s="98">
        <f t="shared" ref="P6:P16" si="1">IF($C6="Yes",K6,"")</f>
        <v>2.2200000000000002</v>
      </c>
      <c r="Q6" s="98">
        <f t="shared" ref="Q6:Q16" si="2">IF($C6="Yes",L6,"")</f>
        <v>-5.0599999999999996</v>
      </c>
      <c r="R6" s="7"/>
      <c r="S6" s="7"/>
      <c r="T6" s="7"/>
    </row>
    <row r="7" spans="2:22" x14ac:dyDescent="0.2">
      <c r="B7" s="6">
        <f>DATE(2018,12,6)</f>
        <v>43440</v>
      </c>
      <c r="C7" s="7" t="s">
        <v>15</v>
      </c>
      <c r="D7" s="7" t="s">
        <v>22</v>
      </c>
      <c r="E7" s="8">
        <v>920.03</v>
      </c>
      <c r="F7" s="278" t="s">
        <v>23</v>
      </c>
      <c r="G7" s="278"/>
      <c r="H7" s="7"/>
      <c r="I7" s="7" t="s">
        <v>24</v>
      </c>
      <c r="J7" s="98">
        <v>0.28999999999999998</v>
      </c>
      <c r="K7" s="98">
        <v>7.22</v>
      </c>
      <c r="L7" s="98">
        <v>-11.92</v>
      </c>
      <c r="M7" s="7"/>
      <c r="N7" s="7"/>
      <c r="O7" s="98" t="str">
        <f t="shared" si="0"/>
        <v/>
      </c>
      <c r="P7" s="98" t="str">
        <f t="shared" si="1"/>
        <v/>
      </c>
      <c r="Q7" s="98" t="str">
        <f t="shared" si="2"/>
        <v/>
      </c>
      <c r="R7" s="7"/>
      <c r="S7" s="7"/>
      <c r="T7" s="7"/>
    </row>
    <row r="8" spans="2:22" x14ac:dyDescent="0.2">
      <c r="B8" s="6">
        <f>DATE(2018,9,18)</f>
        <v>43361</v>
      </c>
      <c r="C8" s="7" t="s">
        <v>15</v>
      </c>
      <c r="D8" s="7" t="s">
        <v>25</v>
      </c>
      <c r="E8" s="8">
        <v>1760</v>
      </c>
      <c r="F8" s="278" t="s">
        <v>26</v>
      </c>
      <c r="G8" s="278"/>
      <c r="H8" s="7"/>
      <c r="I8" s="7" t="s">
        <v>19</v>
      </c>
      <c r="J8" s="98">
        <v>0.59</v>
      </c>
      <c r="K8" s="98">
        <v>5.91</v>
      </c>
      <c r="L8" s="98"/>
      <c r="M8" s="7"/>
      <c r="N8" s="7"/>
      <c r="O8" s="98" t="str">
        <f t="shared" si="0"/>
        <v/>
      </c>
      <c r="P8" s="98" t="str">
        <f t="shared" si="1"/>
        <v/>
      </c>
      <c r="Q8" s="98" t="str">
        <f t="shared" si="2"/>
        <v/>
      </c>
      <c r="R8" s="7"/>
      <c r="S8" s="7"/>
      <c r="T8" s="7"/>
    </row>
    <row r="9" spans="2:22" x14ac:dyDescent="0.2">
      <c r="B9" s="6">
        <f>DATE(2021,7,28)</f>
        <v>44405</v>
      </c>
      <c r="C9" s="7" t="s">
        <v>15</v>
      </c>
      <c r="D9" s="7" t="s">
        <v>27</v>
      </c>
      <c r="E9" s="8">
        <v>2630</v>
      </c>
      <c r="F9" s="278" t="s">
        <v>28</v>
      </c>
      <c r="G9" s="278"/>
      <c r="H9" s="7"/>
      <c r="I9" s="7" t="s">
        <v>19</v>
      </c>
      <c r="J9" s="98">
        <v>0.91</v>
      </c>
      <c r="K9" s="98">
        <v>5.83</v>
      </c>
      <c r="L9" s="98">
        <v>9.44</v>
      </c>
      <c r="M9" s="7"/>
      <c r="N9" s="7"/>
      <c r="O9" s="98" t="str">
        <f t="shared" si="0"/>
        <v/>
      </c>
      <c r="P9" s="98" t="str">
        <f t="shared" si="1"/>
        <v/>
      </c>
      <c r="Q9" s="98" t="str">
        <f t="shared" si="2"/>
        <v/>
      </c>
      <c r="R9" s="7"/>
      <c r="S9" s="7"/>
      <c r="T9" s="7"/>
    </row>
    <row r="10" spans="2:22" x14ac:dyDescent="0.2">
      <c r="B10" s="6">
        <f>DATE(2020,12,11)</f>
        <v>44176</v>
      </c>
      <c r="C10" s="7" t="s">
        <v>15</v>
      </c>
      <c r="D10" s="7" t="s">
        <v>29</v>
      </c>
      <c r="E10" s="8">
        <v>4520</v>
      </c>
      <c r="F10" s="278" t="s">
        <v>30</v>
      </c>
      <c r="G10" s="278"/>
      <c r="H10" s="7"/>
      <c r="I10" s="7" t="s">
        <v>19</v>
      </c>
      <c r="J10" s="98">
        <v>138.09</v>
      </c>
      <c r="K10" s="98">
        <v>2720.6</v>
      </c>
      <c r="L10" s="98">
        <v>2804.67</v>
      </c>
      <c r="M10" s="7"/>
      <c r="N10" s="7"/>
      <c r="O10" s="98" t="str">
        <f t="shared" si="0"/>
        <v/>
      </c>
      <c r="P10" s="98" t="str">
        <f t="shared" si="1"/>
        <v/>
      </c>
      <c r="Q10" s="98" t="str">
        <f t="shared" si="2"/>
        <v/>
      </c>
      <c r="R10" s="7"/>
      <c r="S10" s="7"/>
      <c r="T10" s="7"/>
    </row>
    <row r="11" spans="2:22" x14ac:dyDescent="0.2">
      <c r="B11" s="6">
        <f>DATE(2015,4,7)</f>
        <v>42101</v>
      </c>
      <c r="C11" s="7" t="s">
        <v>15</v>
      </c>
      <c r="D11" s="7" t="s">
        <v>31</v>
      </c>
      <c r="E11" s="8">
        <v>2700</v>
      </c>
      <c r="F11" s="278" t="s">
        <v>32</v>
      </c>
      <c r="G11" s="278"/>
      <c r="H11" s="7"/>
      <c r="I11" s="7" t="s">
        <v>33</v>
      </c>
      <c r="J11" s="98">
        <v>0.38</v>
      </c>
      <c r="K11" s="98">
        <v>10.34</v>
      </c>
      <c r="L11" s="98">
        <v>10.34</v>
      </c>
      <c r="M11" s="7"/>
      <c r="N11" s="7"/>
      <c r="O11" s="98" t="str">
        <f t="shared" si="0"/>
        <v/>
      </c>
      <c r="P11" s="98" t="str">
        <f t="shared" si="1"/>
        <v/>
      </c>
      <c r="Q11" s="98" t="str">
        <f t="shared" si="2"/>
        <v/>
      </c>
      <c r="R11" s="7"/>
      <c r="S11" s="7"/>
      <c r="T11" s="7"/>
    </row>
    <row r="12" spans="2:22" x14ac:dyDescent="0.2">
      <c r="B12" s="6">
        <f>DATE(2017,11,2)</f>
        <v>43041</v>
      </c>
      <c r="C12" s="7" t="s">
        <v>15</v>
      </c>
      <c r="D12" s="7" t="s">
        <v>34</v>
      </c>
      <c r="E12" s="8">
        <v>1420</v>
      </c>
      <c r="F12" s="278" t="s">
        <v>35</v>
      </c>
      <c r="G12" s="278"/>
      <c r="H12" s="7"/>
      <c r="I12" s="7" t="s">
        <v>33</v>
      </c>
      <c r="J12" s="98">
        <v>0.45</v>
      </c>
      <c r="K12" s="98">
        <v>2.76</v>
      </c>
      <c r="L12" s="98">
        <v>4.03</v>
      </c>
      <c r="M12" s="7"/>
      <c r="N12" s="7"/>
      <c r="O12" s="98" t="str">
        <f t="shared" si="0"/>
        <v/>
      </c>
      <c r="P12" s="98" t="str">
        <f t="shared" si="1"/>
        <v/>
      </c>
      <c r="Q12" s="98" t="str">
        <f t="shared" si="2"/>
        <v/>
      </c>
      <c r="R12" s="7"/>
      <c r="S12" s="7"/>
      <c r="T12" s="7"/>
    </row>
    <row r="13" spans="2:22" x14ac:dyDescent="0.2">
      <c r="B13" s="6">
        <f>DATE(2019,8,28)</f>
        <v>43705</v>
      </c>
      <c r="C13" s="7" t="s">
        <v>15</v>
      </c>
      <c r="D13" s="7" t="s">
        <v>36</v>
      </c>
      <c r="E13" s="8">
        <v>902.48</v>
      </c>
      <c r="F13" s="278" t="s">
        <v>37</v>
      </c>
      <c r="G13" s="278"/>
      <c r="H13" s="7"/>
      <c r="I13" s="7" t="s">
        <v>33</v>
      </c>
      <c r="J13" s="98">
        <v>0.54</v>
      </c>
      <c r="K13" s="98">
        <v>5.84</v>
      </c>
      <c r="L13" s="98">
        <v>10.56</v>
      </c>
      <c r="M13" s="7"/>
      <c r="N13" s="7"/>
      <c r="O13" s="98" t="str">
        <f t="shared" si="0"/>
        <v/>
      </c>
      <c r="P13" s="98" t="str">
        <f t="shared" si="1"/>
        <v/>
      </c>
      <c r="Q13" s="98" t="str">
        <f t="shared" si="2"/>
        <v/>
      </c>
      <c r="R13" s="7"/>
      <c r="S13" s="7"/>
      <c r="T13" s="7"/>
    </row>
    <row r="14" spans="2:22" x14ac:dyDescent="0.2">
      <c r="B14" s="6">
        <f>DATE(2018,10,8)</f>
        <v>43381</v>
      </c>
      <c r="C14" s="7" t="s">
        <v>15</v>
      </c>
      <c r="D14" s="7" t="s">
        <v>38</v>
      </c>
      <c r="E14" s="8">
        <v>309.33</v>
      </c>
      <c r="F14" s="278" t="s">
        <v>37</v>
      </c>
      <c r="G14" s="278"/>
      <c r="H14" s="7" t="s">
        <v>39</v>
      </c>
      <c r="I14" s="7" t="s">
        <v>33</v>
      </c>
      <c r="J14" s="98">
        <v>1</v>
      </c>
      <c r="K14" s="98">
        <v>6.52</v>
      </c>
      <c r="L14" s="98">
        <v>8.6199999999999992</v>
      </c>
      <c r="M14" s="7"/>
      <c r="N14" s="7"/>
      <c r="O14" s="98" t="str">
        <f t="shared" si="0"/>
        <v/>
      </c>
      <c r="P14" s="98" t="str">
        <f t="shared" si="1"/>
        <v/>
      </c>
      <c r="Q14" s="98" t="str">
        <f t="shared" si="2"/>
        <v/>
      </c>
      <c r="R14" s="7"/>
      <c r="S14" s="7"/>
      <c r="T14" s="7"/>
    </row>
    <row r="15" spans="2:22" x14ac:dyDescent="0.2">
      <c r="B15" s="6">
        <f>DATE(2016,12,12)</f>
        <v>42716</v>
      </c>
      <c r="C15" s="7" t="s">
        <v>15</v>
      </c>
      <c r="D15" s="7" t="s">
        <v>40</v>
      </c>
      <c r="E15" s="8">
        <v>357.08</v>
      </c>
      <c r="F15" s="278" t="s">
        <v>41</v>
      </c>
      <c r="G15" s="278"/>
      <c r="H15" s="7"/>
      <c r="I15" s="7" t="s">
        <v>33</v>
      </c>
      <c r="J15" s="98">
        <v>0.52</v>
      </c>
      <c r="K15" s="98">
        <v>4.41</v>
      </c>
      <c r="L15" s="98">
        <v>10.54</v>
      </c>
      <c r="M15" s="7"/>
      <c r="N15" s="7"/>
      <c r="O15" s="98" t="str">
        <f t="shared" si="0"/>
        <v/>
      </c>
      <c r="P15" s="98" t="str">
        <f t="shared" si="1"/>
        <v/>
      </c>
      <c r="Q15" s="98" t="str">
        <f t="shared" si="2"/>
        <v/>
      </c>
      <c r="R15" s="7"/>
      <c r="S15" s="7"/>
      <c r="T15" s="7"/>
    </row>
    <row r="16" spans="2:22" x14ac:dyDescent="0.2">
      <c r="B16" s="6">
        <f>DATE(2021,5,4)</f>
        <v>44320</v>
      </c>
      <c r="C16" s="7" t="s">
        <v>5</v>
      </c>
      <c r="D16" s="7" t="s">
        <v>42</v>
      </c>
      <c r="E16" s="8">
        <v>1380</v>
      </c>
      <c r="F16" s="278" t="s">
        <v>37</v>
      </c>
      <c r="G16" s="278"/>
      <c r="H16" s="7"/>
      <c r="I16" s="7" t="s">
        <v>33</v>
      </c>
      <c r="J16" s="98">
        <v>0.57999999999999996</v>
      </c>
      <c r="K16" s="98">
        <v>4.0999999999999996</v>
      </c>
      <c r="L16" s="98">
        <v>7.74</v>
      </c>
      <c r="M16" s="7"/>
      <c r="N16" s="7"/>
      <c r="O16" s="98">
        <f t="shared" si="0"/>
        <v>0.57999999999999996</v>
      </c>
      <c r="P16" s="98">
        <f t="shared" si="1"/>
        <v>4.0999999999999996</v>
      </c>
      <c r="Q16" s="98">
        <f t="shared" si="2"/>
        <v>7.74</v>
      </c>
      <c r="R16" s="7"/>
      <c r="S16" s="7"/>
      <c r="T16" s="7"/>
    </row>
    <row r="17" spans="2:20" x14ac:dyDescent="0.2">
      <c r="B17" s="7"/>
      <c r="C17" s="7"/>
      <c r="D17" s="7"/>
      <c r="E17" s="7"/>
      <c r="F17" s="7"/>
      <c r="G17" s="7"/>
      <c r="H17" s="7"/>
      <c r="I17" s="7"/>
      <c r="J17" s="7"/>
      <c r="K17" s="7"/>
      <c r="L17" s="7"/>
      <c r="M17" s="7"/>
      <c r="N17" s="7"/>
      <c r="O17" s="7"/>
      <c r="P17" s="7"/>
      <c r="Q17" s="7"/>
      <c r="R17" s="7"/>
      <c r="S17" s="7"/>
      <c r="T17" s="7"/>
    </row>
    <row r="18" spans="2:20" x14ac:dyDescent="0.2">
      <c r="B18" s="105" t="s">
        <v>16</v>
      </c>
      <c r="C18" s="141"/>
      <c r="D18" s="105"/>
      <c r="E18" s="105"/>
      <c r="F18" s="105"/>
      <c r="G18" s="105"/>
      <c r="H18" s="105"/>
      <c r="I18" s="105"/>
      <c r="J18" s="141">
        <f>MEDIAN(J6:J16)</f>
        <v>0.54</v>
      </c>
      <c r="K18" s="141">
        <f>MEDIAN(K6:K16)</f>
        <v>5.84</v>
      </c>
      <c r="L18" s="141">
        <f>MEDIAN(L6:L16)</f>
        <v>9.0299999999999994</v>
      </c>
      <c r="M18" s="141"/>
      <c r="N18" s="141"/>
      <c r="O18" s="141">
        <f>MEDIAN(O6:O16)</f>
        <v>0.34499999999999997</v>
      </c>
      <c r="P18" s="141">
        <f>MEDIAN(P6:P16)</f>
        <v>3.16</v>
      </c>
      <c r="Q18" s="141">
        <f>MEDIAN(Q6:Q16)</f>
        <v>1.3400000000000007</v>
      </c>
      <c r="R18" s="7"/>
      <c r="S18" s="7"/>
      <c r="T18" s="7"/>
    </row>
    <row r="19" spans="2:20" x14ac:dyDescent="0.2">
      <c r="B19" s="105" t="s">
        <v>6</v>
      </c>
      <c r="C19" s="141"/>
      <c r="D19" s="105"/>
      <c r="E19" s="105"/>
      <c r="F19" s="105"/>
      <c r="G19" s="105"/>
      <c r="H19" s="105"/>
      <c r="I19" s="105"/>
      <c r="J19" s="141">
        <f>AVERAGE(J6:J16)</f>
        <v>13.041818181818183</v>
      </c>
      <c r="K19" s="141">
        <f>AVERAGE(K6:K16)</f>
        <v>252.34090909090909</v>
      </c>
      <c r="L19" s="141">
        <f>AVERAGE(L6:L16)</f>
        <v>284.89600000000002</v>
      </c>
      <c r="M19" s="141"/>
      <c r="N19" s="141"/>
      <c r="O19" s="141">
        <f>AVERAGE(O6:O16)</f>
        <v>0.34499999999999997</v>
      </c>
      <c r="P19" s="141">
        <f>AVERAGE(P6:P16)</f>
        <v>3.16</v>
      </c>
      <c r="Q19" s="141">
        <f>AVERAGE(Q6:Q16)</f>
        <v>1.3400000000000003</v>
      </c>
      <c r="R19" s="7"/>
      <c r="S19" s="7"/>
      <c r="T19" s="7"/>
    </row>
    <row r="20" spans="2:20" x14ac:dyDescent="0.2">
      <c r="B20" s="105" t="s">
        <v>58</v>
      </c>
      <c r="C20" s="73"/>
      <c r="D20" s="73"/>
      <c r="E20" s="73"/>
      <c r="F20" s="73"/>
      <c r="G20" s="73"/>
      <c r="H20" s="73"/>
      <c r="I20" s="73"/>
      <c r="J20" s="73"/>
      <c r="K20" s="73"/>
      <c r="L20" s="73"/>
      <c r="M20" s="73"/>
      <c r="N20" s="73"/>
      <c r="O20" s="141">
        <f>QUARTILE(O6:O17,1)</f>
        <v>0.22749999999999998</v>
      </c>
      <c r="P20" s="141">
        <f>QUARTILE(P6:P17,1)</f>
        <v>2.69</v>
      </c>
      <c r="Q20" s="141">
        <f>QUARTILE(Q6:Q17,1)</f>
        <v>-1.8599999999999994</v>
      </c>
      <c r="R20" s="7"/>
      <c r="S20" s="7"/>
      <c r="T20" s="7"/>
    </row>
    <row r="21" spans="2:20" x14ac:dyDescent="0.2">
      <c r="B21" s="105" t="s">
        <v>59</v>
      </c>
      <c r="C21" s="259"/>
      <c r="D21" s="73"/>
      <c r="E21" s="73"/>
      <c r="F21" s="73"/>
      <c r="G21" s="73"/>
      <c r="H21" s="73"/>
      <c r="I21" s="73"/>
      <c r="J21" s="73"/>
      <c r="K21" s="73"/>
      <c r="L21" s="73"/>
      <c r="M21" s="73"/>
      <c r="N21" s="73"/>
      <c r="O21" s="141">
        <f>QUARTILE(O6:O17,3)</f>
        <v>0.46249999999999997</v>
      </c>
      <c r="P21" s="141">
        <f>QUARTILE(P6:P17,3)</f>
        <v>3.63</v>
      </c>
      <c r="Q21" s="141">
        <f>QUARTILE(Q6:Q17,3)</f>
        <v>4.5400000000000018</v>
      </c>
      <c r="R21" s="7"/>
      <c r="S21" s="7"/>
      <c r="T21" s="7"/>
    </row>
    <row r="22" spans="2:20" x14ac:dyDescent="0.2">
      <c r="B22" s="105" t="s">
        <v>43</v>
      </c>
      <c r="C22" s="73" t="s">
        <v>14</v>
      </c>
      <c r="D22" s="73" t="s">
        <v>13</v>
      </c>
      <c r="E22" s="73" t="s">
        <v>12</v>
      </c>
      <c r="G22" s="7" t="str">
        <f>IF(C22=0,"",C22)</f>
        <v>Valuation/EBIT</v>
      </c>
      <c r="H22" s="7" t="str">
        <f t="shared" ref="H22:I22" si="3">IF(D22=0,"",D22)</f>
        <v>Valuation/EBITDA</v>
      </c>
      <c r="I22" s="7" t="str">
        <f t="shared" si="3"/>
        <v>Valuation/Sales</v>
      </c>
      <c r="J22" s="7"/>
      <c r="K22" s="7"/>
      <c r="L22" s="7"/>
      <c r="M22" s="7"/>
      <c r="N22" s="7"/>
      <c r="O22" s="7"/>
      <c r="P22" s="7"/>
      <c r="Q22" s="7"/>
      <c r="R22" s="7"/>
      <c r="S22" s="7"/>
      <c r="T22" s="7"/>
    </row>
    <row r="23" spans="2:20" x14ac:dyDescent="0.2">
      <c r="B23" s="7"/>
      <c r="C23" s="7"/>
      <c r="D23" s="7"/>
      <c r="E23" s="7"/>
      <c r="G23" s="171">
        <f>IFERROR(MIN(G26,G28),"")</f>
        <v>-10.545440904316495</v>
      </c>
      <c r="H23" s="171">
        <f>IFERROR(MIN(H26,H28),"")</f>
        <v>107.2641674586105</v>
      </c>
      <c r="I23" s="171">
        <f>IFERROR(MIN(I26,I28),"")</f>
        <v>76.32642674936227</v>
      </c>
      <c r="J23" s="7"/>
      <c r="K23" s="7"/>
      <c r="L23" s="7"/>
      <c r="M23" s="7"/>
      <c r="N23" s="7"/>
      <c r="O23" s="7"/>
      <c r="P23" s="7"/>
      <c r="Q23" s="7"/>
      <c r="R23" s="7"/>
      <c r="S23" s="7"/>
      <c r="T23" s="7"/>
    </row>
    <row r="24" spans="2:20" x14ac:dyDescent="0.2">
      <c r="B24" s="105" t="s">
        <v>44</v>
      </c>
      <c r="C24" s="73" t="s">
        <v>6</v>
      </c>
      <c r="D24" s="73" t="s">
        <v>6</v>
      </c>
      <c r="E24" s="73" t="s">
        <v>6</v>
      </c>
      <c r="G24" s="171">
        <f>IFERROR(ABS(G26-G28),"")</f>
        <v>148.77207022457864</v>
      </c>
      <c r="H24" s="171">
        <f>IFERROR(ABS(H26-H28),"")</f>
        <v>26.058870604711643</v>
      </c>
      <c r="I24" s="171">
        <f>IFERROR(ABS(I26-I28),"")</f>
        <v>45.073500725253837</v>
      </c>
      <c r="J24" s="7"/>
      <c r="K24" s="7"/>
      <c r="L24" s="7"/>
      <c r="M24" s="7"/>
      <c r="N24" s="7"/>
      <c r="O24" s="7"/>
      <c r="P24" s="7"/>
      <c r="Q24" s="7"/>
      <c r="R24" s="7"/>
      <c r="S24" s="7"/>
      <c r="T24" s="7"/>
    </row>
    <row r="25" spans="2:20" x14ac:dyDescent="0.2">
      <c r="B25" s="7"/>
      <c r="C25" s="7"/>
      <c r="D25" s="7"/>
      <c r="E25" s="7"/>
      <c r="J25" s="7"/>
      <c r="K25" s="7"/>
      <c r="L25" s="7"/>
      <c r="M25" s="7"/>
      <c r="N25" s="7"/>
      <c r="O25" s="7"/>
      <c r="P25" s="7"/>
      <c r="Q25" s="7"/>
      <c r="R25" s="7"/>
      <c r="S25" s="7"/>
      <c r="T25" s="7"/>
    </row>
    <row r="26" spans="2:20" x14ac:dyDescent="0.2">
      <c r="B26" s="105"/>
      <c r="C26" s="140">
        <f>IFERROR(INDEX($O$18:$Q$19,MATCH(C24,$B$18:$B$19,0),MATCH(C22,$O$5:$Q$5,0)),"")</f>
        <v>1.3400000000000003</v>
      </c>
      <c r="D26" s="140">
        <f>IFERROR(INDEX($O$18:$Q$19,MATCH(D24,$B$18:$B$19,0),MATCH(D22,$O$5:$Q$5,0)),"")</f>
        <v>3.16</v>
      </c>
      <c r="E26" s="140">
        <f>IFERROR(INDEX($O$18:$Q$19,MATCH(E24,$B$18:$B$19,0),MATCH(E22,$O$5:$Q$5,0)),"")</f>
        <v>0.34499999999999997</v>
      </c>
      <c r="G26" s="171">
        <f>G39/$C$41</f>
        <v>-10.545440904316495</v>
      </c>
      <c r="H26" s="171">
        <f>H39/$C$41</f>
        <v>107.2641674586105</v>
      </c>
      <c r="I26" s="171">
        <f>I39/$C$41</f>
        <v>76.32642674936227</v>
      </c>
      <c r="J26" s="7"/>
      <c r="K26" s="7"/>
      <c r="L26" s="7"/>
      <c r="M26" s="7"/>
      <c r="N26" s="7"/>
      <c r="O26" s="7"/>
      <c r="P26" s="7"/>
      <c r="Q26" s="7"/>
      <c r="R26" s="7"/>
      <c r="S26" s="7"/>
      <c r="T26" s="7"/>
    </row>
    <row r="27" spans="2:20" x14ac:dyDescent="0.2">
      <c r="B27" s="7"/>
      <c r="C27" s="7"/>
      <c r="D27" s="7"/>
      <c r="E27" s="7"/>
      <c r="J27" s="7"/>
      <c r="K27" s="7"/>
      <c r="L27" s="7"/>
      <c r="M27" s="7"/>
      <c r="N27" s="7"/>
      <c r="O27" s="7"/>
      <c r="P27" s="7"/>
      <c r="Q27" s="7"/>
      <c r="R27" s="7"/>
      <c r="S27" s="7"/>
      <c r="T27" s="7"/>
    </row>
    <row r="28" spans="2:20" x14ac:dyDescent="0.2">
      <c r="B28" s="7" t="s">
        <v>45</v>
      </c>
      <c r="C28" s="131">
        <v>76694</v>
      </c>
      <c r="D28" s="7"/>
      <c r="E28" s="7"/>
      <c r="G28" s="171">
        <f>G40/$C$41</f>
        <v>138.22662932026213</v>
      </c>
      <c r="H28" s="171">
        <f>H40/$C$41</f>
        <v>133.32303806332214</v>
      </c>
      <c r="I28" s="171">
        <f>I40/$C$41</f>
        <v>121.39992747461611</v>
      </c>
      <c r="J28" s="7"/>
      <c r="K28" s="7"/>
      <c r="L28" s="7"/>
      <c r="M28" s="7"/>
      <c r="N28" s="7"/>
      <c r="O28" s="7"/>
      <c r="P28" s="7"/>
      <c r="Q28" s="7"/>
      <c r="R28" s="7"/>
      <c r="S28" s="7"/>
      <c r="T28" s="7"/>
    </row>
    <row r="29" spans="2:20" x14ac:dyDescent="0.2">
      <c r="B29" s="7" t="s">
        <v>46</v>
      </c>
      <c r="C29" s="131">
        <v>11085</v>
      </c>
      <c r="D29" s="7"/>
      <c r="E29" s="7"/>
      <c r="G29" s="7">
        <f>INDEX($O$20:$R$21,1,MATCH(G22,$O$5:$R$5,0))</f>
        <v>-1.8599999999999994</v>
      </c>
      <c r="H29" s="7">
        <f>INDEX($O$20:$R$21,1,MATCH(H22,$O$5:$R$5,0))</f>
        <v>2.69</v>
      </c>
      <c r="I29" s="7">
        <f>INDEX($O$20:$R$21,1,MATCH(I22,$O$5:$R$5,0))</f>
        <v>0.22749999999999998</v>
      </c>
      <c r="J29" s="7"/>
      <c r="K29" s="7"/>
      <c r="L29" s="7"/>
      <c r="M29" s="7"/>
      <c r="N29" s="7"/>
      <c r="O29" s="7"/>
      <c r="P29" s="7"/>
      <c r="Q29" s="7"/>
      <c r="R29" s="7"/>
      <c r="S29" s="7"/>
      <c r="T29" s="7"/>
    </row>
    <row r="30" spans="2:20" x14ac:dyDescent="0.2">
      <c r="B30" s="7" t="s">
        <v>47</v>
      </c>
      <c r="C30" s="131">
        <v>9295</v>
      </c>
      <c r="D30" s="7"/>
      <c r="E30" s="7"/>
      <c r="G30" s="7">
        <f>INDEX($O$20:$R$21,2,MATCH(G22,$O$5:$R$5,0))</f>
        <v>4.5400000000000018</v>
      </c>
      <c r="H30" s="7">
        <f>INDEX($O$20:$R$21,2,MATCH(H22,$O$5:$R$5,0))</f>
        <v>3.63</v>
      </c>
      <c r="I30" s="7">
        <f>INDEX($O$20:$R$21,2,MATCH(I22,$O$5:$R$5,0))</f>
        <v>0.46249999999999997</v>
      </c>
      <c r="J30" s="7"/>
      <c r="K30" s="7"/>
      <c r="L30" s="7"/>
      <c r="M30" s="7"/>
      <c r="N30" s="7"/>
      <c r="O30" s="7"/>
      <c r="P30" s="7"/>
      <c r="Q30" s="7"/>
      <c r="R30" s="7"/>
      <c r="S30" s="7"/>
      <c r="T30" s="7"/>
    </row>
    <row r="31" spans="2:20" x14ac:dyDescent="0.2">
      <c r="B31" s="7"/>
      <c r="C31" s="7"/>
      <c r="D31" s="7"/>
      <c r="E31" s="7"/>
      <c r="G31" s="132"/>
      <c r="H31" s="132"/>
      <c r="I31" s="132"/>
      <c r="J31" s="7"/>
      <c r="K31" s="7"/>
      <c r="L31" s="7"/>
      <c r="M31" s="7"/>
      <c r="N31" s="7"/>
      <c r="O31" s="7"/>
      <c r="P31" s="7"/>
      <c r="Q31" s="7"/>
      <c r="R31" s="7"/>
      <c r="S31" s="7"/>
      <c r="T31" s="7"/>
    </row>
    <row r="32" spans="2:20" x14ac:dyDescent="0.2">
      <c r="B32" s="108" t="s">
        <v>60</v>
      </c>
      <c r="C32" s="132">
        <f>IF(C22="Valuation/Sales",C26*$C$28,IF(C22="Valuation/EBITDA",C26*$C$29,IF(C22="Valuation/EBIT",C26*$C$30,"")))</f>
        <v>12455.300000000003</v>
      </c>
      <c r="D32" s="132">
        <f t="shared" ref="D32:E32" si="4">IF(D22="Valuation/Sales",D26*$C$28,IF(D22="Valuation/EBITDA",D26*$C$29,IF(D22="Valuation/EBIT",D26*$C$30,"")))</f>
        <v>35028.6</v>
      </c>
      <c r="E32" s="132">
        <f t="shared" si="4"/>
        <v>26459.429999999997</v>
      </c>
      <c r="G32" s="132">
        <f>IF(G$22="Valuation/Sales",G29*$C$28,IF(G$22="Valuation/EBITDA",G29*$C$29,IF(G$22="Valuation/EBIT",G29*$C$30)))</f>
        <v>-17288.699999999993</v>
      </c>
      <c r="H32" s="132">
        <f>IF(H$22="Valuation/Sales",H29*$C$28,IF(H$22="Valuation/EBITDA",H29*$C$29,IF(H$22="Valuation/EBIT",H29*$C$30)))</f>
        <v>29818.649999999998</v>
      </c>
      <c r="I32" s="132">
        <f>IF(I$22="Valuation/Sales",I29*$C$28,IF(I$22="Valuation/EBITDA",I29*$C$29,IF(I$22="Valuation/EBIT",I29*$C$30,"-")))</f>
        <v>17447.884999999998</v>
      </c>
      <c r="J32" s="7"/>
      <c r="K32" s="7"/>
      <c r="L32" s="7"/>
      <c r="M32" s="7"/>
      <c r="N32" s="7"/>
      <c r="O32" s="7"/>
      <c r="P32" s="7"/>
      <c r="Q32" s="7"/>
      <c r="R32" s="7"/>
      <c r="S32" s="7"/>
      <c r="T32" s="7"/>
    </row>
    <row r="33" spans="2:20" x14ac:dyDescent="0.2">
      <c r="B33" s="7"/>
      <c r="C33" s="7"/>
      <c r="D33" s="7"/>
      <c r="E33" s="7"/>
      <c r="G33" s="132">
        <f>IF(G$22="Valuation/Sales",G30*$C$28,IF(G$22="Valuation/EBITDA",G30*$C$29,IF(G$22="Valuation/EBIT",G30*$C$30)))</f>
        <v>42199.300000000017</v>
      </c>
      <c r="H33" s="132">
        <f>IF(H$22="Valuation/Sales",H30*$C$28,IF(H$22="Valuation/EBITDA",H30*$C$29,IF(H$22="Valuation/EBIT",H30*$C$30)))</f>
        <v>40238.549999999996</v>
      </c>
      <c r="I33" s="132">
        <f>IF(I$22="Valuation/Sales",I30*$C$28,IF(I$22="Valuation/EBITDA",I30*$C$29,IF(I$22="Valuation/EBIT",I30*$C$30,"-")))</f>
        <v>35470.974999999999</v>
      </c>
      <c r="J33" s="7"/>
      <c r="K33" s="7"/>
      <c r="L33" s="7"/>
      <c r="M33" s="7"/>
      <c r="N33" s="7"/>
      <c r="O33" s="7"/>
      <c r="P33" s="7"/>
      <c r="Q33" s="7"/>
      <c r="R33" s="7"/>
      <c r="S33" s="7"/>
      <c r="T33" s="7"/>
    </row>
    <row r="34" spans="2:20" x14ac:dyDescent="0.2">
      <c r="B34" s="75" t="s">
        <v>49</v>
      </c>
      <c r="C34" s="131">
        <v>-13067</v>
      </c>
      <c r="D34" s="7"/>
      <c r="E34" s="7"/>
      <c r="G34" s="7"/>
      <c r="H34" s="7"/>
      <c r="I34" s="7"/>
      <c r="J34" s="7"/>
      <c r="K34" s="7"/>
      <c r="L34" s="7"/>
      <c r="M34" s="7"/>
      <c r="N34" s="7"/>
      <c r="O34" s="7"/>
      <c r="P34" s="7"/>
      <c r="Q34" s="7"/>
      <c r="R34" s="7"/>
      <c r="S34" s="7"/>
      <c r="T34" s="7"/>
    </row>
    <row r="35" spans="2:20" x14ac:dyDescent="0.2">
      <c r="B35" s="75" t="s">
        <v>50</v>
      </c>
      <c r="C35" s="131">
        <v>0</v>
      </c>
      <c r="D35" s="7"/>
      <c r="E35" s="7"/>
      <c r="G35" s="7"/>
      <c r="H35" s="7"/>
      <c r="I35" s="7"/>
      <c r="J35" s="7"/>
      <c r="K35" s="7"/>
      <c r="L35" s="7"/>
      <c r="M35" s="7"/>
      <c r="N35" s="7"/>
      <c r="O35" s="7"/>
      <c r="P35" s="7"/>
      <c r="Q35" s="7"/>
      <c r="R35" s="7"/>
      <c r="S35" s="7"/>
      <c r="T35" s="7"/>
    </row>
    <row r="36" spans="2:20" x14ac:dyDescent="0.2">
      <c r="B36" s="75" t="s">
        <v>51</v>
      </c>
      <c r="C36" s="131">
        <v>5</v>
      </c>
      <c r="H36" s="7"/>
      <c r="I36" s="7"/>
    </row>
    <row r="37" spans="2:20" x14ac:dyDescent="0.2">
      <c r="B37" s="75"/>
      <c r="C37" s="7"/>
      <c r="G37" s="7"/>
      <c r="H37" s="7"/>
      <c r="I37" s="7"/>
    </row>
    <row r="38" spans="2:20" x14ac:dyDescent="0.2">
      <c r="B38" s="75"/>
      <c r="C38" s="7"/>
      <c r="G38" s="7"/>
      <c r="H38" s="7"/>
      <c r="I38" s="7"/>
    </row>
    <row r="39" spans="2:20" x14ac:dyDescent="0.2">
      <c r="B39" s="105" t="s">
        <v>61</v>
      </c>
      <c r="C39" s="130">
        <f>IFERROR(C32-$C$34-$C$35+$C$36,"")</f>
        <v>25527.300000000003</v>
      </c>
      <c r="D39" s="130">
        <f t="shared" ref="D39:E39" si="5">IFERROR(D32-$C$34-$C$35+$C$36,"")</f>
        <v>48100.6</v>
      </c>
      <c r="E39" s="130">
        <f t="shared" si="5"/>
        <v>39531.429999999993</v>
      </c>
      <c r="G39" s="130">
        <f t="shared" ref="G39:I40" si="6">G32-$C$34-$C$35+$C$36</f>
        <v>-4216.6999999999935</v>
      </c>
      <c r="H39" s="130">
        <f t="shared" si="6"/>
        <v>42890.649999999994</v>
      </c>
      <c r="I39" s="130">
        <f t="shared" si="6"/>
        <v>30519.884999999998</v>
      </c>
    </row>
    <row r="40" spans="2:20" x14ac:dyDescent="0.2">
      <c r="B40" s="7"/>
      <c r="C40" s="7"/>
      <c r="G40" s="130">
        <f t="shared" si="6"/>
        <v>55271.300000000017</v>
      </c>
      <c r="H40" s="130">
        <f t="shared" si="6"/>
        <v>53310.549999999996</v>
      </c>
      <c r="I40" s="130">
        <f t="shared" si="6"/>
        <v>48542.974999999999</v>
      </c>
    </row>
    <row r="41" spans="2:20" x14ac:dyDescent="0.2">
      <c r="B41" s="100" t="s">
        <v>53</v>
      </c>
      <c r="C41" s="73">
        <v>399.86</v>
      </c>
    </row>
    <row r="42" spans="2:20" x14ac:dyDescent="0.2">
      <c r="B42" s="7"/>
      <c r="C42" s="7"/>
    </row>
    <row r="43" spans="2:20" x14ac:dyDescent="0.2">
      <c r="B43" s="106" t="s">
        <v>54</v>
      </c>
      <c r="C43" s="106">
        <f>IFERROR(C39/$C$41,"")</f>
        <v>63.840594207972792</v>
      </c>
      <c r="D43" s="106">
        <f t="shared" ref="D43:E43" si="7">IFERROR(D39/$C$41,"")</f>
        <v>120.29360276096634</v>
      </c>
      <c r="E43" s="106">
        <f t="shared" si="7"/>
        <v>98.863177111989174</v>
      </c>
    </row>
    <row r="45" spans="2:20" x14ac:dyDescent="0.2">
      <c r="B45" s="215" t="s">
        <v>6</v>
      </c>
      <c r="C45" s="216">
        <f>AVERAGE(C43:E43)</f>
        <v>94.332458026976099</v>
      </c>
    </row>
    <row r="46" spans="2:20" x14ac:dyDescent="0.2">
      <c r="B46" s="215" t="s">
        <v>62</v>
      </c>
      <c r="C46" s="216">
        <f>MIN(C43:E43)</f>
        <v>63.840594207972792</v>
      </c>
    </row>
    <row r="47" spans="2:20" x14ac:dyDescent="0.2">
      <c r="B47" s="215" t="s">
        <v>63</v>
      </c>
      <c r="C47" s="216">
        <f>MAX(C43:E43)</f>
        <v>120.29360276096634</v>
      </c>
    </row>
    <row r="48" spans="2:20" x14ac:dyDescent="0.2">
      <c r="B48" s="215" t="s">
        <v>64</v>
      </c>
      <c r="C48" s="215" t="s">
        <v>6</v>
      </c>
    </row>
    <row r="49" spans="2:3" x14ac:dyDescent="0.2">
      <c r="B49" s="215" t="s">
        <v>54</v>
      </c>
      <c r="C49" s="216">
        <f>_xlfn.XLOOKUP(C48,B45:B47,C45:C47)</f>
        <v>94.332458026976099</v>
      </c>
    </row>
  </sheetData>
  <mergeCells count="12">
    <mergeCell ref="F9:G9"/>
    <mergeCell ref="F4:G4"/>
    <mergeCell ref="F5:G5"/>
    <mergeCell ref="F7:G7"/>
    <mergeCell ref="F8:G8"/>
    <mergeCell ref="F16:G16"/>
    <mergeCell ref="F10:G10"/>
    <mergeCell ref="F11:G11"/>
    <mergeCell ref="F12:G12"/>
    <mergeCell ref="F13:G13"/>
    <mergeCell ref="F14:G14"/>
    <mergeCell ref="F15:G15"/>
  </mergeCells>
  <dataValidations count="5">
    <dataValidation type="list" allowBlank="1" showInputMessage="1" showErrorMessage="1" sqref="C24:E24" xr:uid="{87ED6D18-B547-41D9-8483-272DA1FE3F5C}">
      <formula1>$B$18:$B$19</formula1>
    </dataValidation>
    <dataValidation type="list" allowBlank="1" showInputMessage="1" showErrorMessage="1" sqref="C22:E22" xr:uid="{D97B59A9-B6C9-4AAC-9DCB-E4E86DE52FA8}">
      <formula1>$J$5:$M$5</formula1>
    </dataValidation>
    <dataValidation type="list" allowBlank="1" showInputMessage="1" showErrorMessage="1" sqref="D19" xr:uid="{5B5D391B-D533-4263-82FB-35E2A1249C80}">
      <formula1>$V$4:$V$5</formula1>
    </dataValidation>
    <dataValidation type="list" allowBlank="1" showInputMessage="1" showErrorMessage="1" sqref="C48" xr:uid="{A5D446BF-B0D4-7047-9401-ECDF972CABE9}">
      <formula1>$B$45:$B$47</formula1>
    </dataValidation>
    <dataValidation type="list" allowBlank="1" showInputMessage="1" showErrorMessage="1" sqref="B6:C16" xr:uid="{25342F61-11DD-4472-87D7-71CBF5FE9B85}">
      <formula1>$U$4:$U$5</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C1295-0E9E-4BA4-BE2D-854F41DABD28}">
  <sheetPr codeName="Sheet5"/>
  <dimension ref="A2:AM61"/>
  <sheetViews>
    <sheetView showGridLines="0" zoomScale="69" zoomScaleNormal="110" workbookViewId="0">
      <selection activeCell="C30" sqref="C30"/>
    </sheetView>
  </sheetViews>
  <sheetFormatPr baseColWidth="10" defaultColWidth="8.6640625" defaultRowHeight="16" x14ac:dyDescent="0.2"/>
  <cols>
    <col min="1" max="1" width="48.5" style="1" customWidth="1"/>
    <col min="2" max="2" width="24.83203125" style="1" customWidth="1"/>
    <col min="3" max="3" width="14.1640625" style="1" customWidth="1"/>
    <col min="4" max="4" width="14.6640625" style="1" bestFit="1" customWidth="1"/>
    <col min="5" max="5" width="15" style="1" bestFit="1" customWidth="1"/>
    <col min="6" max="6" width="4.5" style="1" customWidth="1"/>
    <col min="7" max="7" width="13.6640625" style="1" bestFit="1" customWidth="1"/>
    <col min="8" max="8" width="15" style="1" bestFit="1" customWidth="1"/>
    <col min="9" max="9" width="10.5" style="1" bestFit="1" customWidth="1"/>
    <col min="10" max="10" width="25.83203125" style="1" customWidth="1"/>
    <col min="11" max="11" width="9.5" style="1" bestFit="1" customWidth="1"/>
    <col min="12" max="12" width="18.5" style="1" customWidth="1"/>
    <col min="13" max="13" width="13.6640625" style="1" bestFit="1" customWidth="1"/>
    <col min="14" max="14" width="12.5" style="1" customWidth="1"/>
    <col min="15" max="16" width="13.6640625" style="1" bestFit="1" customWidth="1"/>
    <col min="17" max="18" width="8.83203125" style="1" customWidth="1"/>
    <col min="19" max="19" width="8.83203125" style="1" bestFit="1" customWidth="1"/>
    <col min="20" max="20" width="17.1640625" style="1" customWidth="1"/>
    <col min="21" max="21" width="8.83203125" style="1" bestFit="1" customWidth="1"/>
    <col min="22" max="22" width="16.5" style="1" customWidth="1"/>
    <col min="23" max="23" width="12.83203125" style="1" bestFit="1" customWidth="1"/>
    <col min="24" max="24" width="13.5" style="1" customWidth="1"/>
    <col min="25" max="25" width="12.5" style="1" customWidth="1"/>
    <col min="26" max="26" width="11.6640625" style="1" customWidth="1"/>
    <col min="27" max="16384" width="8.6640625" style="1"/>
  </cols>
  <sheetData>
    <row r="2" spans="1:39" x14ac:dyDescent="0.2">
      <c r="A2" s="4" t="s">
        <v>66</v>
      </c>
      <c r="B2" s="69"/>
      <c r="C2" s="2"/>
      <c r="D2" s="2"/>
      <c r="E2" s="2"/>
      <c r="F2" s="2"/>
      <c r="G2" s="2"/>
      <c r="H2" s="2"/>
      <c r="I2" s="2"/>
      <c r="J2" s="2"/>
      <c r="K2" s="2"/>
      <c r="L2" s="69"/>
      <c r="M2" s="69"/>
      <c r="N2" s="69"/>
      <c r="O2" s="69"/>
      <c r="P2" s="69"/>
      <c r="Q2" s="69"/>
      <c r="R2" s="69"/>
      <c r="S2" s="69"/>
      <c r="T2" s="69"/>
      <c r="U2" s="69"/>
      <c r="V2" s="69"/>
      <c r="W2" s="69"/>
    </row>
    <row r="3" spans="1:39" x14ac:dyDescent="0.2">
      <c r="M3" s="79"/>
      <c r="N3" s="79"/>
      <c r="AL3" s="1" t="s">
        <v>5</v>
      </c>
      <c r="AM3" s="1" t="s">
        <v>6</v>
      </c>
    </row>
    <row r="4" spans="1:39" x14ac:dyDescent="0.2">
      <c r="A4" s="81"/>
      <c r="B4" s="133" t="s">
        <v>67</v>
      </c>
      <c r="C4" s="70"/>
      <c r="D4" s="88" t="s">
        <v>68</v>
      </c>
      <c r="E4" s="70"/>
      <c r="F4" s="81"/>
      <c r="G4" s="70"/>
      <c r="H4" s="88" t="s">
        <v>69</v>
      </c>
      <c r="I4" s="70"/>
      <c r="J4" s="81"/>
      <c r="K4" s="70"/>
      <c r="L4" s="88"/>
      <c r="M4" s="82"/>
      <c r="N4" s="266" t="s">
        <v>2</v>
      </c>
      <c r="O4" s="82"/>
      <c r="P4" s="82"/>
      <c r="Q4" s="82"/>
      <c r="R4" s="265"/>
      <c r="S4" s="280" t="s">
        <v>4</v>
      </c>
      <c r="T4" s="280"/>
      <c r="U4" s="280"/>
      <c r="V4" s="280"/>
      <c r="W4" s="280"/>
      <c r="X4" s="280"/>
      <c r="Y4" s="280"/>
      <c r="AL4" s="1" t="s">
        <v>15</v>
      </c>
      <c r="AM4" s="1" t="s">
        <v>16</v>
      </c>
    </row>
    <row r="5" spans="1:39" x14ac:dyDescent="0.2">
      <c r="A5" s="81"/>
      <c r="B5" s="265"/>
      <c r="C5" s="81" t="s">
        <v>70</v>
      </c>
      <c r="D5" s="81" t="s">
        <v>71</v>
      </c>
      <c r="E5" s="81" t="s">
        <v>72</v>
      </c>
      <c r="F5" s="81"/>
      <c r="G5" s="81" t="s">
        <v>73</v>
      </c>
      <c r="H5" s="81" t="s">
        <v>74</v>
      </c>
      <c r="I5" s="81" t="s">
        <v>75</v>
      </c>
      <c r="J5" s="81"/>
      <c r="K5" s="81" t="s">
        <v>76</v>
      </c>
      <c r="L5" s="81" t="s">
        <v>77</v>
      </c>
      <c r="M5" s="81" t="s">
        <v>78</v>
      </c>
      <c r="N5" s="81" t="s">
        <v>79</v>
      </c>
      <c r="O5" s="81" t="s">
        <v>80</v>
      </c>
      <c r="P5" s="81" t="s">
        <v>81</v>
      </c>
      <c r="Q5" s="81" t="s">
        <v>82</v>
      </c>
      <c r="R5" s="265"/>
      <c r="S5" s="81" t="s">
        <v>76</v>
      </c>
      <c r="T5" s="81" t="s">
        <v>77</v>
      </c>
      <c r="U5" s="81" t="s">
        <v>78</v>
      </c>
      <c r="V5" s="81" t="s">
        <v>79</v>
      </c>
      <c r="W5" s="81" t="s">
        <v>80</v>
      </c>
      <c r="X5" s="81" t="s">
        <v>81</v>
      </c>
      <c r="Y5" s="81" t="s">
        <v>82</v>
      </c>
    </row>
    <row r="6" spans="1:39" x14ac:dyDescent="0.2">
      <c r="A6" s="133" t="s">
        <v>83</v>
      </c>
      <c r="B6" s="265"/>
      <c r="C6" s="267" t="s">
        <v>84</v>
      </c>
      <c r="D6" s="267" t="s">
        <v>85</v>
      </c>
      <c r="E6" s="267" t="s">
        <v>85</v>
      </c>
      <c r="F6" s="267"/>
      <c r="G6" s="267" t="s">
        <v>85</v>
      </c>
      <c r="H6" s="267" t="s">
        <v>85</v>
      </c>
      <c r="I6" s="267" t="s">
        <v>85</v>
      </c>
      <c r="J6" s="267"/>
      <c r="K6" s="265"/>
      <c r="L6" s="265"/>
      <c r="M6" s="265"/>
      <c r="N6" s="265"/>
      <c r="O6" s="265"/>
      <c r="P6" s="265"/>
      <c r="Q6" s="265"/>
      <c r="R6" s="265"/>
      <c r="S6" s="265"/>
      <c r="T6" s="265"/>
      <c r="U6" s="265"/>
      <c r="V6" s="265"/>
      <c r="W6" s="265"/>
      <c r="X6" s="265"/>
      <c r="Y6" s="265"/>
    </row>
    <row r="7" spans="1:39" x14ac:dyDescent="0.2">
      <c r="A7" s="75" t="s">
        <v>86</v>
      </c>
      <c r="B7" s="75" t="s">
        <v>15</v>
      </c>
      <c r="C7" s="268">
        <v>70.522262999999995</v>
      </c>
      <c r="D7" s="269">
        <v>27478.960738999998</v>
      </c>
      <c r="E7" s="269">
        <v>-4077.0848350000001</v>
      </c>
      <c r="F7" s="269"/>
      <c r="G7" s="269">
        <v>77792.925231000001</v>
      </c>
      <c r="H7" s="269">
        <v>11044.40942</v>
      </c>
      <c r="I7" s="269">
        <v>7175.8</v>
      </c>
      <c r="J7" s="75"/>
      <c r="K7" s="135">
        <f t="shared" ref="K7:K25" si="0">E7/G7</f>
        <v>-5.240945526721634E-2</v>
      </c>
      <c r="L7" s="135">
        <v>-0.36915399999999998</v>
      </c>
      <c r="M7" s="135">
        <v>-0.44157200000000002</v>
      </c>
      <c r="N7" s="135">
        <v>0.68468700000000005</v>
      </c>
      <c r="O7" s="135">
        <v>3.8269510000000002</v>
      </c>
      <c r="P7" s="135">
        <v>5.2349389999999998</v>
      </c>
      <c r="Q7" s="135">
        <v>0.35175899999999999</v>
      </c>
      <c r="R7" s="135"/>
      <c r="S7" s="135" t="str">
        <f t="shared" ref="S7:S25" si="1">IF($B7="No","",K7)</f>
        <v/>
      </c>
      <c r="T7" s="135" t="str">
        <f t="shared" ref="T7:T25" si="2">IF($B7="No","",L7)</f>
        <v/>
      </c>
      <c r="U7" s="135" t="str">
        <f t="shared" ref="U7:U25" si="3">IF($B7="No","",M7)</f>
        <v/>
      </c>
      <c r="V7" s="135" t="str">
        <f t="shared" ref="V7:V25" si="4">IF($B7="No","",N7)</f>
        <v/>
      </c>
      <c r="W7" s="135" t="str">
        <f t="shared" ref="W7:W25" si="5">IF($B7="No","",O7)</f>
        <v/>
      </c>
      <c r="X7" s="135" t="str">
        <f t="shared" ref="X7:X25" si="6">IF($B7="No","",P7)</f>
        <v/>
      </c>
      <c r="Y7" s="135" t="str">
        <f t="shared" ref="Y7:Y25" si="7">IF($B7="No","",Q7)</f>
        <v/>
      </c>
    </row>
    <row r="8" spans="1:39" x14ac:dyDescent="0.2">
      <c r="A8" s="75" t="s">
        <v>87</v>
      </c>
      <c r="B8" s="75" t="s">
        <v>5</v>
      </c>
      <c r="C8" s="268">
        <v>12.843427</v>
      </c>
      <c r="D8" s="269">
        <v>38524.963294000001</v>
      </c>
      <c r="E8" s="269">
        <v>20350.198108000001</v>
      </c>
      <c r="F8" s="269"/>
      <c r="G8" s="269">
        <v>190508.777868</v>
      </c>
      <c r="H8" s="269">
        <v>26413.869640000001</v>
      </c>
      <c r="I8" s="269">
        <v>14377.4</v>
      </c>
      <c r="J8" s="75"/>
      <c r="K8" s="135">
        <f t="shared" si="0"/>
        <v>0.10682026484942481</v>
      </c>
      <c r="L8" s="135">
        <v>0.77043600000000001</v>
      </c>
      <c r="M8" s="135">
        <v>1.1056859999999999</v>
      </c>
      <c r="N8" s="135">
        <v>0.42960999999999999</v>
      </c>
      <c r="O8" s="135">
        <v>2.7099730000000002</v>
      </c>
      <c r="P8" s="135">
        <v>14.131588000000001</v>
      </c>
      <c r="Q8" s="135">
        <v>0.20307900000000001</v>
      </c>
      <c r="R8" s="135"/>
      <c r="S8" s="135">
        <f t="shared" si="1"/>
        <v>0.10682026484942481</v>
      </c>
      <c r="T8" s="135">
        <f t="shared" si="2"/>
        <v>0.77043600000000001</v>
      </c>
      <c r="U8" s="135">
        <f t="shared" si="3"/>
        <v>1.1056859999999999</v>
      </c>
      <c r="V8" s="135">
        <f t="shared" si="4"/>
        <v>0.42960999999999999</v>
      </c>
      <c r="W8" s="135">
        <f t="shared" si="5"/>
        <v>2.7099730000000002</v>
      </c>
      <c r="X8" s="135">
        <f t="shared" si="6"/>
        <v>14.131588000000001</v>
      </c>
      <c r="Y8" s="135">
        <f t="shared" si="7"/>
        <v>0.20307900000000001</v>
      </c>
    </row>
    <row r="9" spans="1:39" x14ac:dyDescent="0.2">
      <c r="A9" s="75" t="s">
        <v>88</v>
      </c>
      <c r="B9" s="75" t="s">
        <v>5</v>
      </c>
      <c r="C9" s="268">
        <v>4.2629669999999997</v>
      </c>
      <c r="D9" s="269">
        <v>85.419619999999995</v>
      </c>
      <c r="E9" s="269">
        <v>-156.07834600000001</v>
      </c>
      <c r="F9" s="269"/>
      <c r="G9" s="269">
        <v>630.44802600000003</v>
      </c>
      <c r="H9" s="269">
        <v>43.638959999999997</v>
      </c>
      <c r="I9" s="269">
        <v>30.2</v>
      </c>
      <c r="J9" s="270"/>
      <c r="K9" s="135">
        <f t="shared" si="0"/>
        <v>-0.24756734824005938</v>
      </c>
      <c r="L9" s="135">
        <v>-3.5765829999999998</v>
      </c>
      <c r="M9" s="135">
        <v>-5.2752270000000001</v>
      </c>
      <c r="N9" s="135">
        <v>0.23741000000000001</v>
      </c>
      <c r="O9" s="135">
        <v>2.8156970000000001</v>
      </c>
      <c r="P9" s="135">
        <v>1.6692119999999999</v>
      </c>
      <c r="Q9" s="135">
        <v>0.13508800000000001</v>
      </c>
      <c r="R9" s="135"/>
      <c r="S9" s="135">
        <f t="shared" si="1"/>
        <v>-0.24756734824005938</v>
      </c>
      <c r="T9" s="135">
        <f t="shared" si="2"/>
        <v>-3.5765829999999998</v>
      </c>
      <c r="U9" s="135">
        <f t="shared" si="3"/>
        <v>-5.2752270000000001</v>
      </c>
      <c r="V9" s="135">
        <f t="shared" si="4"/>
        <v>0.23741000000000001</v>
      </c>
      <c r="W9" s="135">
        <f t="shared" si="5"/>
        <v>2.8156970000000001</v>
      </c>
      <c r="X9" s="135">
        <f t="shared" si="6"/>
        <v>1.6692119999999999</v>
      </c>
      <c r="Y9" s="135">
        <f t="shared" si="7"/>
        <v>0.13508800000000001</v>
      </c>
    </row>
    <row r="10" spans="1:39" x14ac:dyDescent="0.2">
      <c r="A10" s="75" t="s">
        <v>89</v>
      </c>
      <c r="B10" s="75" t="s">
        <v>15</v>
      </c>
      <c r="C10" s="268">
        <v>15.980589999999999</v>
      </c>
      <c r="D10" s="269">
        <v>11678.808265</v>
      </c>
      <c r="E10" s="269">
        <v>7971.2488430000003</v>
      </c>
      <c r="F10" s="269"/>
      <c r="G10" s="269">
        <v>31624.287984999999</v>
      </c>
      <c r="H10" s="269">
        <v>4931.4578099999999</v>
      </c>
      <c r="I10" s="269">
        <v>2641.1</v>
      </c>
      <c r="J10" s="270"/>
      <c r="K10" s="135">
        <f t="shared" si="0"/>
        <v>0.25206097436188651</v>
      </c>
      <c r="L10" s="135">
        <v>1.6164080000000001</v>
      </c>
      <c r="M10" s="135">
        <v>2.3048380000000002</v>
      </c>
      <c r="N10" s="135">
        <v>0.65295700000000001</v>
      </c>
      <c r="O10" s="135">
        <v>4.4853170000000002</v>
      </c>
      <c r="P10" s="135">
        <v>3.258839</v>
      </c>
      <c r="Q10" s="135">
        <v>0.36976399999999998</v>
      </c>
      <c r="R10" s="135"/>
      <c r="S10" s="135" t="str">
        <f t="shared" si="1"/>
        <v/>
      </c>
      <c r="T10" s="135" t="str">
        <f t="shared" si="2"/>
        <v/>
      </c>
      <c r="U10" s="135" t="str">
        <f t="shared" si="3"/>
        <v/>
      </c>
      <c r="V10" s="135" t="str">
        <f t="shared" si="4"/>
        <v/>
      </c>
      <c r="W10" s="135" t="str">
        <f t="shared" si="5"/>
        <v/>
      </c>
      <c r="X10" s="135" t="str">
        <f t="shared" si="6"/>
        <v/>
      </c>
      <c r="Y10" s="135" t="str">
        <f t="shared" si="7"/>
        <v/>
      </c>
    </row>
    <row r="11" spans="1:39" x14ac:dyDescent="0.2">
      <c r="A11" s="75" t="s">
        <v>90</v>
      </c>
      <c r="B11" s="75" t="s">
        <v>15</v>
      </c>
      <c r="C11" s="268">
        <v>2.695459</v>
      </c>
      <c r="D11" s="269">
        <v>9322.5366639999993</v>
      </c>
      <c r="E11" s="269">
        <v>54566.909749999999</v>
      </c>
      <c r="F11" s="269"/>
      <c r="G11" s="269">
        <v>83831.750505999997</v>
      </c>
      <c r="H11" s="269">
        <v>6308.6386499999999</v>
      </c>
      <c r="I11" s="269">
        <v>995.2</v>
      </c>
      <c r="J11" s="270"/>
      <c r="K11" s="135">
        <f t="shared" si="0"/>
        <v>0.65090982140584719</v>
      </c>
      <c r="L11" s="135">
        <v>8.6495540000000002</v>
      </c>
      <c r="M11" s="135">
        <v>30.978787000000001</v>
      </c>
      <c r="N11" s="135">
        <v>0.24192</v>
      </c>
      <c r="O11" s="135">
        <v>10.078108</v>
      </c>
      <c r="P11" s="135" t="s">
        <v>91</v>
      </c>
      <c r="Q11" s="135">
        <v>0.11645999999999999</v>
      </c>
      <c r="R11" s="135"/>
      <c r="S11" s="135" t="str">
        <f t="shared" si="1"/>
        <v/>
      </c>
      <c r="T11" s="135" t="str">
        <f t="shared" si="2"/>
        <v/>
      </c>
      <c r="U11" s="135" t="str">
        <f t="shared" si="3"/>
        <v/>
      </c>
      <c r="V11" s="135" t="str">
        <f t="shared" si="4"/>
        <v/>
      </c>
      <c r="W11" s="135" t="str">
        <f t="shared" si="5"/>
        <v/>
      </c>
      <c r="X11" s="135" t="str">
        <f t="shared" si="6"/>
        <v/>
      </c>
      <c r="Y11" s="135" t="str">
        <f t="shared" si="7"/>
        <v/>
      </c>
    </row>
    <row r="12" spans="1:39" x14ac:dyDescent="0.2">
      <c r="A12" s="75" t="s">
        <v>92</v>
      </c>
      <c r="B12" s="75" t="s">
        <v>15</v>
      </c>
      <c r="C12" s="268">
        <v>10.73</v>
      </c>
      <c r="D12" s="269">
        <v>43510.046602000002</v>
      </c>
      <c r="E12" s="269">
        <v>158157.04610199999</v>
      </c>
      <c r="F12" s="269"/>
      <c r="G12" s="269">
        <v>182743</v>
      </c>
      <c r="H12" s="269">
        <v>9625</v>
      </c>
      <c r="I12" s="269">
        <v>3529</v>
      </c>
      <c r="J12" s="270"/>
      <c r="K12" s="135">
        <f t="shared" si="0"/>
        <v>0.86546158321796185</v>
      </c>
      <c r="L12" s="135">
        <v>16.431901</v>
      </c>
      <c r="M12" s="135">
        <v>45.058987000000002</v>
      </c>
      <c r="N12" s="135">
        <v>0.96857300000000002</v>
      </c>
      <c r="O12" s="135">
        <v>12.317518</v>
      </c>
      <c r="P12" s="135">
        <v>6.7740239999999998</v>
      </c>
      <c r="Q12" s="135">
        <v>0.23746100000000001</v>
      </c>
      <c r="R12" s="135"/>
      <c r="S12" s="135" t="str">
        <f t="shared" si="1"/>
        <v/>
      </c>
      <c r="T12" s="135" t="str">
        <f t="shared" si="2"/>
        <v/>
      </c>
      <c r="U12" s="135" t="str">
        <f t="shared" si="3"/>
        <v/>
      </c>
      <c r="V12" s="135" t="str">
        <f t="shared" si="4"/>
        <v/>
      </c>
      <c r="W12" s="135" t="str">
        <f t="shared" si="5"/>
        <v/>
      </c>
      <c r="X12" s="135" t="str">
        <f t="shared" si="6"/>
        <v/>
      </c>
      <c r="Y12" s="135" t="str">
        <f t="shared" si="7"/>
        <v/>
      </c>
    </row>
    <row r="13" spans="1:39" x14ac:dyDescent="0.2">
      <c r="A13" s="75" t="s">
        <v>31</v>
      </c>
      <c r="B13" s="75" t="s">
        <v>5</v>
      </c>
      <c r="C13" s="268">
        <v>54.869999</v>
      </c>
      <c r="D13" s="269">
        <v>62524.136741000002</v>
      </c>
      <c r="E13" s="269">
        <v>41995.137140999999</v>
      </c>
      <c r="F13" s="269"/>
      <c r="G13" s="269">
        <v>182718</v>
      </c>
      <c r="H13" s="269">
        <v>24334</v>
      </c>
      <c r="I13" s="269">
        <v>11072</v>
      </c>
      <c r="J13" s="270"/>
      <c r="K13" s="135">
        <f t="shared" si="0"/>
        <v>0.22983579691655995</v>
      </c>
      <c r="L13" s="135">
        <v>1.7257800000000001</v>
      </c>
      <c r="M13" s="135">
        <v>3.4481600000000001</v>
      </c>
      <c r="N13" s="135">
        <v>0.86343800000000004</v>
      </c>
      <c r="O13" s="135">
        <v>5.9440189999999999</v>
      </c>
      <c r="P13" s="135" t="s">
        <v>91</v>
      </c>
      <c r="Q13" s="135">
        <v>0.34465200000000001</v>
      </c>
      <c r="R13" s="135"/>
      <c r="S13" s="135">
        <f t="shared" si="1"/>
        <v>0.22983579691655995</v>
      </c>
      <c r="T13" s="135">
        <f t="shared" si="2"/>
        <v>1.7257800000000001</v>
      </c>
      <c r="U13" s="135">
        <f t="shared" si="3"/>
        <v>3.4481600000000001</v>
      </c>
      <c r="V13" s="135">
        <f t="shared" si="4"/>
        <v>0.86343800000000004</v>
      </c>
      <c r="W13" s="135">
        <f t="shared" si="5"/>
        <v>5.9440189999999999</v>
      </c>
      <c r="X13" s="135" t="str">
        <f t="shared" si="6"/>
        <v>-</v>
      </c>
      <c r="Y13" s="135">
        <f t="shared" si="7"/>
        <v>0.34465200000000001</v>
      </c>
    </row>
    <row r="14" spans="1:39" x14ac:dyDescent="0.2">
      <c r="A14" s="75" t="s">
        <v>93</v>
      </c>
      <c r="B14" s="75" t="s">
        <v>15</v>
      </c>
      <c r="C14" s="268">
        <v>88.635208000000006</v>
      </c>
      <c r="D14" s="269">
        <v>43892.235225999997</v>
      </c>
      <c r="E14" s="269">
        <v>219041.011</v>
      </c>
      <c r="F14" s="269"/>
      <c r="G14" s="269">
        <v>351702.530799</v>
      </c>
      <c r="H14" s="269">
        <v>58907.951780000003</v>
      </c>
      <c r="I14" s="269">
        <v>13281.8</v>
      </c>
      <c r="J14" s="270"/>
      <c r="K14" s="135">
        <f t="shared" si="0"/>
        <v>0.62280191871915525</v>
      </c>
      <c r="L14" s="135">
        <v>3.7183609999999998</v>
      </c>
      <c r="M14" s="135">
        <v>7.8487650000000002</v>
      </c>
      <c r="N14" s="135">
        <v>0.241623</v>
      </c>
      <c r="O14" s="135">
        <v>3.3160099999999999</v>
      </c>
      <c r="P14" s="135" t="s">
        <v>91</v>
      </c>
      <c r="Q14" s="135">
        <v>0.125247</v>
      </c>
      <c r="R14" s="135"/>
      <c r="S14" s="135" t="str">
        <f t="shared" si="1"/>
        <v/>
      </c>
      <c r="T14" s="135" t="str">
        <f t="shared" si="2"/>
        <v/>
      </c>
      <c r="U14" s="135" t="str">
        <f t="shared" si="3"/>
        <v/>
      </c>
      <c r="V14" s="135" t="str">
        <f t="shared" si="4"/>
        <v/>
      </c>
      <c r="W14" s="135" t="str">
        <f t="shared" si="5"/>
        <v/>
      </c>
      <c r="X14" s="135" t="str">
        <f t="shared" si="6"/>
        <v/>
      </c>
      <c r="Y14" s="135" t="str">
        <f t="shared" si="7"/>
        <v/>
      </c>
    </row>
    <row r="15" spans="1:39" x14ac:dyDescent="0.2">
      <c r="A15" s="75" t="s">
        <v>17</v>
      </c>
      <c r="B15" s="75" t="s">
        <v>5</v>
      </c>
      <c r="C15" s="268">
        <v>6.465503</v>
      </c>
      <c r="D15" s="269">
        <v>4075.85385</v>
      </c>
      <c r="E15" s="269">
        <v>1857.208498</v>
      </c>
      <c r="F15" s="269"/>
      <c r="G15" s="269">
        <v>32612.932260000001</v>
      </c>
      <c r="H15" s="269">
        <v>2258.9489600000002</v>
      </c>
      <c r="I15" s="269">
        <v>897</v>
      </c>
      <c r="J15" s="270"/>
      <c r="K15" s="135">
        <f t="shared" si="0"/>
        <v>5.69469952347057E-2</v>
      </c>
      <c r="L15" s="135">
        <v>0.822156</v>
      </c>
      <c r="M15" s="135">
        <v>1.2471479999999999</v>
      </c>
      <c r="N15" s="135">
        <v>0.343086</v>
      </c>
      <c r="O15" s="135">
        <v>4.576435</v>
      </c>
      <c r="P15" s="135">
        <v>2.8295870000000001</v>
      </c>
      <c r="Q15" s="135">
        <v>0.12593299999999999</v>
      </c>
      <c r="R15" s="135"/>
      <c r="S15" s="135">
        <f t="shared" si="1"/>
        <v>5.69469952347057E-2</v>
      </c>
      <c r="T15" s="135">
        <f t="shared" si="2"/>
        <v>0.822156</v>
      </c>
      <c r="U15" s="135">
        <f t="shared" si="3"/>
        <v>1.2471479999999999</v>
      </c>
      <c r="V15" s="135">
        <f t="shared" si="4"/>
        <v>0.343086</v>
      </c>
      <c r="W15" s="135">
        <f t="shared" si="5"/>
        <v>4.576435</v>
      </c>
      <c r="X15" s="135">
        <f t="shared" si="6"/>
        <v>2.8295870000000001</v>
      </c>
      <c r="Y15" s="135">
        <f t="shared" si="7"/>
        <v>0.12593299999999999</v>
      </c>
    </row>
    <row r="16" spans="1:39" x14ac:dyDescent="0.2">
      <c r="A16" s="75" t="s">
        <v>40</v>
      </c>
      <c r="B16" s="75" t="s">
        <v>5</v>
      </c>
      <c r="C16" s="268">
        <v>9.2802039999999995</v>
      </c>
      <c r="D16" s="269">
        <v>34188.410653999999</v>
      </c>
      <c r="E16" s="269">
        <v>40226.876672999999</v>
      </c>
      <c r="F16" s="269"/>
      <c r="G16" s="269">
        <v>52778.378338000002</v>
      </c>
      <c r="H16" s="269">
        <v>7136.8734999999997</v>
      </c>
      <c r="I16" s="269">
        <v>3998.8</v>
      </c>
      <c r="J16" s="270"/>
      <c r="K16" s="135">
        <f t="shared" si="0"/>
        <v>0.76218477982369104</v>
      </c>
      <c r="L16" s="135">
        <v>5.6364840000000003</v>
      </c>
      <c r="M16" s="135">
        <v>10.186389</v>
      </c>
      <c r="N16" s="135">
        <v>2.929065</v>
      </c>
      <c r="O16" s="135">
        <v>8.8334499999999991</v>
      </c>
      <c r="P16" s="135" t="s">
        <v>91</v>
      </c>
      <c r="Q16" s="135">
        <v>0.66928399999999999</v>
      </c>
      <c r="R16" s="135"/>
      <c r="S16" s="135">
        <f t="shared" si="1"/>
        <v>0.76218477982369104</v>
      </c>
      <c r="T16" s="135">
        <f t="shared" si="2"/>
        <v>5.6364840000000003</v>
      </c>
      <c r="U16" s="135">
        <f t="shared" si="3"/>
        <v>10.186389</v>
      </c>
      <c r="V16" s="135">
        <f t="shared" si="4"/>
        <v>2.929065</v>
      </c>
      <c r="W16" s="135">
        <f t="shared" si="5"/>
        <v>8.8334499999999991</v>
      </c>
      <c r="X16" s="135" t="str">
        <f t="shared" si="6"/>
        <v>-</v>
      </c>
      <c r="Y16" s="135">
        <f t="shared" si="7"/>
        <v>0.66928399999999999</v>
      </c>
    </row>
    <row r="17" spans="1:25" x14ac:dyDescent="0.2">
      <c r="A17" s="75" t="s">
        <v>94</v>
      </c>
      <c r="B17" s="75" t="s">
        <v>15</v>
      </c>
      <c r="C17" s="268">
        <v>17.343101999999998</v>
      </c>
      <c r="D17" s="269">
        <v>233613.113515</v>
      </c>
      <c r="E17" s="269">
        <v>405363.93115399999</v>
      </c>
      <c r="F17" s="269"/>
      <c r="G17" s="269">
        <v>308526.803617</v>
      </c>
      <c r="H17" s="269">
        <v>49560.741730000002</v>
      </c>
      <c r="I17" s="269">
        <v>28345.7</v>
      </c>
      <c r="J17" s="75"/>
      <c r="K17" s="135">
        <f t="shared" si="0"/>
        <v>1.3138694155636863</v>
      </c>
      <c r="L17" s="135">
        <v>8.1791339999999995</v>
      </c>
      <c r="M17" s="135">
        <v>11.593786</v>
      </c>
      <c r="N17" s="135">
        <v>0.948465</v>
      </c>
      <c r="O17" s="135">
        <v>8.2266729999999999</v>
      </c>
      <c r="P17" s="135" t="s">
        <v>91</v>
      </c>
      <c r="Q17" s="135">
        <v>0.74675499999999995</v>
      </c>
      <c r="R17" s="135"/>
      <c r="S17" s="135" t="str">
        <f t="shared" si="1"/>
        <v/>
      </c>
      <c r="T17" s="135" t="str">
        <f t="shared" si="2"/>
        <v/>
      </c>
      <c r="U17" s="135" t="str">
        <f t="shared" si="3"/>
        <v/>
      </c>
      <c r="V17" s="135" t="str">
        <f t="shared" si="4"/>
        <v/>
      </c>
      <c r="W17" s="135" t="str">
        <f t="shared" si="5"/>
        <v/>
      </c>
      <c r="X17" s="135" t="str">
        <f t="shared" si="6"/>
        <v/>
      </c>
      <c r="Y17" s="135" t="str">
        <f t="shared" si="7"/>
        <v/>
      </c>
    </row>
    <row r="18" spans="1:25" x14ac:dyDescent="0.2">
      <c r="A18" s="75" t="s">
        <v>95</v>
      </c>
      <c r="B18" s="75" t="s">
        <v>5</v>
      </c>
      <c r="C18" s="268">
        <v>8.7695620000000005</v>
      </c>
      <c r="D18" s="269">
        <v>42288.086186</v>
      </c>
      <c r="E18" s="269">
        <v>77479.882830999995</v>
      </c>
      <c r="F18" s="269"/>
      <c r="G18" s="269">
        <v>143749.636902</v>
      </c>
      <c r="H18" s="269">
        <v>19953.022870000001</v>
      </c>
      <c r="I18" s="269">
        <v>6553.8</v>
      </c>
      <c r="J18" s="75"/>
      <c r="K18" s="135">
        <f t="shared" si="0"/>
        <v>0.53899185069817734</v>
      </c>
      <c r="L18" s="135">
        <v>3.8831150000000001</v>
      </c>
      <c r="M18" s="135">
        <v>8.1591749999999994</v>
      </c>
      <c r="N18" s="135">
        <v>0.47126699999999999</v>
      </c>
      <c r="O18" s="135">
        <v>6.4187690000000002</v>
      </c>
      <c r="P18" s="135">
        <v>916.59004100000004</v>
      </c>
      <c r="Q18" s="135">
        <v>0.28400399999999998</v>
      </c>
      <c r="R18" s="135"/>
      <c r="S18" s="135">
        <f t="shared" si="1"/>
        <v>0.53899185069817734</v>
      </c>
      <c r="T18" s="135">
        <f t="shared" si="2"/>
        <v>3.8831150000000001</v>
      </c>
      <c r="U18" s="135">
        <f t="shared" si="3"/>
        <v>8.1591749999999994</v>
      </c>
      <c r="V18" s="135">
        <f t="shared" si="4"/>
        <v>0.47126699999999999</v>
      </c>
      <c r="W18" s="135">
        <f t="shared" si="5"/>
        <v>6.4187690000000002</v>
      </c>
      <c r="X18" s="135">
        <f t="shared" si="6"/>
        <v>916.59004100000004</v>
      </c>
      <c r="Y18" s="135">
        <f t="shared" si="7"/>
        <v>0.28400399999999998</v>
      </c>
    </row>
    <row r="19" spans="1:25" x14ac:dyDescent="0.2">
      <c r="A19" s="75" t="s">
        <v>96</v>
      </c>
      <c r="B19" s="75" t="s">
        <v>5</v>
      </c>
      <c r="C19" s="268">
        <v>2.8734860000000002</v>
      </c>
      <c r="D19" s="269">
        <v>4275.5541439999997</v>
      </c>
      <c r="E19" s="269">
        <v>3218.7905139999998</v>
      </c>
      <c r="F19" s="269"/>
      <c r="G19" s="269">
        <v>18394.467782</v>
      </c>
      <c r="H19" s="269">
        <v>1660.26432</v>
      </c>
      <c r="I19" s="269">
        <v>832.4</v>
      </c>
      <c r="J19" s="75"/>
      <c r="K19" s="135">
        <f t="shared" si="0"/>
        <v>0.17498687932410656</v>
      </c>
      <c r="L19" s="135">
        <v>1.9387220000000001</v>
      </c>
      <c r="M19" s="135">
        <v>2.7266819999999998</v>
      </c>
      <c r="N19" s="135">
        <v>1.0505469999999999</v>
      </c>
      <c r="O19" s="135">
        <v>9.446631</v>
      </c>
      <c r="P19" s="135">
        <v>9.4178759999999997</v>
      </c>
      <c r="Q19" s="135">
        <v>0.53625</v>
      </c>
      <c r="R19" s="135"/>
      <c r="S19" s="135">
        <f t="shared" si="1"/>
        <v>0.17498687932410656</v>
      </c>
      <c r="T19" s="135">
        <f t="shared" si="2"/>
        <v>1.9387220000000001</v>
      </c>
      <c r="U19" s="135">
        <f t="shared" si="3"/>
        <v>2.7266819999999998</v>
      </c>
      <c r="V19" s="135">
        <f t="shared" si="4"/>
        <v>1.0505469999999999</v>
      </c>
      <c r="W19" s="135">
        <f t="shared" si="5"/>
        <v>9.446631</v>
      </c>
      <c r="X19" s="135">
        <f t="shared" si="6"/>
        <v>9.4178759999999997</v>
      </c>
      <c r="Y19" s="135">
        <f t="shared" si="7"/>
        <v>0.53625</v>
      </c>
    </row>
    <row r="20" spans="1:25" x14ac:dyDescent="0.2">
      <c r="A20" s="75" t="s">
        <v>97</v>
      </c>
      <c r="B20" s="75" t="s">
        <v>15</v>
      </c>
      <c r="C20" s="268">
        <v>342.02999899999998</v>
      </c>
      <c r="D20" s="269">
        <v>1236918.622128</v>
      </c>
      <c r="E20" s="269">
        <v>1211262.622128</v>
      </c>
      <c r="F20" s="269"/>
      <c r="G20" s="269">
        <v>97150</v>
      </c>
      <c r="H20" s="269">
        <v>13338</v>
      </c>
      <c r="I20" s="269">
        <v>12743</v>
      </c>
      <c r="J20" s="75"/>
      <c r="K20" s="135">
        <f t="shared" si="0"/>
        <v>12.467963171672672</v>
      </c>
      <c r="L20" s="135">
        <v>90.812911999999997</v>
      </c>
      <c r="M20" s="135">
        <v>147.105006</v>
      </c>
      <c r="N20" s="135">
        <v>15.575715000000001</v>
      </c>
      <c r="O20" s="135">
        <v>93.041858000000005</v>
      </c>
      <c r="P20" s="135">
        <v>329.00860899999998</v>
      </c>
      <c r="Q20" s="135">
        <v>12.225642000000001</v>
      </c>
      <c r="R20" s="135"/>
      <c r="S20" s="135" t="str">
        <f t="shared" si="1"/>
        <v/>
      </c>
      <c r="T20" s="135" t="str">
        <f t="shared" si="2"/>
        <v/>
      </c>
      <c r="U20" s="135" t="str">
        <f t="shared" si="3"/>
        <v/>
      </c>
      <c r="V20" s="135" t="str">
        <f t="shared" si="4"/>
        <v/>
      </c>
      <c r="W20" s="135" t="str">
        <f t="shared" si="5"/>
        <v/>
      </c>
      <c r="X20" s="135" t="str">
        <f t="shared" si="6"/>
        <v/>
      </c>
      <c r="Y20" s="135" t="str">
        <f t="shared" si="7"/>
        <v/>
      </c>
    </row>
    <row r="21" spans="1:25" x14ac:dyDescent="0.2">
      <c r="A21" s="75" t="s">
        <v>36</v>
      </c>
      <c r="B21" s="75" t="s">
        <v>15</v>
      </c>
      <c r="C21" s="268">
        <v>10.646229</v>
      </c>
      <c r="D21" s="269">
        <v>20857.120122</v>
      </c>
      <c r="E21" s="269">
        <v>23665.867876</v>
      </c>
      <c r="F21" s="269"/>
      <c r="G21" s="269">
        <v>37670.351247999999</v>
      </c>
      <c r="H21" s="269">
        <v>5269.6085800000001</v>
      </c>
      <c r="I21" s="269">
        <v>2366.1999999999998</v>
      </c>
      <c r="J21" s="75"/>
      <c r="K21" s="135">
        <f t="shared" si="0"/>
        <v>0.628235922733969</v>
      </c>
      <c r="L21" s="135">
        <v>4.4910110000000003</v>
      </c>
      <c r="M21" s="135">
        <v>6.2843730000000004</v>
      </c>
      <c r="N21" s="135">
        <v>1.0790709999999999</v>
      </c>
      <c r="O21" s="135">
        <v>8.8546250000000004</v>
      </c>
      <c r="P21" s="135">
        <v>12.816037</v>
      </c>
      <c r="Q21" s="135">
        <v>0.55623900000000004</v>
      </c>
      <c r="R21" s="135"/>
      <c r="S21" s="135" t="str">
        <f t="shared" si="1"/>
        <v/>
      </c>
      <c r="T21" s="135" t="str">
        <f t="shared" si="2"/>
        <v/>
      </c>
      <c r="U21" s="135" t="str">
        <f t="shared" si="3"/>
        <v/>
      </c>
      <c r="V21" s="135" t="str">
        <f t="shared" si="4"/>
        <v/>
      </c>
      <c r="W21" s="135" t="str">
        <f t="shared" si="5"/>
        <v/>
      </c>
      <c r="X21" s="135" t="str">
        <f t="shared" si="6"/>
        <v/>
      </c>
      <c r="Y21" s="135" t="str">
        <f t="shared" si="7"/>
        <v/>
      </c>
    </row>
    <row r="22" spans="1:25" x14ac:dyDescent="0.2">
      <c r="A22" s="75" t="s">
        <v>98</v>
      </c>
      <c r="B22" s="75" t="s">
        <v>15</v>
      </c>
      <c r="C22" s="268">
        <v>42.744788999999997</v>
      </c>
      <c r="D22" s="269">
        <v>12479.822166</v>
      </c>
      <c r="E22" s="269">
        <v>46590.503663000003</v>
      </c>
      <c r="F22" s="269"/>
      <c r="G22" s="269">
        <v>56749.435031000001</v>
      </c>
      <c r="H22" s="269">
        <v>7634.7101199999997</v>
      </c>
      <c r="I22" s="269">
        <v>1511.6</v>
      </c>
      <c r="J22" s="75"/>
      <c r="K22" s="135">
        <f t="shared" si="0"/>
        <v>0.82098621136138938</v>
      </c>
      <c r="L22" s="135">
        <v>6.1024589999999996</v>
      </c>
      <c r="M22" s="135">
        <v>10.133927999999999</v>
      </c>
      <c r="N22" s="135">
        <v>0.37651499999999999</v>
      </c>
      <c r="O22" s="135">
        <v>7.7215350000000003</v>
      </c>
      <c r="P22" s="135">
        <v>2.1800799999999998</v>
      </c>
      <c r="Q22" s="135">
        <v>0.20814299999999999</v>
      </c>
      <c r="R22" s="135"/>
      <c r="S22" s="135" t="str">
        <f t="shared" si="1"/>
        <v/>
      </c>
      <c r="T22" s="135" t="str">
        <f t="shared" si="2"/>
        <v/>
      </c>
      <c r="U22" s="135" t="str">
        <f t="shared" si="3"/>
        <v/>
      </c>
      <c r="V22" s="135" t="str">
        <f t="shared" si="4"/>
        <v/>
      </c>
      <c r="W22" s="135" t="str">
        <f t="shared" si="5"/>
        <v/>
      </c>
      <c r="X22" s="135" t="str">
        <f t="shared" si="6"/>
        <v/>
      </c>
      <c r="Y22" s="135" t="str">
        <f t="shared" si="7"/>
        <v/>
      </c>
    </row>
    <row r="23" spans="1:25" x14ac:dyDescent="0.2">
      <c r="A23" s="75" t="s">
        <v>99</v>
      </c>
      <c r="B23" s="75" t="s">
        <v>15</v>
      </c>
      <c r="C23" s="268">
        <v>72.065421999999998</v>
      </c>
      <c r="D23" s="269">
        <v>45066.272809000002</v>
      </c>
      <c r="E23" s="269">
        <v>104199.42656599999</v>
      </c>
      <c r="F23" s="269"/>
      <c r="G23" s="269">
        <v>161436.72969499999</v>
      </c>
      <c r="H23" s="269">
        <v>24600.53299</v>
      </c>
      <c r="I23" s="269">
        <v>8867.9</v>
      </c>
      <c r="J23" s="75"/>
      <c r="K23" s="135">
        <f t="shared" si="0"/>
        <v>0.6454505536804569</v>
      </c>
      <c r="L23" s="135">
        <v>4.2356569999999998</v>
      </c>
      <c r="M23" s="135">
        <v>6.8864710000000002</v>
      </c>
      <c r="N23" s="135">
        <v>0.43895299999999998</v>
      </c>
      <c r="O23" s="135">
        <v>5.1122310000000004</v>
      </c>
      <c r="P23" s="135" t="s">
        <v>91</v>
      </c>
      <c r="Q23" s="135">
        <v>0.27531</v>
      </c>
      <c r="R23" s="135"/>
      <c r="S23" s="135" t="str">
        <f t="shared" si="1"/>
        <v/>
      </c>
      <c r="T23" s="135" t="str">
        <f t="shared" si="2"/>
        <v/>
      </c>
      <c r="U23" s="135" t="str">
        <f t="shared" si="3"/>
        <v/>
      </c>
      <c r="V23" s="135" t="str">
        <f t="shared" si="4"/>
        <v/>
      </c>
      <c r="W23" s="135" t="str">
        <f t="shared" si="5"/>
        <v/>
      </c>
      <c r="X23" s="135" t="str">
        <f t="shared" si="6"/>
        <v/>
      </c>
      <c r="Y23" s="135" t="str">
        <f t="shared" si="7"/>
        <v/>
      </c>
    </row>
    <row r="24" spans="1:25" x14ac:dyDescent="0.2">
      <c r="A24" s="75" t="s">
        <v>100</v>
      </c>
      <c r="B24" s="75" t="s">
        <v>15</v>
      </c>
      <c r="C24" s="268">
        <v>61.376598000000001</v>
      </c>
      <c r="D24" s="269">
        <v>55796.524621999997</v>
      </c>
      <c r="E24" s="269">
        <v>65040.693539</v>
      </c>
      <c r="F24" s="269"/>
      <c r="G24" s="269">
        <v>42233.353896000001</v>
      </c>
      <c r="H24" s="269">
        <v>10291.141670000001</v>
      </c>
      <c r="I24" s="269">
        <v>4316.3</v>
      </c>
      <c r="J24" s="75"/>
      <c r="K24" s="135">
        <f t="shared" si="0"/>
        <v>1.5400314571076517</v>
      </c>
      <c r="L24" s="135">
        <v>6.3200659999999997</v>
      </c>
      <c r="M24" s="135">
        <v>10.872025000000001</v>
      </c>
      <c r="N24" s="135">
        <v>2.1924239999999999</v>
      </c>
      <c r="O24" s="135">
        <v>12.647239000000001</v>
      </c>
      <c r="P24" s="135">
        <v>32.35257</v>
      </c>
      <c r="Q24" s="135">
        <v>1.294535</v>
      </c>
      <c r="R24" s="135"/>
      <c r="S24" s="135" t="str">
        <f t="shared" si="1"/>
        <v/>
      </c>
      <c r="T24" s="135" t="str">
        <f t="shared" si="2"/>
        <v/>
      </c>
      <c r="U24" s="135" t="str">
        <f t="shared" si="3"/>
        <v/>
      </c>
      <c r="V24" s="135" t="str">
        <f t="shared" si="4"/>
        <v/>
      </c>
      <c r="W24" s="135" t="str">
        <f t="shared" si="5"/>
        <v/>
      </c>
      <c r="X24" s="135" t="str">
        <f t="shared" si="6"/>
        <v/>
      </c>
      <c r="Y24" s="135" t="str">
        <f t="shared" si="7"/>
        <v/>
      </c>
    </row>
    <row r="25" spans="1:25" x14ac:dyDescent="0.2">
      <c r="A25" s="75" t="s">
        <v>101</v>
      </c>
      <c r="B25" s="75" t="s">
        <v>5</v>
      </c>
      <c r="C25" s="268">
        <v>30.696235999999999</v>
      </c>
      <c r="D25" s="269">
        <v>426.96493600000002</v>
      </c>
      <c r="E25" s="269">
        <v>101.096761</v>
      </c>
      <c r="F25" s="269"/>
      <c r="G25" s="269">
        <v>719.62454700000001</v>
      </c>
      <c r="H25" s="269">
        <v>97.143870000000007</v>
      </c>
      <c r="I25" s="269">
        <v>52.1</v>
      </c>
      <c r="J25" s="75"/>
      <c r="K25" s="135">
        <f t="shared" si="0"/>
        <v>0.14048542593697821</v>
      </c>
      <c r="L25" s="135">
        <v>1.040691</v>
      </c>
      <c r="M25" s="135">
        <v>1.3399589999999999</v>
      </c>
      <c r="N25" s="135">
        <v>0.49732900000000002</v>
      </c>
      <c r="O25" s="135">
        <v>7.2567839999999997</v>
      </c>
      <c r="P25" s="135">
        <v>6.1836739999999999</v>
      </c>
      <c r="Q25" s="135">
        <v>0.50759799999999999</v>
      </c>
      <c r="R25" s="135"/>
      <c r="S25" s="135">
        <f t="shared" si="1"/>
        <v>0.14048542593697821</v>
      </c>
      <c r="T25" s="135">
        <f t="shared" si="2"/>
        <v>1.040691</v>
      </c>
      <c r="U25" s="135">
        <f t="shared" si="3"/>
        <v>1.3399589999999999</v>
      </c>
      <c r="V25" s="135">
        <f t="shared" si="4"/>
        <v>0.49732900000000002</v>
      </c>
      <c r="W25" s="135">
        <f t="shared" si="5"/>
        <v>7.2567839999999997</v>
      </c>
      <c r="X25" s="135">
        <f t="shared" si="6"/>
        <v>6.1836739999999999</v>
      </c>
      <c r="Y25" s="135">
        <f t="shared" si="7"/>
        <v>0.50759799999999999</v>
      </c>
    </row>
    <row r="26" spans="1:25" x14ac:dyDescent="0.2">
      <c r="A26" s="263" t="s">
        <v>16</v>
      </c>
      <c r="B26" s="271"/>
      <c r="C26" s="263"/>
      <c r="D26" s="263"/>
      <c r="E26" s="263"/>
      <c r="F26" s="263"/>
      <c r="G26" s="263"/>
      <c r="H26" s="263"/>
      <c r="I26" s="263"/>
      <c r="J26" s="263"/>
      <c r="K26" s="264">
        <f t="shared" ref="K26:Q26" si="8">MEDIAN(K7:K25)</f>
        <v>0.62280191871915525</v>
      </c>
      <c r="L26" s="264">
        <f t="shared" si="8"/>
        <v>3.8831150000000001</v>
      </c>
      <c r="M26" s="264">
        <f t="shared" si="8"/>
        <v>6.8864710000000002</v>
      </c>
      <c r="N26" s="264">
        <f t="shared" si="8"/>
        <v>0.65295700000000001</v>
      </c>
      <c r="O26" s="264">
        <f t="shared" si="8"/>
        <v>7.2567839999999997</v>
      </c>
      <c r="P26" s="264">
        <f t="shared" si="8"/>
        <v>6.7740239999999998</v>
      </c>
      <c r="Q26" s="264">
        <f t="shared" si="8"/>
        <v>0.34465200000000001</v>
      </c>
      <c r="R26" s="264"/>
      <c r="S26" s="264">
        <f t="shared" ref="S26:Y26" si="9">MEDIAN(S7:S25)</f>
        <v>0.15773615263054239</v>
      </c>
      <c r="T26" s="264">
        <f t="shared" si="9"/>
        <v>1.3832355000000001</v>
      </c>
      <c r="U26" s="264">
        <f t="shared" si="9"/>
        <v>2.0333204999999999</v>
      </c>
      <c r="V26" s="264">
        <f t="shared" si="9"/>
        <v>0.48429800000000001</v>
      </c>
      <c r="W26" s="264">
        <f t="shared" si="9"/>
        <v>6.1813940000000001</v>
      </c>
      <c r="X26" s="264">
        <f t="shared" si="9"/>
        <v>7.8007749999999998</v>
      </c>
      <c r="Y26" s="264">
        <f t="shared" si="9"/>
        <v>0.314328</v>
      </c>
    </row>
    <row r="27" spans="1:25" x14ac:dyDescent="0.2">
      <c r="A27" s="263" t="s">
        <v>6</v>
      </c>
      <c r="B27" s="271"/>
      <c r="C27" s="263"/>
      <c r="D27" s="263"/>
      <c r="E27" s="263"/>
      <c r="F27" s="263"/>
      <c r="G27" s="263"/>
      <c r="H27" s="263"/>
      <c r="I27" s="263"/>
      <c r="J27" s="263"/>
      <c r="K27" s="264">
        <f t="shared" ref="K27:Q27" si="10">AVERAGE(K7:K25)</f>
        <v>1.1325287483737392</v>
      </c>
      <c r="L27" s="264">
        <f t="shared" si="10"/>
        <v>8.5489005263157907</v>
      </c>
      <c r="M27" s="264">
        <f t="shared" si="10"/>
        <v>15.871756105263163</v>
      </c>
      <c r="N27" s="264">
        <f t="shared" si="10"/>
        <v>1.590666052631579</v>
      </c>
      <c r="O27" s="264">
        <f t="shared" si="10"/>
        <v>11.454201210526316</v>
      </c>
      <c r="P27" s="264">
        <f t="shared" si="10"/>
        <v>103.26515969230771</v>
      </c>
      <c r="Q27" s="264">
        <f t="shared" si="10"/>
        <v>1.0164843684210529</v>
      </c>
      <c r="R27" s="264"/>
      <c r="S27" s="264">
        <f t="shared" ref="S27:Y27" si="11">AVERAGE(S7:S25)</f>
        <v>0.220335580567948</v>
      </c>
      <c r="T27" s="264">
        <f t="shared" si="11"/>
        <v>1.5301001250000001</v>
      </c>
      <c r="U27" s="264">
        <f t="shared" si="11"/>
        <v>2.8672464999999998</v>
      </c>
      <c r="V27" s="264">
        <f t="shared" si="11"/>
        <v>0.852719</v>
      </c>
      <c r="W27" s="264">
        <f t="shared" si="11"/>
        <v>6.0002197499999994</v>
      </c>
      <c r="X27" s="264">
        <f t="shared" si="11"/>
        <v>158.47032966666669</v>
      </c>
      <c r="Y27" s="264">
        <f t="shared" si="11"/>
        <v>0.35073599999999994</v>
      </c>
    </row>
    <row r="28" spans="1:25" x14ac:dyDescent="0.2">
      <c r="A28" s="263" t="s">
        <v>58</v>
      </c>
      <c r="B28" s="272"/>
      <c r="C28" s="262"/>
      <c r="D28" s="262"/>
      <c r="E28" s="262"/>
      <c r="F28" s="262"/>
      <c r="G28" s="262"/>
      <c r="H28" s="262"/>
      <c r="I28" s="262"/>
      <c r="J28" s="262"/>
      <c r="K28" s="273"/>
      <c r="L28" s="273"/>
      <c r="M28" s="273"/>
      <c r="N28" s="273"/>
      <c r="O28" s="273"/>
      <c r="P28" s="273"/>
      <c r="Q28" s="273"/>
      <c r="R28" s="273"/>
      <c r="S28" s="264">
        <f t="shared" ref="S28:Y28" si="12">QUARTILE(S7:S27,1)</f>
        <v>0.11523655512131316</v>
      </c>
      <c r="T28" s="264">
        <f t="shared" si="12"/>
        <v>0.87678975000000003</v>
      </c>
      <c r="U28" s="264">
        <f t="shared" si="12"/>
        <v>1.27035075</v>
      </c>
      <c r="V28" s="264">
        <f t="shared" si="12"/>
        <v>0.44002425000000001</v>
      </c>
      <c r="W28" s="264">
        <f t="shared" si="12"/>
        <v>4.9183310000000002</v>
      </c>
      <c r="X28" s="264">
        <f t="shared" si="12"/>
        <v>5.3451522499999999</v>
      </c>
      <c r="Y28" s="264">
        <f t="shared" si="12"/>
        <v>0.22331024999999999</v>
      </c>
    </row>
    <row r="29" spans="1:25" x14ac:dyDescent="0.2">
      <c r="A29" s="263" t="s">
        <v>59</v>
      </c>
      <c r="B29" s="272"/>
      <c r="C29" s="262"/>
      <c r="D29" s="262"/>
      <c r="E29" s="262"/>
      <c r="F29" s="262"/>
      <c r="G29" s="262"/>
      <c r="H29" s="262"/>
      <c r="I29" s="262"/>
      <c r="J29" s="262"/>
      <c r="K29" s="262"/>
      <c r="L29" s="262"/>
      <c r="M29" s="262"/>
      <c r="N29" s="262"/>
      <c r="O29" s="262"/>
      <c r="P29" s="262"/>
      <c r="Q29" s="262"/>
      <c r="R29" s="262"/>
      <c r="S29" s="264">
        <f t="shared" ref="S29:Y29" si="13">QUARTILE(S7:S28,3)</f>
        <v>0.22508568874225399</v>
      </c>
      <c r="T29" s="264">
        <f t="shared" si="13"/>
        <v>1.8322510000000001</v>
      </c>
      <c r="U29" s="264">
        <f t="shared" si="13"/>
        <v>3.15770325</v>
      </c>
      <c r="V29" s="264">
        <f t="shared" si="13"/>
        <v>0.85807849999999997</v>
      </c>
      <c r="W29" s="264">
        <f t="shared" si="13"/>
        <v>6.8377765000000004</v>
      </c>
      <c r="X29" s="264">
        <f t="shared" si="13"/>
        <v>14.131588000000001</v>
      </c>
      <c r="Y29" s="264">
        <f t="shared" si="13"/>
        <v>0.42916699999999997</v>
      </c>
    </row>
    <row r="30" spans="1:25" x14ac:dyDescent="0.2">
      <c r="A30" s="105" t="s">
        <v>43</v>
      </c>
      <c r="B30" s="73" t="s">
        <v>77</v>
      </c>
      <c r="C30" s="137" t="s">
        <v>78</v>
      </c>
      <c r="D30" s="137" t="s">
        <v>76</v>
      </c>
      <c r="E30" s="137" t="s">
        <v>79</v>
      </c>
      <c r="F30" s="137"/>
      <c r="G30" s="137" t="s">
        <v>82</v>
      </c>
      <c r="H30" s="137" t="s">
        <v>78</v>
      </c>
      <c r="I30" s="138"/>
    </row>
    <row r="31" spans="1:25" x14ac:dyDescent="0.2">
      <c r="A31" s="7"/>
      <c r="B31" s="7"/>
    </row>
    <row r="32" spans="1:25" x14ac:dyDescent="0.2">
      <c r="A32" s="105" t="s">
        <v>44</v>
      </c>
      <c r="B32" s="73" t="s">
        <v>16</v>
      </c>
      <c r="C32" s="137" t="s">
        <v>16</v>
      </c>
      <c r="D32" s="137" t="s">
        <v>16</v>
      </c>
      <c r="E32" s="137" t="s">
        <v>16</v>
      </c>
      <c r="F32" s="137"/>
      <c r="G32" s="137" t="s">
        <v>6</v>
      </c>
      <c r="H32" s="137" t="s">
        <v>6</v>
      </c>
      <c r="I32" s="137" t="s">
        <v>6</v>
      </c>
      <c r="T32" s="85"/>
      <c r="U32" s="85"/>
    </row>
    <row r="33" spans="1:18" x14ac:dyDescent="0.2">
      <c r="A33" s="7"/>
      <c r="B33" s="7"/>
    </row>
    <row r="34" spans="1:18" x14ac:dyDescent="0.2">
      <c r="A34" s="73"/>
      <c r="B34" s="74">
        <f>_xlfn.IFNA(INDEX($S$26:$Y$27,MATCH(B32,$A$26:$A$27,0),MATCH(B30,$S$5:$Y$5,0)),"")</f>
        <v>1.3832355000000001</v>
      </c>
      <c r="C34" s="74">
        <f t="shared" ref="C34:I34" si="14">_xlfn.IFNA(INDEX($S$26:$Y$27,MATCH(C32,$A$26:$A$27,0),MATCH(C30,$S$5:$Y$5,0)),"")</f>
        <v>2.0333204999999999</v>
      </c>
      <c r="D34" s="74">
        <f t="shared" si="14"/>
        <v>0.15773615263054239</v>
      </c>
      <c r="E34" s="74">
        <f t="shared" si="14"/>
        <v>0.48429800000000001</v>
      </c>
      <c r="F34" s="74" t="str">
        <f t="shared" si="14"/>
        <v/>
      </c>
      <c r="G34" s="74">
        <f t="shared" si="14"/>
        <v>0.35073599999999994</v>
      </c>
      <c r="H34" s="74">
        <f t="shared" si="14"/>
        <v>2.8672464999999998</v>
      </c>
      <c r="I34" s="74" t="str">
        <f t="shared" si="14"/>
        <v/>
      </c>
    </row>
    <row r="35" spans="1:18" x14ac:dyDescent="0.2">
      <c r="A35" s="7"/>
      <c r="B35" s="7"/>
    </row>
    <row r="36" spans="1:18" x14ac:dyDescent="0.2">
      <c r="A36" s="7" t="s">
        <v>45</v>
      </c>
      <c r="B36" s="8">
        <v>76694</v>
      </c>
    </row>
    <row r="37" spans="1:18" x14ac:dyDescent="0.2">
      <c r="A37" s="7" t="s">
        <v>46</v>
      </c>
      <c r="B37" s="7">
        <v>11085</v>
      </c>
      <c r="K37" s="85"/>
      <c r="L37" s="85" t="str">
        <f>IF(B30=0,"",B30)</f>
        <v>EV/EBITDA</v>
      </c>
      <c r="M37" s="85" t="str">
        <f>IF(C30=0,"",C30)</f>
        <v>EV/EBIT</v>
      </c>
      <c r="N37" s="85" t="str">
        <f>IF(D30=0,"",D30)</f>
        <v>EV/Sales</v>
      </c>
      <c r="O37" s="85" t="str">
        <f>IF(E30=0,"",E30)</f>
        <v>P/BV (x)</v>
      </c>
      <c r="P37" s="85" t="str">
        <f>IF(G30=0,"",G30)</f>
        <v>P/sales</v>
      </c>
      <c r="Q37" s="85" t="str">
        <f>IF(H30=0,"",H30)</f>
        <v>EV/EBIT</v>
      </c>
      <c r="R37" s="85" t="str">
        <f>IF(I30=0,"",I30)</f>
        <v/>
      </c>
    </row>
    <row r="38" spans="1:18" x14ac:dyDescent="0.2">
      <c r="A38" s="7" t="s">
        <v>47</v>
      </c>
      <c r="B38" s="7">
        <v>9295</v>
      </c>
      <c r="L38" s="74">
        <f t="shared" ref="L38:R38" si="15">IF(L$37=$N$5,L41*$B$48,IF(L$37=$O$5,L41*$B$45,IF(L$37=$P$5,L41*$B$47,IF(L$37=$Q$5,L41*$B$46,L47/$B$52))))</f>
        <v>56.9979852417096</v>
      </c>
      <c r="M38" s="74">
        <f t="shared" si="15"/>
        <v>62.221553096708845</v>
      </c>
      <c r="N38" s="74">
        <f t="shared" si="15"/>
        <v>54.794058816770843</v>
      </c>
      <c r="O38" s="74">
        <f t="shared" si="15"/>
        <v>44.881474644952505</v>
      </c>
      <c r="P38" s="74">
        <f t="shared" si="15"/>
        <v>42.831551332580794</v>
      </c>
      <c r="Q38" s="74">
        <f t="shared" si="15"/>
        <v>62.221553096708845</v>
      </c>
      <c r="R38" s="74" t="e">
        <f t="shared" si="15"/>
        <v>#VALUE!</v>
      </c>
    </row>
    <row r="39" spans="1:18" x14ac:dyDescent="0.2">
      <c r="A39" s="7"/>
      <c r="B39" s="7"/>
      <c r="L39" s="84">
        <f t="shared" ref="L39" si="16">L40-L38</f>
        <v>26.487490512304291</v>
      </c>
      <c r="M39" s="84">
        <f>M40-M38</f>
        <v>43.87270916695843</v>
      </c>
      <c r="N39" s="84">
        <f t="shared" ref="N39:R39" si="17">N40-N38</f>
        <v>21.069297889072274</v>
      </c>
      <c r="O39" s="84">
        <f t="shared" si="17"/>
        <v>42.640584516852499</v>
      </c>
      <c r="P39" s="84">
        <f t="shared" si="17"/>
        <v>39.483919590718521</v>
      </c>
      <c r="Q39" s="84">
        <f t="shared" si="17"/>
        <v>43.87270916695843</v>
      </c>
      <c r="R39" s="84" t="e">
        <f t="shared" si="17"/>
        <v>#VALUE!</v>
      </c>
    </row>
    <row r="40" spans="1:18" x14ac:dyDescent="0.2">
      <c r="A40" s="105" t="s">
        <v>102</v>
      </c>
      <c r="B40" s="76">
        <f>IF(B30="EV/Sales",B34*$B$36,IF(B30="EV/EBITDA",B34*$B$37,IF(B30="EV/EBIT",B34*$B$38,"-")))</f>
        <v>15333.165517500001</v>
      </c>
      <c r="C40" s="76">
        <f>IF(C30="EV/Sales",C34*$B$36,IF(C30="EV/EBITDA",C34*$B$37,IF(C30="EV/EBIT",C34*$B$38,"-")))</f>
        <v>18899.714047499998</v>
      </c>
      <c r="D40" s="76">
        <f>IF(D30="EV/Sales",D34*$B$36,IF(D30="EV/EBITDA",D34*$B$37,IF(D30="EV/EBIT",D34*$B$38,"-")))</f>
        <v>12097.416489846817</v>
      </c>
      <c r="E40" s="76" t="str">
        <f>IF(E30="EV/Sales",E34*$B$36,IF(E30="EV/EBITDA",E34*$B$37,IF(E30="EV/EBIT",E34*$B$38,"-")))</f>
        <v>-</v>
      </c>
      <c r="F40" s="76"/>
      <c r="G40" s="76" t="str">
        <f>IF(G30="EV/Sales",G34*$B$36,IF(G30="EV/EBITDA",G34*$B$37,IF(G30="EV/EBIT",G34*$B$38,"-")))</f>
        <v>-</v>
      </c>
      <c r="H40" s="76">
        <f>IF(H30="EV/Sales",H34*$B$36,IF(H30="EV/EBITDA",H34*$B$37,IF(H30="EV/EBIT",H34*$B$38,"-")))</f>
        <v>26651.056217499998</v>
      </c>
      <c r="I40" s="76" t="str">
        <f>IF(I30="EV/Sales",I34*$B$36,IF(I30="EV/EBITDA",I34*$B$37,IF(I30="EV/EBIT",I34*$B$38,"-")))</f>
        <v>-</v>
      </c>
      <c r="L40" s="74">
        <f t="shared" ref="L40:R40" si="18">IF(L$37=$N$5,L42*$B$48,IF(L$37=$O$5,L42*$B$45,IF(L$37=$P$5,L42*$B$47,IF(L$37=$Q$5,L42*$B$46,L48/$B$52))))</f>
        <v>83.485475754013891</v>
      </c>
      <c r="M40" s="74">
        <f t="shared" si="18"/>
        <v>106.09426226366728</v>
      </c>
      <c r="N40" s="74">
        <f t="shared" si="18"/>
        <v>75.863356705843117</v>
      </c>
      <c r="O40" s="74">
        <f t="shared" si="18"/>
        <v>87.522059161805004</v>
      </c>
      <c r="P40" s="74">
        <f t="shared" si="18"/>
        <v>82.315470923299316</v>
      </c>
      <c r="Q40" s="74">
        <f t="shared" si="18"/>
        <v>106.09426226366728</v>
      </c>
      <c r="R40" s="74" t="e">
        <f t="shared" si="18"/>
        <v>#VALUE!</v>
      </c>
    </row>
    <row r="41" spans="1:18" x14ac:dyDescent="0.2">
      <c r="A41" s="7"/>
      <c r="B41" s="7"/>
      <c r="K41" s="1" t="s">
        <v>103</v>
      </c>
      <c r="L41" s="84" cm="1">
        <f t="array" ref="L41">_xlfn.IFNA(INDEX($S$28:$Z$28,,MATCH(L37,$S$5:$Z$5,0)),"")</f>
        <v>0.87678975000000003</v>
      </c>
      <c r="M41" s="84" cm="1">
        <f t="array" ref="M41">_xlfn.IFNA(INDEX($S$28:$Z$28,,MATCH(M37,$S$5:$Z$5,0)),"")</f>
        <v>1.27035075</v>
      </c>
      <c r="N41" s="84" cm="1">
        <f t="array" ref="N41">_xlfn.IFNA(INDEX($S$28:$Z$28,,MATCH(N37,$S$5:$Z$5,0)),"")</f>
        <v>0.11523655512131316</v>
      </c>
      <c r="O41" s="84" cm="1">
        <f t="array" ref="O41">_xlfn.IFNA(INDEX($S$28:$Z$28,,MATCH(O37,$S$5:$Z$5,0)),"")</f>
        <v>0.44002425000000001</v>
      </c>
      <c r="P41" s="84" cm="1">
        <f t="array" ref="P41">_xlfn.IFNA(INDEX($S$28:$Z$28,,MATCH(P37,$S$5:$Z$5,0)),"")</f>
        <v>0.22331024999999999</v>
      </c>
      <c r="Q41" s="84" cm="1">
        <f t="array" ref="Q41">_xlfn.IFNA(INDEX($S$28:$Z$28,,MATCH(Q37,$S$5:$Z$5,0)),"")</f>
        <v>1.27035075</v>
      </c>
      <c r="R41" s="84" t="str" cm="1">
        <f t="array" ref="R41">_xlfn.IFNA(INDEX($S$28:$Z$28,,MATCH(R37,$S$5:$Z$5,0)),"")</f>
        <v/>
      </c>
    </row>
    <row r="42" spans="1:18" x14ac:dyDescent="0.2">
      <c r="A42" s="75" t="s">
        <v>49</v>
      </c>
      <c r="B42" s="139">
        <v>-13067</v>
      </c>
      <c r="K42" s="1" t="s">
        <v>104</v>
      </c>
      <c r="L42" s="1" cm="1">
        <f t="array" ref="L42">_xlfn.IFNA(INDEX($S$29:$Z$29,,MATCH(L37,$S$5:$Z$5,0)),"")</f>
        <v>1.8322510000000001</v>
      </c>
      <c r="M42" s="1" cm="1">
        <f t="array" ref="M42">_xlfn.IFNA(INDEX($S$29:$Z$29,,MATCH(M37,$S$5:$Z$5,0)),"")</f>
        <v>3.15770325</v>
      </c>
      <c r="N42" s="1" cm="1">
        <f t="array" ref="N42">_xlfn.IFNA(INDEX($S$29:$Z$29,,MATCH(N37,$S$5:$Z$5,0)),"")</f>
        <v>0.22508568874225399</v>
      </c>
      <c r="O42" s="1" cm="1">
        <f t="array" ref="O42">_xlfn.IFNA(INDEX($S$29:$Z$29,,MATCH(O37,$S$5:$Z$5,0)),"")</f>
        <v>0.85807849999999997</v>
      </c>
      <c r="P42" s="1" cm="1">
        <f t="array" ref="P42">_xlfn.IFNA(INDEX($S$29:$Z$29,,MATCH(P37,$S$5:$Z$5,0)),"")</f>
        <v>0.42916699999999997</v>
      </c>
      <c r="Q42" s="1" cm="1">
        <f t="array" ref="Q42">_xlfn.IFNA(INDEX($S$29:$Z$29,,MATCH(Q37,$S$5:$Z$5,0)),"")</f>
        <v>3.15770325</v>
      </c>
      <c r="R42" s="1" t="str" cm="1">
        <f t="array" ref="R42">_xlfn.IFNA(INDEX($S$29:$Z$29,,MATCH(R37,$S$5:$Z$5,0)),"")</f>
        <v/>
      </c>
    </row>
    <row r="43" spans="1:18" x14ac:dyDescent="0.2">
      <c r="A43" s="75" t="s">
        <v>50</v>
      </c>
      <c r="B43" s="75">
        <v>0</v>
      </c>
    </row>
    <row r="44" spans="1:18" x14ac:dyDescent="0.2">
      <c r="A44" s="75" t="s">
        <v>51</v>
      </c>
      <c r="B44" s="75">
        <v>5</v>
      </c>
      <c r="L44" s="76">
        <f>IF(L$37="EV/Sales",L41*$B$36,IF(L$37="EV/EBITDA",L41*$B$37,IF(L$37="EV/EBIT",L41*$B$38,"-")))</f>
        <v>9719.2143787500008</v>
      </c>
      <c r="M44" s="76">
        <f t="shared" ref="M44:R44" si="19">IF(M37="EV/Sales",M41*$B$36,IF(M37="EV/EBITDA",M41*$B$37,IF(M37="EV/EBIT",M41*$B$38,"-")))</f>
        <v>11807.91022125</v>
      </c>
      <c r="N44" s="76">
        <f t="shared" si="19"/>
        <v>8837.9523584739909</v>
      </c>
      <c r="O44" s="76" t="str">
        <f t="shared" si="19"/>
        <v>-</v>
      </c>
      <c r="P44" s="76" t="str">
        <f t="shared" si="19"/>
        <v>-</v>
      </c>
      <c r="Q44" s="76">
        <f t="shared" si="19"/>
        <v>11807.91022125</v>
      </c>
      <c r="R44" s="76" t="str">
        <f t="shared" si="19"/>
        <v>-</v>
      </c>
    </row>
    <row r="45" spans="1:18" x14ac:dyDescent="0.2">
      <c r="A45" s="260" t="s">
        <v>105</v>
      </c>
      <c r="B45" s="260">
        <v>18.25</v>
      </c>
      <c r="L45" s="76">
        <f>IF(L$37="EV/Sales",L42*$B$36,IF(L$37="EV/EBITDA",L42*$B$37,IF(L$37="EV/EBIT",L42*$B$38,"-")))</f>
        <v>20310.502335000001</v>
      </c>
      <c r="M45" s="76">
        <f t="shared" ref="M45:R45" si="20">IF(M$37="EV/Sales",M42*$B$36,IF(M$37="EV/EBITDA",M42*$B$37,IF(M$37="EV/EBIT",M42*$B$38,"-")))</f>
        <v>29350.85170875</v>
      </c>
      <c r="N45" s="76">
        <f t="shared" si="20"/>
        <v>17262.721812398428</v>
      </c>
      <c r="O45" s="76" t="str">
        <f t="shared" si="20"/>
        <v>-</v>
      </c>
      <c r="P45" s="76" t="str">
        <f t="shared" si="20"/>
        <v>-</v>
      </c>
      <c r="Q45" s="76">
        <f t="shared" si="20"/>
        <v>29350.85170875</v>
      </c>
      <c r="R45" s="76" t="str">
        <f t="shared" si="20"/>
        <v>-</v>
      </c>
    </row>
    <row r="46" spans="1:18" x14ac:dyDescent="0.2">
      <c r="A46" s="260" t="s">
        <v>106</v>
      </c>
      <c r="B46" s="261">
        <v>191.80289007146246</v>
      </c>
    </row>
    <row r="47" spans="1:18" x14ac:dyDescent="0.2">
      <c r="A47" s="260" t="s">
        <v>107</v>
      </c>
      <c r="B47" s="261">
        <v>13.34046</v>
      </c>
      <c r="L47" s="80">
        <f t="shared" ref="L47:R48" si="21">L44-$B$42-$B$43+$B$44</f>
        <v>22791.214378750003</v>
      </c>
      <c r="M47" s="80">
        <f t="shared" si="21"/>
        <v>24879.91022125</v>
      </c>
      <c r="N47" s="80">
        <f t="shared" si="21"/>
        <v>21909.952358473991</v>
      </c>
      <c r="O47" s="80" t="e">
        <f t="shared" si="21"/>
        <v>#VALUE!</v>
      </c>
      <c r="P47" s="80" t="e">
        <f t="shared" si="21"/>
        <v>#VALUE!</v>
      </c>
      <c r="Q47" s="80">
        <f t="shared" si="21"/>
        <v>24879.91022125</v>
      </c>
      <c r="R47" s="80" t="e">
        <f t="shared" si="21"/>
        <v>#VALUE!</v>
      </c>
    </row>
    <row r="48" spans="1:18" x14ac:dyDescent="0.2">
      <c r="A48" s="260" t="s">
        <v>108</v>
      </c>
      <c r="B48" s="261">
        <v>101.99773</v>
      </c>
      <c r="L48" s="80">
        <f t="shared" si="21"/>
        <v>33382.502334999997</v>
      </c>
      <c r="M48" s="80">
        <f t="shared" si="21"/>
        <v>42422.85170875</v>
      </c>
      <c r="N48" s="80">
        <f t="shared" si="21"/>
        <v>30334.721812398428</v>
      </c>
      <c r="O48" s="80" t="e">
        <f t="shared" si="21"/>
        <v>#VALUE!</v>
      </c>
      <c r="P48" s="80" t="e">
        <f t="shared" si="21"/>
        <v>#VALUE!</v>
      </c>
      <c r="Q48" s="80">
        <f t="shared" si="21"/>
        <v>42422.85170875</v>
      </c>
      <c r="R48" s="80" t="e">
        <f t="shared" si="21"/>
        <v>#VALUE!</v>
      </c>
    </row>
    <row r="49" spans="1:16" x14ac:dyDescent="0.2">
      <c r="A49" s="75"/>
      <c r="B49" s="7"/>
      <c r="L49" s="74"/>
    </row>
    <row r="50" spans="1:16" x14ac:dyDescent="0.2">
      <c r="A50" s="105" t="s">
        <v>61</v>
      </c>
      <c r="B50" s="80">
        <f>IFERROR(B40-$B$42-$B$43+$B$44,"")</f>
        <v>28405.165517500001</v>
      </c>
      <c r="C50" s="80">
        <f>IFERROR(C40-$B$42-$B$43+$B$44,"")</f>
        <v>31971.714047499998</v>
      </c>
      <c r="D50" s="80">
        <f>IFERROR(D40-$B$42-$B$43+$B$44,"")</f>
        <v>25169.416489846815</v>
      </c>
      <c r="E50" s="80" t="str">
        <f>IFERROR(E40-$B$42-$B$43+$B$44,"")</f>
        <v/>
      </c>
      <c r="F50" s="80"/>
      <c r="G50" s="80" t="str">
        <f>IFERROR(G40-$B$42-$B$43+$B$44,"")</f>
        <v/>
      </c>
      <c r="H50" s="80">
        <f>IFERROR(H40-$B$42-$B$43+$B$44,"")</f>
        <v>39723.056217499994</v>
      </c>
      <c r="I50" s="80" t="str">
        <f>IFERROR(I40-$B$42-$B$43+$B$44,"")</f>
        <v/>
      </c>
    </row>
    <row r="51" spans="1:16" x14ac:dyDescent="0.2">
      <c r="A51" s="7"/>
      <c r="B51" s="7"/>
    </row>
    <row r="52" spans="1:16" x14ac:dyDescent="0.2">
      <c r="A52" s="73" t="s">
        <v>109</v>
      </c>
      <c r="B52" s="73">
        <v>399.86</v>
      </c>
    </row>
    <row r="53" spans="1:16" x14ac:dyDescent="0.2">
      <c r="A53" s="7"/>
      <c r="B53" s="7"/>
    </row>
    <row r="54" spans="1:16" x14ac:dyDescent="0.2">
      <c r="A54" s="105" t="s">
        <v>54</v>
      </c>
      <c r="B54" s="213">
        <f>IFERROR(IF(B30=$N$5,B34*$B$48,IF(B30=$O$5,B34*$B$45,IF(B30=$P$5,B34*$B$47,IF(B30=$Q$5,B34*$B$46,B50/$B$52)))),"")</f>
        <v>71.037777015705501</v>
      </c>
      <c r="C54" s="213">
        <f>IFERROR(IF(C30=$N$5,C34*$B$48,IF(C30=$O$5,C34*$B$45,IF(C30=$P$5,C34*$B$47,IF(C30=$Q$5,C34*$B$46,C50/$B$52)))),"")</f>
        <v>79.957270163307143</v>
      </c>
      <c r="D54" s="213">
        <f>IFERROR(IF(D30=$N$5,D34*$B$48,IF(D30=$O$5,D34*$B$45,IF(D30=$P$5,D34*$B$47,IF(D30=$Q$5,D34*$B$46,D50/$B$52)))),"")</f>
        <v>62.945572174878244</v>
      </c>
      <c r="E54" s="213">
        <f>IFERROR(IF(E30=$N$5,E34*$B$48,IF(E30=$O$5,E34*$B$45,IF(E30=$P$5,E34*$B$47,IF(E30=$Q$5,E34*$B$46,E50/$B$52)))),"")</f>
        <v>49.397296643540002</v>
      </c>
      <c r="F54" s="213"/>
      <c r="G54" s="213">
        <f>IFERROR(IF(G30=$N$5,G34*$B$48,IF(G30=$O$5,G34*$B$45,IF(G30=$P$5,G34*$B$47,IF(G30=$Q$5,G34*$B$46,G50/$B$52)))),"")</f>
        <v>67.272178452104441</v>
      </c>
      <c r="H54" s="213">
        <f>IFERROR(IF(H30=$N$5,H34*$B$48,IF(H30=$O$5,H34*$B$45,IF(H30=$P$5,H34*$B$47,IF(H30=$Q$5,H34*$B$46,H50/$B$52)))),"")</f>
        <v>99.34241038738557</v>
      </c>
      <c r="I54" s="213" t="str">
        <f>IFERROR(IF(I30=$N$5,I34*$B$48,IF(I30=$O$5,I34*$B$45,IF(I30=$P$5,I34*$B$47,IF(I30=$Q$5,I34*$B$46,I50/$B$52)))),"")</f>
        <v/>
      </c>
    </row>
    <row r="55" spans="1:16" x14ac:dyDescent="0.2">
      <c r="B55"/>
    </row>
    <row r="56" spans="1:16" x14ac:dyDescent="0.2">
      <c r="A56" s="215" t="s">
        <v>6</v>
      </c>
      <c r="B56" s="213">
        <f>AVERAGE(B54:I54)</f>
        <v>71.658750806153492</v>
      </c>
      <c r="C56" s="84"/>
      <c r="D56" s="84"/>
    </row>
    <row r="57" spans="1:16" x14ac:dyDescent="0.2">
      <c r="A57" s="215" t="s">
        <v>62</v>
      </c>
      <c r="B57" s="213">
        <f>MIN(B54:I54)</f>
        <v>49.397296643540002</v>
      </c>
    </row>
    <row r="58" spans="1:16" x14ac:dyDescent="0.2">
      <c r="A58" s="215" t="s">
        <v>63</v>
      </c>
      <c r="B58" s="213">
        <f>MAX(B54:I54)</f>
        <v>99.34241038738557</v>
      </c>
    </row>
    <row r="59" spans="1:16" x14ac:dyDescent="0.2">
      <c r="A59" s="215" t="s">
        <v>64</v>
      </c>
      <c r="B59" s="215" t="s">
        <v>6</v>
      </c>
    </row>
    <row r="60" spans="1:16" x14ac:dyDescent="0.2">
      <c r="A60" s="215" t="s">
        <v>54</v>
      </c>
      <c r="B60" s="216">
        <f>_xlfn.XLOOKUP(B59,A56:A58,B56:B58)</f>
        <v>71.658750806153492</v>
      </c>
    </row>
    <row r="61" spans="1:16" ht="19" x14ac:dyDescent="0.25">
      <c r="P61" s="198"/>
    </row>
  </sheetData>
  <mergeCells count="1">
    <mergeCell ref="S4:Y4"/>
  </mergeCells>
  <dataValidations count="5">
    <dataValidation type="list" allowBlank="1" showInputMessage="1" showErrorMessage="1" sqref="C32:I32" xr:uid="{D71CFB79-2C52-4459-B90F-6CB6C84FC483}">
      <formula1>$A$26:$A$27</formula1>
    </dataValidation>
    <dataValidation type="list" allowBlank="1" showInputMessage="1" showErrorMessage="1" sqref="B30:E30 G30:I30" xr:uid="{EC64CA83-B2F9-4B68-BF02-82FB57D3BBCD}">
      <formula1>$K$5:$R$5</formula1>
    </dataValidation>
    <dataValidation type="list" allowBlank="1" showInputMessage="1" showErrorMessage="1" sqref="B7:B25" xr:uid="{6E82250A-9557-4E46-8011-2D47224FE1D2}">
      <formula1>$AL$3:$AL$4</formula1>
    </dataValidation>
    <dataValidation type="list" allowBlank="1" showInputMessage="1" showErrorMessage="1" sqref="B32" xr:uid="{51F126DE-1E74-47DD-8BC8-34B9FB2CF19F}">
      <formula1>$AM$3:$AM$6</formula1>
    </dataValidation>
    <dataValidation type="list" allowBlank="1" showInputMessage="1" showErrorMessage="1" sqref="B59" xr:uid="{FFA5F589-620A-654D-B21F-6425F205C66E}">
      <formula1>$A$56:$A$58</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21BF4-C149-4F09-8EE9-1BA1D96FE2EE}">
  <sheetPr codeName="Sheet6"/>
  <dimension ref="A2:AM60"/>
  <sheetViews>
    <sheetView showGridLines="0" topLeftCell="A13" zoomScale="112" workbookViewId="0">
      <selection activeCell="G30" sqref="G30"/>
    </sheetView>
  </sheetViews>
  <sheetFormatPr baseColWidth="10" defaultColWidth="8.6640625" defaultRowHeight="16" x14ac:dyDescent="0.2"/>
  <cols>
    <col min="1" max="1" width="43.1640625" style="1" bestFit="1" customWidth="1"/>
    <col min="2" max="2" width="20.83203125" style="1" bestFit="1" customWidth="1"/>
    <col min="3" max="3" width="14.1640625" style="1" customWidth="1"/>
    <col min="4" max="4" width="14.5" style="1" bestFit="1" customWidth="1"/>
    <col min="5" max="5" width="14.83203125" style="1" bestFit="1" customWidth="1"/>
    <col min="6" max="6" width="1" style="1" customWidth="1"/>
    <col min="7" max="7" width="13.5" style="1" bestFit="1" customWidth="1"/>
    <col min="8" max="8" width="14.83203125" style="1" bestFit="1" customWidth="1"/>
    <col min="9" max="9" width="8.83203125" style="1" bestFit="1" customWidth="1"/>
    <col min="10" max="10" width="25.83203125" style="1" customWidth="1"/>
    <col min="11" max="11" width="9.5" style="1" bestFit="1" customWidth="1"/>
    <col min="12" max="12" width="18.5" style="1" customWidth="1"/>
    <col min="13" max="13" width="13.6640625" style="1" bestFit="1" customWidth="1"/>
    <col min="14" max="14" width="12.5" style="1" customWidth="1"/>
    <col min="15" max="16" width="13.6640625" style="1" bestFit="1" customWidth="1"/>
    <col min="17" max="18" width="8.83203125" style="1" customWidth="1"/>
    <col min="19" max="19" width="8.83203125" style="1" bestFit="1" customWidth="1"/>
    <col min="20" max="20" width="17.1640625" style="1" customWidth="1"/>
    <col min="21" max="21" width="8.83203125" style="1" bestFit="1" customWidth="1"/>
    <col min="22" max="22" width="16.5" style="1" customWidth="1"/>
    <col min="23" max="23" width="12.83203125" style="1" bestFit="1" customWidth="1"/>
    <col min="24" max="24" width="13.5" style="1" customWidth="1"/>
    <col min="25" max="25" width="12.5" style="1" customWidth="1"/>
    <col min="26" max="26" width="11.6640625" style="1" customWidth="1"/>
    <col min="27" max="16384" width="8.6640625" style="1"/>
  </cols>
  <sheetData>
    <row r="2" spans="1:39" x14ac:dyDescent="0.2">
      <c r="A2" s="4" t="s">
        <v>66</v>
      </c>
      <c r="B2" s="69"/>
      <c r="C2" s="2"/>
      <c r="D2" s="2"/>
      <c r="E2" s="2"/>
      <c r="F2" s="2"/>
      <c r="G2" s="2"/>
      <c r="H2" s="2"/>
      <c r="I2" s="2"/>
      <c r="J2" s="2"/>
      <c r="K2" s="2"/>
      <c r="L2" s="69"/>
      <c r="M2" s="69"/>
      <c r="N2" s="69"/>
      <c r="O2" s="69"/>
      <c r="P2" s="69"/>
      <c r="Q2" s="69"/>
      <c r="R2" s="69"/>
      <c r="S2" s="69"/>
      <c r="T2" s="69"/>
      <c r="U2" s="69"/>
      <c r="V2" s="69"/>
      <c r="W2" s="69"/>
    </row>
    <row r="3" spans="1:39" x14ac:dyDescent="0.2">
      <c r="B3" s="7"/>
      <c r="M3" s="79"/>
      <c r="N3" s="79"/>
      <c r="AL3" s="1" t="s">
        <v>5</v>
      </c>
      <c r="AM3" s="1" t="s">
        <v>6</v>
      </c>
    </row>
    <row r="4" spans="1:39" x14ac:dyDescent="0.2">
      <c r="A4" s="81"/>
      <c r="B4" s="133"/>
      <c r="C4" s="70"/>
      <c r="D4" s="88" t="s">
        <v>68</v>
      </c>
      <c r="E4" s="70"/>
      <c r="F4" s="81"/>
      <c r="G4" s="70"/>
      <c r="H4" s="88" t="s">
        <v>69</v>
      </c>
      <c r="I4" s="70"/>
      <c r="J4" s="81"/>
      <c r="K4" s="70"/>
      <c r="L4" s="88"/>
      <c r="M4" s="82"/>
      <c r="N4" s="266" t="s">
        <v>2</v>
      </c>
      <c r="O4" s="82"/>
      <c r="P4" s="82"/>
      <c r="Q4" s="82"/>
      <c r="R4" s="265"/>
      <c r="S4" s="280" t="s">
        <v>4</v>
      </c>
      <c r="T4" s="280"/>
      <c r="U4" s="280"/>
      <c r="V4" s="280"/>
      <c r="W4" s="280"/>
      <c r="X4" s="280"/>
      <c r="Y4" s="280"/>
      <c r="AL4" s="1" t="s">
        <v>15</v>
      </c>
      <c r="AM4" s="1" t="s">
        <v>16</v>
      </c>
    </row>
    <row r="5" spans="1:39" x14ac:dyDescent="0.2">
      <c r="A5" s="81"/>
      <c r="B5" s="265"/>
      <c r="C5" s="81" t="s">
        <v>70</v>
      </c>
      <c r="D5" s="81" t="s">
        <v>71</v>
      </c>
      <c r="E5" s="81" t="s">
        <v>72</v>
      </c>
      <c r="F5" s="81"/>
      <c r="G5" s="81" t="s">
        <v>73</v>
      </c>
      <c r="H5" s="81" t="s">
        <v>74</v>
      </c>
      <c r="I5" s="81" t="s">
        <v>75</v>
      </c>
      <c r="J5" s="81"/>
      <c r="K5" s="81" t="s">
        <v>76</v>
      </c>
      <c r="L5" s="81" t="s">
        <v>77</v>
      </c>
      <c r="M5" s="81" t="s">
        <v>78</v>
      </c>
      <c r="N5" s="81" t="s">
        <v>79</v>
      </c>
      <c r="O5" s="81" t="s">
        <v>80</v>
      </c>
      <c r="P5" s="81" t="s">
        <v>81</v>
      </c>
      <c r="Q5" s="81" t="s">
        <v>82</v>
      </c>
      <c r="R5" s="265"/>
      <c r="S5" s="81" t="s">
        <v>76</v>
      </c>
      <c r="T5" s="81" t="s">
        <v>77</v>
      </c>
      <c r="U5" s="81" t="s">
        <v>78</v>
      </c>
      <c r="V5" s="81" t="s">
        <v>79</v>
      </c>
      <c r="W5" s="81" t="s">
        <v>80</v>
      </c>
      <c r="X5" s="81" t="s">
        <v>81</v>
      </c>
      <c r="Y5" s="81" t="s">
        <v>82</v>
      </c>
    </row>
    <row r="6" spans="1:39" x14ac:dyDescent="0.2">
      <c r="A6" s="133" t="s">
        <v>83</v>
      </c>
      <c r="B6" s="133" t="s">
        <v>110</v>
      </c>
      <c r="C6" s="267" t="s">
        <v>84</v>
      </c>
      <c r="D6" s="267" t="s">
        <v>85</v>
      </c>
      <c r="E6" s="267" t="s">
        <v>85</v>
      </c>
      <c r="F6" s="267"/>
      <c r="G6" s="267" t="s">
        <v>85</v>
      </c>
      <c r="H6" s="267" t="s">
        <v>85</v>
      </c>
      <c r="I6" s="267" t="s">
        <v>85</v>
      </c>
      <c r="J6" s="267"/>
      <c r="K6" s="265"/>
      <c r="L6" s="265"/>
      <c r="M6" s="265"/>
      <c r="N6" s="265"/>
      <c r="O6" s="265"/>
      <c r="P6" s="265"/>
      <c r="Q6" s="265"/>
      <c r="R6" s="267"/>
      <c r="S6" s="267"/>
      <c r="T6" s="267"/>
      <c r="U6" s="267"/>
      <c r="V6" s="267"/>
      <c r="W6" s="267"/>
      <c r="X6" s="267"/>
      <c r="Y6" s="267"/>
    </row>
    <row r="7" spans="1:39" x14ac:dyDescent="0.2">
      <c r="A7" s="75" t="s">
        <v>86</v>
      </c>
      <c r="B7" s="75" t="s">
        <v>15</v>
      </c>
      <c r="C7" s="268">
        <v>70.522262999999995</v>
      </c>
      <c r="D7" s="269">
        <v>27478.960738999998</v>
      </c>
      <c r="E7" s="269">
        <v>-4077.0848350000001</v>
      </c>
      <c r="F7" s="269"/>
      <c r="G7" s="269">
        <v>77792.925231000001</v>
      </c>
      <c r="H7" s="269">
        <v>11044.40942</v>
      </c>
      <c r="I7" s="269">
        <v>7175.8</v>
      </c>
      <c r="J7" s="75"/>
      <c r="K7" s="135">
        <f t="shared" ref="K7:K25" si="0">E7/G7</f>
        <v>-5.240945526721634E-2</v>
      </c>
      <c r="L7" s="135">
        <v>-0.36915399999999998</v>
      </c>
      <c r="M7" s="135">
        <v>-0.44157200000000002</v>
      </c>
      <c r="N7" s="135">
        <v>0.68468700000000005</v>
      </c>
      <c r="O7" s="135">
        <v>3.8269510000000002</v>
      </c>
      <c r="P7" s="135">
        <v>5.2349389999999998</v>
      </c>
      <c r="Q7" s="135">
        <v>0.35175899999999999</v>
      </c>
      <c r="R7" s="135"/>
      <c r="S7" s="135" t="str">
        <f t="shared" ref="S7:Y25" si="1">IF($B7="No","",K7)</f>
        <v/>
      </c>
      <c r="T7" s="135" t="str">
        <f t="shared" si="1"/>
        <v/>
      </c>
      <c r="U7" s="135" t="str">
        <f t="shared" si="1"/>
        <v/>
      </c>
      <c r="V7" s="135" t="str">
        <f t="shared" si="1"/>
        <v/>
      </c>
      <c r="W7" s="135" t="str">
        <f t="shared" si="1"/>
        <v/>
      </c>
      <c r="X7" s="135" t="str">
        <f t="shared" si="1"/>
        <v/>
      </c>
      <c r="Y7" s="135" t="str">
        <f t="shared" si="1"/>
        <v/>
      </c>
    </row>
    <row r="8" spans="1:39" x14ac:dyDescent="0.2">
      <c r="A8" s="75" t="s">
        <v>87</v>
      </c>
      <c r="B8" s="75" t="s">
        <v>5</v>
      </c>
      <c r="C8" s="268">
        <v>12.843427</v>
      </c>
      <c r="D8" s="269">
        <v>38524.963294000001</v>
      </c>
      <c r="E8" s="269">
        <v>20350.198108000001</v>
      </c>
      <c r="F8" s="269"/>
      <c r="G8" s="269">
        <v>190508.777868</v>
      </c>
      <c r="H8" s="269">
        <v>26413.869640000001</v>
      </c>
      <c r="I8" s="269">
        <v>14377.4</v>
      </c>
      <c r="J8" s="75"/>
      <c r="K8" s="135">
        <f t="shared" si="0"/>
        <v>0.10682026484942481</v>
      </c>
      <c r="L8" s="135">
        <v>0.77043600000000001</v>
      </c>
      <c r="M8" s="135">
        <v>1.1056859999999999</v>
      </c>
      <c r="N8" s="135">
        <v>0.42960999999999999</v>
      </c>
      <c r="O8" s="135">
        <v>2.7099730000000002</v>
      </c>
      <c r="P8" s="135">
        <v>14.131588000000001</v>
      </c>
      <c r="Q8" s="135">
        <v>0.20307900000000001</v>
      </c>
      <c r="R8" s="135"/>
      <c r="S8" s="135">
        <f>IF($B8="No","",K8)</f>
        <v>0.10682026484942481</v>
      </c>
      <c r="T8" s="135">
        <f t="shared" si="1"/>
        <v>0.77043600000000001</v>
      </c>
      <c r="U8" s="135">
        <f t="shared" si="1"/>
        <v>1.1056859999999999</v>
      </c>
      <c r="V8" s="135">
        <f t="shared" si="1"/>
        <v>0.42960999999999999</v>
      </c>
      <c r="W8" s="135">
        <f t="shared" si="1"/>
        <v>2.7099730000000002</v>
      </c>
      <c r="X8" s="135">
        <f t="shared" si="1"/>
        <v>14.131588000000001</v>
      </c>
      <c r="Y8" s="135">
        <f t="shared" si="1"/>
        <v>0.20307900000000001</v>
      </c>
    </row>
    <row r="9" spans="1:39" x14ac:dyDescent="0.2">
      <c r="A9" s="75" t="s">
        <v>88</v>
      </c>
      <c r="B9" s="75" t="s">
        <v>15</v>
      </c>
      <c r="C9" s="268">
        <v>4.2629669999999997</v>
      </c>
      <c r="D9" s="269">
        <v>85.419619999999995</v>
      </c>
      <c r="E9" s="269">
        <v>-156.07834600000001</v>
      </c>
      <c r="F9" s="269"/>
      <c r="G9" s="269">
        <v>630.44802600000003</v>
      </c>
      <c r="H9" s="269">
        <v>43.638959999999997</v>
      </c>
      <c r="I9" s="269">
        <v>30.2</v>
      </c>
      <c r="J9" s="270"/>
      <c r="K9" s="135">
        <f t="shared" si="0"/>
        <v>-0.24756734824005938</v>
      </c>
      <c r="L9" s="135">
        <v>-3.5765829999999998</v>
      </c>
      <c r="M9" s="135">
        <v>-5.2752270000000001</v>
      </c>
      <c r="N9" s="135">
        <v>0.23741000000000001</v>
      </c>
      <c r="O9" s="135">
        <v>2.8156970000000001</v>
      </c>
      <c r="P9" s="135">
        <v>1.6692119999999999</v>
      </c>
      <c r="Q9" s="135">
        <v>0.13508800000000001</v>
      </c>
      <c r="R9" s="135"/>
      <c r="S9" s="135" t="str">
        <f t="shared" si="1"/>
        <v/>
      </c>
      <c r="T9" s="135" t="str">
        <f t="shared" si="1"/>
        <v/>
      </c>
      <c r="U9" s="135" t="str">
        <f t="shared" si="1"/>
        <v/>
      </c>
      <c r="V9" s="135" t="str">
        <f t="shared" si="1"/>
        <v/>
      </c>
      <c r="W9" s="135" t="str">
        <f t="shared" si="1"/>
        <v/>
      </c>
      <c r="X9" s="135" t="str">
        <f t="shared" si="1"/>
        <v/>
      </c>
      <c r="Y9" s="135" t="str">
        <f t="shared" si="1"/>
        <v/>
      </c>
    </row>
    <row r="10" spans="1:39" x14ac:dyDescent="0.2">
      <c r="A10" s="75" t="s">
        <v>89</v>
      </c>
      <c r="B10" s="75" t="s">
        <v>15</v>
      </c>
      <c r="C10" s="268">
        <v>15.980589999999999</v>
      </c>
      <c r="D10" s="269">
        <v>11678.808265</v>
      </c>
      <c r="E10" s="269">
        <v>7971.2488430000003</v>
      </c>
      <c r="F10" s="269"/>
      <c r="G10" s="269">
        <v>31624.287984999999</v>
      </c>
      <c r="H10" s="269">
        <v>4931.4578099999999</v>
      </c>
      <c r="I10" s="269">
        <v>2641.1</v>
      </c>
      <c r="J10" s="270"/>
      <c r="K10" s="135">
        <f t="shared" si="0"/>
        <v>0.25206097436188651</v>
      </c>
      <c r="L10" s="135">
        <v>1.6164080000000001</v>
      </c>
      <c r="M10" s="135">
        <v>2.3048380000000002</v>
      </c>
      <c r="N10" s="135">
        <v>0.65295700000000001</v>
      </c>
      <c r="O10" s="135">
        <v>4.4853170000000002</v>
      </c>
      <c r="P10" s="135">
        <v>3.258839</v>
      </c>
      <c r="Q10" s="135">
        <v>0.36976399999999998</v>
      </c>
      <c r="R10" s="135"/>
      <c r="S10" s="135" t="str">
        <f t="shared" si="1"/>
        <v/>
      </c>
      <c r="T10" s="135" t="str">
        <f t="shared" si="1"/>
        <v/>
      </c>
      <c r="U10" s="135" t="str">
        <f t="shared" si="1"/>
        <v/>
      </c>
      <c r="V10" s="135" t="str">
        <f t="shared" si="1"/>
        <v/>
      </c>
      <c r="W10" s="135" t="str">
        <f t="shared" si="1"/>
        <v/>
      </c>
      <c r="X10" s="135" t="str">
        <f t="shared" si="1"/>
        <v/>
      </c>
      <c r="Y10" s="135" t="str">
        <f t="shared" si="1"/>
        <v/>
      </c>
    </row>
    <row r="11" spans="1:39" x14ac:dyDescent="0.2">
      <c r="A11" s="75" t="s">
        <v>90</v>
      </c>
      <c r="B11" s="75" t="s">
        <v>15</v>
      </c>
      <c r="C11" s="268">
        <v>2.695459</v>
      </c>
      <c r="D11" s="269">
        <v>9322.5366639999993</v>
      </c>
      <c r="E11" s="269">
        <v>54566.909749999999</v>
      </c>
      <c r="F11" s="269"/>
      <c r="G11" s="269">
        <v>83831.750505999997</v>
      </c>
      <c r="H11" s="269">
        <v>6308.6386499999999</v>
      </c>
      <c r="I11" s="269">
        <v>995.2</v>
      </c>
      <c r="J11" s="270"/>
      <c r="K11" s="135">
        <f t="shared" si="0"/>
        <v>0.65090982140584719</v>
      </c>
      <c r="L11" s="135">
        <v>8.6495540000000002</v>
      </c>
      <c r="M11" s="135">
        <v>30.978787000000001</v>
      </c>
      <c r="N11" s="135">
        <v>0.24192</v>
      </c>
      <c r="O11" s="135">
        <v>10.078108</v>
      </c>
      <c r="P11" s="135" t="s">
        <v>91</v>
      </c>
      <c r="Q11" s="135">
        <v>0.11645999999999999</v>
      </c>
      <c r="R11" s="135"/>
      <c r="S11" s="135" t="str">
        <f t="shared" si="1"/>
        <v/>
      </c>
      <c r="T11" s="135" t="str">
        <f t="shared" si="1"/>
        <v/>
      </c>
      <c r="U11" s="135" t="str">
        <f t="shared" si="1"/>
        <v/>
      </c>
      <c r="V11" s="135" t="str">
        <f t="shared" si="1"/>
        <v/>
      </c>
      <c r="W11" s="135" t="str">
        <f t="shared" si="1"/>
        <v/>
      </c>
      <c r="X11" s="135" t="str">
        <f t="shared" si="1"/>
        <v/>
      </c>
      <c r="Y11" s="135" t="str">
        <f t="shared" si="1"/>
        <v/>
      </c>
    </row>
    <row r="12" spans="1:39" x14ac:dyDescent="0.2">
      <c r="A12" s="75" t="s">
        <v>92</v>
      </c>
      <c r="B12" s="75" t="s">
        <v>5</v>
      </c>
      <c r="C12" s="268">
        <v>10.73</v>
      </c>
      <c r="D12" s="269">
        <v>43510.046602000002</v>
      </c>
      <c r="E12" s="269">
        <v>158157.04610199999</v>
      </c>
      <c r="F12" s="269"/>
      <c r="G12" s="269">
        <v>182743</v>
      </c>
      <c r="H12" s="269">
        <v>9625</v>
      </c>
      <c r="I12" s="269">
        <v>3529</v>
      </c>
      <c r="J12" s="270"/>
      <c r="K12" s="135">
        <f t="shared" si="0"/>
        <v>0.86546158321796185</v>
      </c>
      <c r="L12" s="135">
        <v>16.431901</v>
      </c>
      <c r="M12" s="135">
        <v>45.058987000000002</v>
      </c>
      <c r="N12" s="135">
        <v>0.96857300000000002</v>
      </c>
      <c r="O12" s="135">
        <v>12.317518</v>
      </c>
      <c r="P12" s="135">
        <v>6.7740239999999998</v>
      </c>
      <c r="Q12" s="135">
        <v>0.23746100000000001</v>
      </c>
      <c r="R12" s="135"/>
      <c r="S12" s="135">
        <f t="shared" si="1"/>
        <v>0.86546158321796185</v>
      </c>
      <c r="T12" s="135">
        <f t="shared" si="1"/>
        <v>16.431901</v>
      </c>
      <c r="U12" s="135">
        <f t="shared" si="1"/>
        <v>45.058987000000002</v>
      </c>
      <c r="V12" s="135">
        <f t="shared" si="1"/>
        <v>0.96857300000000002</v>
      </c>
      <c r="W12" s="135">
        <f t="shared" si="1"/>
        <v>12.317518</v>
      </c>
      <c r="X12" s="135">
        <f t="shared" si="1"/>
        <v>6.7740239999999998</v>
      </c>
      <c r="Y12" s="135">
        <f t="shared" si="1"/>
        <v>0.23746100000000001</v>
      </c>
    </row>
    <row r="13" spans="1:39" x14ac:dyDescent="0.2">
      <c r="A13" s="75" t="s">
        <v>31</v>
      </c>
      <c r="B13" s="75" t="s">
        <v>5</v>
      </c>
      <c r="C13" s="268">
        <v>54.869999</v>
      </c>
      <c r="D13" s="269">
        <v>62524.136741000002</v>
      </c>
      <c r="E13" s="269">
        <v>41995.137140999999</v>
      </c>
      <c r="F13" s="269"/>
      <c r="G13" s="269">
        <v>182718</v>
      </c>
      <c r="H13" s="269">
        <v>24334</v>
      </c>
      <c r="I13" s="269">
        <v>11072</v>
      </c>
      <c r="J13" s="270"/>
      <c r="K13" s="135">
        <f t="shared" si="0"/>
        <v>0.22983579691655995</v>
      </c>
      <c r="L13" s="135">
        <v>1.7257800000000001</v>
      </c>
      <c r="M13" s="135">
        <v>3.4481600000000001</v>
      </c>
      <c r="N13" s="135">
        <v>0.86343800000000004</v>
      </c>
      <c r="O13" s="135">
        <v>5.9440189999999999</v>
      </c>
      <c r="P13" s="135" t="s">
        <v>91</v>
      </c>
      <c r="Q13" s="135">
        <v>0.34465200000000001</v>
      </c>
      <c r="R13" s="135"/>
      <c r="S13" s="135">
        <f t="shared" si="1"/>
        <v>0.22983579691655995</v>
      </c>
      <c r="T13" s="135">
        <f t="shared" si="1"/>
        <v>1.7257800000000001</v>
      </c>
      <c r="U13" s="135">
        <f t="shared" si="1"/>
        <v>3.4481600000000001</v>
      </c>
      <c r="V13" s="135">
        <f t="shared" si="1"/>
        <v>0.86343800000000004</v>
      </c>
      <c r="W13" s="135">
        <f t="shared" si="1"/>
        <v>5.9440189999999999</v>
      </c>
      <c r="X13" s="135" t="str">
        <f t="shared" si="1"/>
        <v>-</v>
      </c>
      <c r="Y13" s="135">
        <f t="shared" si="1"/>
        <v>0.34465200000000001</v>
      </c>
    </row>
    <row r="14" spans="1:39" x14ac:dyDescent="0.2">
      <c r="A14" s="75" t="s">
        <v>93</v>
      </c>
      <c r="B14" s="75" t="s">
        <v>15</v>
      </c>
      <c r="C14" s="268">
        <v>88.635208000000006</v>
      </c>
      <c r="D14" s="269">
        <v>43892.235225999997</v>
      </c>
      <c r="E14" s="269">
        <v>219041.011</v>
      </c>
      <c r="F14" s="269"/>
      <c r="G14" s="269">
        <v>351702.530799</v>
      </c>
      <c r="H14" s="269">
        <v>58907.951780000003</v>
      </c>
      <c r="I14" s="269">
        <v>13281.8</v>
      </c>
      <c r="J14" s="270"/>
      <c r="K14" s="135">
        <f t="shared" si="0"/>
        <v>0.62280191871915525</v>
      </c>
      <c r="L14" s="135">
        <v>3.7183609999999998</v>
      </c>
      <c r="M14" s="135">
        <v>7.8487650000000002</v>
      </c>
      <c r="N14" s="135">
        <v>0.241623</v>
      </c>
      <c r="O14" s="135">
        <v>3.3160099999999999</v>
      </c>
      <c r="P14" s="135" t="s">
        <v>91</v>
      </c>
      <c r="Q14" s="135">
        <v>0.125247</v>
      </c>
      <c r="R14" s="135"/>
      <c r="S14" s="135" t="str">
        <f t="shared" si="1"/>
        <v/>
      </c>
      <c r="T14" s="135" t="str">
        <f t="shared" si="1"/>
        <v/>
      </c>
      <c r="U14" s="135" t="str">
        <f t="shared" si="1"/>
        <v/>
      </c>
      <c r="V14" s="135" t="str">
        <f t="shared" si="1"/>
        <v/>
      </c>
      <c r="W14" s="135" t="str">
        <f t="shared" si="1"/>
        <v/>
      </c>
      <c r="X14" s="135" t="str">
        <f t="shared" si="1"/>
        <v/>
      </c>
      <c r="Y14" s="135" t="str">
        <f t="shared" si="1"/>
        <v/>
      </c>
    </row>
    <row r="15" spans="1:39" x14ac:dyDescent="0.2">
      <c r="A15" s="75" t="s">
        <v>17</v>
      </c>
      <c r="B15" s="75" t="s">
        <v>15</v>
      </c>
      <c r="C15" s="268">
        <v>6.465503</v>
      </c>
      <c r="D15" s="269">
        <v>4075.85385</v>
      </c>
      <c r="E15" s="269">
        <v>1857.208498</v>
      </c>
      <c r="F15" s="269"/>
      <c r="G15" s="269">
        <v>32612.932260000001</v>
      </c>
      <c r="H15" s="269">
        <v>2258.9489600000002</v>
      </c>
      <c r="I15" s="269">
        <v>897</v>
      </c>
      <c r="J15" s="270"/>
      <c r="K15" s="135">
        <f t="shared" si="0"/>
        <v>5.69469952347057E-2</v>
      </c>
      <c r="L15" s="135">
        <v>0.822156</v>
      </c>
      <c r="M15" s="135">
        <v>1.2471479999999999</v>
      </c>
      <c r="N15" s="135">
        <v>0.343086</v>
      </c>
      <c r="O15" s="135">
        <v>4.576435</v>
      </c>
      <c r="P15" s="135">
        <v>2.8295870000000001</v>
      </c>
      <c r="Q15" s="135">
        <v>0.12593299999999999</v>
      </c>
      <c r="R15" s="135"/>
      <c r="S15" s="135" t="str">
        <f t="shared" si="1"/>
        <v/>
      </c>
      <c r="T15" s="135" t="str">
        <f t="shared" si="1"/>
        <v/>
      </c>
      <c r="U15" s="135" t="str">
        <f t="shared" si="1"/>
        <v/>
      </c>
      <c r="V15" s="135" t="str">
        <f t="shared" si="1"/>
        <v/>
      </c>
      <c r="W15" s="135" t="str">
        <f t="shared" si="1"/>
        <v/>
      </c>
      <c r="X15" s="135" t="str">
        <f t="shared" si="1"/>
        <v/>
      </c>
      <c r="Y15" s="135" t="str">
        <f t="shared" si="1"/>
        <v/>
      </c>
    </row>
    <row r="16" spans="1:39" x14ac:dyDescent="0.2">
      <c r="A16" s="75" t="s">
        <v>40</v>
      </c>
      <c r="B16" s="75" t="s">
        <v>5</v>
      </c>
      <c r="C16" s="268">
        <v>9.2802039999999995</v>
      </c>
      <c r="D16" s="269">
        <v>34188.410653999999</v>
      </c>
      <c r="E16" s="269">
        <v>40226.876672999999</v>
      </c>
      <c r="F16" s="269"/>
      <c r="G16" s="269">
        <v>52778.378338000002</v>
      </c>
      <c r="H16" s="269">
        <v>7136.8734999999997</v>
      </c>
      <c r="I16" s="269">
        <v>3998.8</v>
      </c>
      <c r="J16" s="270"/>
      <c r="K16" s="135">
        <f t="shared" si="0"/>
        <v>0.76218477982369104</v>
      </c>
      <c r="L16" s="135">
        <v>5.6364840000000003</v>
      </c>
      <c r="M16" s="135">
        <v>10.186389</v>
      </c>
      <c r="N16" s="135">
        <v>2.929065</v>
      </c>
      <c r="O16" s="135">
        <v>8.8334499999999991</v>
      </c>
      <c r="P16" s="135" t="s">
        <v>91</v>
      </c>
      <c r="Q16" s="135">
        <v>0.66928399999999999</v>
      </c>
      <c r="R16" s="135"/>
      <c r="S16" s="135">
        <f t="shared" si="1"/>
        <v>0.76218477982369104</v>
      </c>
      <c r="T16" s="135">
        <f t="shared" si="1"/>
        <v>5.6364840000000003</v>
      </c>
      <c r="U16" s="135">
        <f t="shared" si="1"/>
        <v>10.186389</v>
      </c>
      <c r="V16" s="135">
        <f t="shared" si="1"/>
        <v>2.929065</v>
      </c>
      <c r="W16" s="135">
        <f t="shared" si="1"/>
        <v>8.8334499999999991</v>
      </c>
      <c r="X16" s="135" t="str">
        <f t="shared" si="1"/>
        <v>-</v>
      </c>
      <c r="Y16" s="135">
        <f t="shared" si="1"/>
        <v>0.66928399999999999</v>
      </c>
    </row>
    <row r="17" spans="1:25" x14ac:dyDescent="0.2">
      <c r="A17" s="75" t="s">
        <v>94</v>
      </c>
      <c r="B17" s="75" t="s">
        <v>5</v>
      </c>
      <c r="C17" s="268">
        <v>17.343101999999998</v>
      </c>
      <c r="D17" s="269">
        <v>233613.113515</v>
      </c>
      <c r="E17" s="269">
        <v>405363.93115399999</v>
      </c>
      <c r="F17" s="269"/>
      <c r="G17" s="269">
        <v>308526.803617</v>
      </c>
      <c r="H17" s="269">
        <v>49560.741730000002</v>
      </c>
      <c r="I17" s="269">
        <v>28345.7</v>
      </c>
      <c r="J17" s="75"/>
      <c r="K17" s="135">
        <f t="shared" si="0"/>
        <v>1.3138694155636863</v>
      </c>
      <c r="L17" s="135">
        <v>8.1791339999999995</v>
      </c>
      <c r="M17" s="135">
        <v>11.593786</v>
      </c>
      <c r="N17" s="135">
        <v>0.948465</v>
      </c>
      <c r="O17" s="135">
        <v>8.2266729999999999</v>
      </c>
      <c r="P17" s="135" t="s">
        <v>91</v>
      </c>
      <c r="Q17" s="135">
        <v>0.74675499999999995</v>
      </c>
      <c r="R17" s="135"/>
      <c r="S17" s="135">
        <f t="shared" si="1"/>
        <v>1.3138694155636863</v>
      </c>
      <c r="T17" s="135">
        <f t="shared" si="1"/>
        <v>8.1791339999999995</v>
      </c>
      <c r="U17" s="135">
        <f t="shared" si="1"/>
        <v>11.593786</v>
      </c>
      <c r="V17" s="135">
        <f t="shared" si="1"/>
        <v>0.948465</v>
      </c>
      <c r="W17" s="135">
        <f t="shared" si="1"/>
        <v>8.2266729999999999</v>
      </c>
      <c r="X17" s="135" t="str">
        <f t="shared" si="1"/>
        <v>-</v>
      </c>
      <c r="Y17" s="135">
        <f t="shared" si="1"/>
        <v>0.74675499999999995</v>
      </c>
    </row>
    <row r="18" spans="1:25" x14ac:dyDescent="0.2">
      <c r="A18" s="75" t="s">
        <v>95</v>
      </c>
      <c r="B18" s="75" t="s">
        <v>15</v>
      </c>
      <c r="C18" s="268">
        <v>8.7695620000000005</v>
      </c>
      <c r="D18" s="269">
        <v>42288.086186</v>
      </c>
      <c r="E18" s="269">
        <v>77479.882830999995</v>
      </c>
      <c r="F18" s="269"/>
      <c r="G18" s="269">
        <v>143749.636902</v>
      </c>
      <c r="H18" s="269">
        <v>19953.022870000001</v>
      </c>
      <c r="I18" s="269">
        <v>6553.8</v>
      </c>
      <c r="J18" s="75"/>
      <c r="K18" s="135">
        <f t="shared" si="0"/>
        <v>0.53899185069817734</v>
      </c>
      <c r="L18" s="135">
        <v>3.8831150000000001</v>
      </c>
      <c r="M18" s="135">
        <v>8.1591749999999994</v>
      </c>
      <c r="N18" s="135">
        <v>0.47126699999999999</v>
      </c>
      <c r="O18" s="135">
        <v>6.4187690000000002</v>
      </c>
      <c r="P18" s="135">
        <v>916.59004100000004</v>
      </c>
      <c r="Q18" s="135">
        <v>0.28400399999999998</v>
      </c>
      <c r="R18" s="135"/>
      <c r="S18" s="135" t="str">
        <f t="shared" si="1"/>
        <v/>
      </c>
      <c r="T18" s="135" t="str">
        <f t="shared" si="1"/>
        <v/>
      </c>
      <c r="U18" s="135" t="str">
        <f t="shared" si="1"/>
        <v/>
      </c>
      <c r="V18" s="135" t="str">
        <f t="shared" si="1"/>
        <v/>
      </c>
      <c r="W18" s="135" t="str">
        <f t="shared" si="1"/>
        <v/>
      </c>
      <c r="X18" s="135" t="str">
        <f t="shared" si="1"/>
        <v/>
      </c>
      <c r="Y18" s="135" t="str">
        <f t="shared" si="1"/>
        <v/>
      </c>
    </row>
    <row r="19" spans="1:25" x14ac:dyDescent="0.2">
      <c r="A19" s="75" t="s">
        <v>96</v>
      </c>
      <c r="B19" s="75" t="s">
        <v>15</v>
      </c>
      <c r="C19" s="268">
        <v>2.8734860000000002</v>
      </c>
      <c r="D19" s="269">
        <v>4275.5541439999997</v>
      </c>
      <c r="E19" s="269">
        <v>3218.7905139999998</v>
      </c>
      <c r="F19" s="269"/>
      <c r="G19" s="269">
        <v>18394.467782</v>
      </c>
      <c r="H19" s="269">
        <v>1660.26432</v>
      </c>
      <c r="I19" s="269">
        <v>832.4</v>
      </c>
      <c r="J19" s="75"/>
      <c r="K19" s="135">
        <f t="shared" si="0"/>
        <v>0.17498687932410656</v>
      </c>
      <c r="L19" s="135">
        <v>1.9387220000000001</v>
      </c>
      <c r="M19" s="135">
        <v>2.7266819999999998</v>
      </c>
      <c r="N19" s="135">
        <v>1.0505469999999999</v>
      </c>
      <c r="O19" s="135">
        <v>9.446631</v>
      </c>
      <c r="P19" s="135">
        <v>9.4178759999999997</v>
      </c>
      <c r="Q19" s="135">
        <v>0.53625</v>
      </c>
      <c r="R19" s="135"/>
      <c r="S19" s="135" t="str">
        <f t="shared" si="1"/>
        <v/>
      </c>
      <c r="T19" s="135" t="str">
        <f t="shared" si="1"/>
        <v/>
      </c>
      <c r="U19" s="135" t="str">
        <f t="shared" si="1"/>
        <v/>
      </c>
      <c r="V19" s="135" t="str">
        <f t="shared" si="1"/>
        <v/>
      </c>
      <c r="W19" s="135" t="str">
        <f t="shared" si="1"/>
        <v/>
      </c>
      <c r="X19" s="135" t="str">
        <f t="shared" si="1"/>
        <v/>
      </c>
      <c r="Y19" s="135" t="str">
        <f t="shared" si="1"/>
        <v/>
      </c>
    </row>
    <row r="20" spans="1:25" x14ac:dyDescent="0.2">
      <c r="A20" s="75" t="s">
        <v>97</v>
      </c>
      <c r="B20" s="75" t="s">
        <v>15</v>
      </c>
      <c r="C20" s="268">
        <v>342.02999899999998</v>
      </c>
      <c r="D20" s="269">
        <v>1236918.622128</v>
      </c>
      <c r="E20" s="269">
        <v>1211262.622128</v>
      </c>
      <c r="F20" s="269"/>
      <c r="G20" s="269">
        <v>97150</v>
      </c>
      <c r="H20" s="269">
        <v>13338</v>
      </c>
      <c r="I20" s="269">
        <v>12743</v>
      </c>
      <c r="J20" s="75"/>
      <c r="K20" s="135">
        <f t="shared" si="0"/>
        <v>12.467963171672672</v>
      </c>
      <c r="L20" s="135">
        <v>90.812911999999997</v>
      </c>
      <c r="M20" s="135">
        <v>147.105006</v>
      </c>
      <c r="N20" s="135">
        <v>15.575715000000001</v>
      </c>
      <c r="O20" s="135">
        <v>93.041858000000005</v>
      </c>
      <c r="P20" s="135">
        <v>329.00860899999998</v>
      </c>
      <c r="Q20" s="135">
        <v>12.225642000000001</v>
      </c>
      <c r="R20" s="135"/>
      <c r="S20" s="135" t="str">
        <f t="shared" si="1"/>
        <v/>
      </c>
      <c r="T20" s="135" t="str">
        <f t="shared" si="1"/>
        <v/>
      </c>
      <c r="U20" s="135" t="str">
        <f t="shared" si="1"/>
        <v/>
      </c>
      <c r="V20" s="135" t="str">
        <f t="shared" si="1"/>
        <v/>
      </c>
      <c r="W20" s="135" t="str">
        <f t="shared" si="1"/>
        <v/>
      </c>
      <c r="X20" s="135" t="str">
        <f t="shared" si="1"/>
        <v/>
      </c>
      <c r="Y20" s="135" t="str">
        <f t="shared" si="1"/>
        <v/>
      </c>
    </row>
    <row r="21" spans="1:25" x14ac:dyDescent="0.2">
      <c r="A21" s="75" t="s">
        <v>36</v>
      </c>
      <c r="B21" s="75" t="s">
        <v>5</v>
      </c>
      <c r="C21" s="268">
        <v>10.646229</v>
      </c>
      <c r="D21" s="269">
        <v>20857.120122</v>
      </c>
      <c r="E21" s="269">
        <v>23665.867876</v>
      </c>
      <c r="F21" s="269"/>
      <c r="G21" s="269">
        <v>37670.351247999999</v>
      </c>
      <c r="H21" s="269">
        <v>5269.6085800000001</v>
      </c>
      <c r="I21" s="269">
        <v>2366.1999999999998</v>
      </c>
      <c r="J21" s="75"/>
      <c r="K21" s="135">
        <f t="shared" si="0"/>
        <v>0.628235922733969</v>
      </c>
      <c r="L21" s="135">
        <v>4.4910110000000003</v>
      </c>
      <c r="M21" s="135">
        <v>6.2843730000000004</v>
      </c>
      <c r="N21" s="135">
        <v>1.0790709999999999</v>
      </c>
      <c r="O21" s="135">
        <v>8.8546250000000004</v>
      </c>
      <c r="P21" s="135">
        <v>12.816037</v>
      </c>
      <c r="Q21" s="135">
        <v>0.55623900000000004</v>
      </c>
      <c r="R21" s="135"/>
      <c r="S21" s="135">
        <f t="shared" si="1"/>
        <v>0.628235922733969</v>
      </c>
      <c r="T21" s="135">
        <f t="shared" si="1"/>
        <v>4.4910110000000003</v>
      </c>
      <c r="U21" s="135">
        <f t="shared" si="1"/>
        <v>6.2843730000000004</v>
      </c>
      <c r="V21" s="135">
        <f t="shared" si="1"/>
        <v>1.0790709999999999</v>
      </c>
      <c r="W21" s="135">
        <f t="shared" si="1"/>
        <v>8.8546250000000004</v>
      </c>
      <c r="X21" s="135">
        <f t="shared" si="1"/>
        <v>12.816037</v>
      </c>
      <c r="Y21" s="135">
        <f t="shared" si="1"/>
        <v>0.55623900000000004</v>
      </c>
    </row>
    <row r="22" spans="1:25" x14ac:dyDescent="0.2">
      <c r="A22" s="75" t="s">
        <v>98</v>
      </c>
      <c r="B22" s="75" t="s">
        <v>15</v>
      </c>
      <c r="C22" s="268">
        <v>42.744788999999997</v>
      </c>
      <c r="D22" s="269">
        <v>12479.822166</v>
      </c>
      <c r="E22" s="269">
        <v>46590.503663000003</v>
      </c>
      <c r="F22" s="269"/>
      <c r="G22" s="269">
        <v>56749.435031000001</v>
      </c>
      <c r="H22" s="269">
        <v>7634.7101199999997</v>
      </c>
      <c r="I22" s="269">
        <v>1511.6</v>
      </c>
      <c r="J22" s="75"/>
      <c r="K22" s="135">
        <f t="shared" si="0"/>
        <v>0.82098621136138938</v>
      </c>
      <c r="L22" s="135">
        <v>6.1024589999999996</v>
      </c>
      <c r="M22" s="135">
        <v>10.133927999999999</v>
      </c>
      <c r="N22" s="135">
        <v>0.37651499999999999</v>
      </c>
      <c r="O22" s="135">
        <v>7.7215350000000003</v>
      </c>
      <c r="P22" s="135">
        <v>2.1800799999999998</v>
      </c>
      <c r="Q22" s="135">
        <v>0.20814299999999999</v>
      </c>
      <c r="R22" s="135"/>
      <c r="S22" s="135" t="str">
        <f t="shared" si="1"/>
        <v/>
      </c>
      <c r="T22" s="135" t="str">
        <f t="shared" si="1"/>
        <v/>
      </c>
      <c r="U22" s="135" t="str">
        <f t="shared" si="1"/>
        <v/>
      </c>
      <c r="V22" s="135" t="str">
        <f t="shared" si="1"/>
        <v/>
      </c>
      <c r="W22" s="135" t="str">
        <f t="shared" si="1"/>
        <v/>
      </c>
      <c r="X22" s="135" t="str">
        <f t="shared" si="1"/>
        <v/>
      </c>
      <c r="Y22" s="135" t="str">
        <f t="shared" si="1"/>
        <v/>
      </c>
    </row>
    <row r="23" spans="1:25" x14ac:dyDescent="0.2">
      <c r="A23" s="75" t="s">
        <v>99</v>
      </c>
      <c r="B23" s="75" t="s">
        <v>15</v>
      </c>
      <c r="C23" s="268">
        <v>72.065421999999998</v>
      </c>
      <c r="D23" s="269">
        <v>45066.272809000002</v>
      </c>
      <c r="E23" s="269">
        <v>104199.42656599999</v>
      </c>
      <c r="F23" s="269"/>
      <c r="G23" s="269">
        <v>161436.72969499999</v>
      </c>
      <c r="H23" s="269">
        <v>24600.53299</v>
      </c>
      <c r="I23" s="269">
        <v>8867.9</v>
      </c>
      <c r="J23" s="75"/>
      <c r="K23" s="135">
        <f t="shared" si="0"/>
        <v>0.6454505536804569</v>
      </c>
      <c r="L23" s="135">
        <v>4.2356569999999998</v>
      </c>
      <c r="M23" s="135">
        <v>6.8864710000000002</v>
      </c>
      <c r="N23" s="135">
        <v>0.43895299999999998</v>
      </c>
      <c r="O23" s="135">
        <v>5.1122310000000004</v>
      </c>
      <c r="P23" s="135" t="s">
        <v>91</v>
      </c>
      <c r="Q23" s="135">
        <v>0.27531</v>
      </c>
      <c r="R23" s="135"/>
      <c r="S23" s="135" t="str">
        <f t="shared" si="1"/>
        <v/>
      </c>
      <c r="T23" s="135" t="str">
        <f t="shared" si="1"/>
        <v/>
      </c>
      <c r="U23" s="135" t="str">
        <f t="shared" si="1"/>
        <v/>
      </c>
      <c r="V23" s="135" t="str">
        <f t="shared" si="1"/>
        <v/>
      </c>
      <c r="W23" s="135" t="str">
        <f t="shared" si="1"/>
        <v/>
      </c>
      <c r="X23" s="135" t="str">
        <f t="shared" si="1"/>
        <v/>
      </c>
      <c r="Y23" s="135" t="str">
        <f t="shared" si="1"/>
        <v/>
      </c>
    </row>
    <row r="24" spans="1:25" x14ac:dyDescent="0.2">
      <c r="A24" s="75" t="s">
        <v>100</v>
      </c>
      <c r="B24" s="75" t="s">
        <v>15</v>
      </c>
      <c r="C24" s="268">
        <v>61.376598000000001</v>
      </c>
      <c r="D24" s="269">
        <v>55796.524621999997</v>
      </c>
      <c r="E24" s="269">
        <v>65040.693539</v>
      </c>
      <c r="F24" s="269"/>
      <c r="G24" s="269">
        <v>42233.353896000001</v>
      </c>
      <c r="H24" s="269">
        <v>10291.141670000001</v>
      </c>
      <c r="I24" s="269">
        <v>4316.3</v>
      </c>
      <c r="J24" s="75"/>
      <c r="K24" s="135">
        <f t="shared" si="0"/>
        <v>1.5400314571076517</v>
      </c>
      <c r="L24" s="135">
        <v>6.3200659999999997</v>
      </c>
      <c r="M24" s="135">
        <v>10.872025000000001</v>
      </c>
      <c r="N24" s="135">
        <v>2.1924239999999999</v>
      </c>
      <c r="O24" s="135">
        <v>12.647239000000001</v>
      </c>
      <c r="P24" s="135">
        <v>32.35257</v>
      </c>
      <c r="Q24" s="135">
        <v>1.294535</v>
      </c>
      <c r="R24" s="135"/>
      <c r="S24" s="135" t="str">
        <f t="shared" si="1"/>
        <v/>
      </c>
      <c r="T24" s="135" t="str">
        <f t="shared" si="1"/>
        <v/>
      </c>
      <c r="U24" s="135" t="str">
        <f t="shared" si="1"/>
        <v/>
      </c>
      <c r="V24" s="135" t="str">
        <f t="shared" si="1"/>
        <v/>
      </c>
      <c r="W24" s="135" t="str">
        <f t="shared" si="1"/>
        <v/>
      </c>
      <c r="X24" s="135" t="str">
        <f t="shared" si="1"/>
        <v/>
      </c>
      <c r="Y24" s="135" t="str">
        <f t="shared" si="1"/>
        <v/>
      </c>
    </row>
    <row r="25" spans="1:25" x14ac:dyDescent="0.2">
      <c r="A25" s="75" t="s">
        <v>101</v>
      </c>
      <c r="B25" s="75" t="s">
        <v>15</v>
      </c>
      <c r="C25" s="268">
        <v>30.696235999999999</v>
      </c>
      <c r="D25" s="269">
        <v>426.96493600000002</v>
      </c>
      <c r="E25" s="269">
        <v>101.096761</v>
      </c>
      <c r="F25" s="269"/>
      <c r="G25" s="269">
        <v>719.62454700000001</v>
      </c>
      <c r="H25" s="269">
        <v>97.143870000000007</v>
      </c>
      <c r="I25" s="269">
        <v>52.1</v>
      </c>
      <c r="J25" s="75"/>
      <c r="K25" s="135">
        <f t="shared" si="0"/>
        <v>0.14048542593697821</v>
      </c>
      <c r="L25" s="135">
        <v>1.040691</v>
      </c>
      <c r="M25" s="135">
        <v>1.3399589999999999</v>
      </c>
      <c r="N25" s="135">
        <v>0.49732900000000002</v>
      </c>
      <c r="O25" s="135">
        <v>7.2567839999999997</v>
      </c>
      <c r="P25" s="135">
        <v>6.1836739999999999</v>
      </c>
      <c r="Q25" s="135">
        <v>0.50759799999999999</v>
      </c>
      <c r="R25" s="135"/>
      <c r="S25" s="135" t="str">
        <f t="shared" si="1"/>
        <v/>
      </c>
      <c r="T25" s="135" t="str">
        <f t="shared" si="1"/>
        <v/>
      </c>
      <c r="U25" s="135" t="str">
        <f t="shared" si="1"/>
        <v/>
      </c>
      <c r="V25" s="135" t="str">
        <f t="shared" si="1"/>
        <v/>
      </c>
      <c r="W25" s="135" t="str">
        <f t="shared" si="1"/>
        <v/>
      </c>
      <c r="X25" s="135" t="str">
        <f t="shared" si="1"/>
        <v/>
      </c>
      <c r="Y25" s="135" t="str">
        <f t="shared" si="1"/>
        <v/>
      </c>
    </row>
    <row r="26" spans="1:25" x14ac:dyDescent="0.2">
      <c r="A26" s="263" t="s">
        <v>16</v>
      </c>
      <c r="B26" s="271"/>
      <c r="C26" s="263"/>
      <c r="D26" s="263"/>
      <c r="E26" s="263"/>
      <c r="F26" s="263"/>
      <c r="G26" s="263"/>
      <c r="H26" s="263"/>
      <c r="I26" s="263"/>
      <c r="J26" s="263"/>
      <c r="K26" s="264">
        <f t="shared" ref="K26:Q26" si="2">MEDIAN(K7:K25)</f>
        <v>0.62280191871915525</v>
      </c>
      <c r="L26" s="264">
        <f t="shared" si="2"/>
        <v>3.8831150000000001</v>
      </c>
      <c r="M26" s="264">
        <f t="shared" si="2"/>
        <v>6.8864710000000002</v>
      </c>
      <c r="N26" s="264">
        <f t="shared" si="2"/>
        <v>0.65295700000000001</v>
      </c>
      <c r="O26" s="264">
        <f t="shared" si="2"/>
        <v>7.2567839999999997</v>
      </c>
      <c r="P26" s="264">
        <f t="shared" si="2"/>
        <v>6.7740239999999998</v>
      </c>
      <c r="Q26" s="264">
        <f t="shared" si="2"/>
        <v>0.34465200000000001</v>
      </c>
      <c r="R26" s="264"/>
      <c r="S26" s="264">
        <f t="shared" ref="S26:Y26" si="3">MEDIAN(S7:S25)</f>
        <v>0.69521035127883002</v>
      </c>
      <c r="T26" s="264">
        <f t="shared" si="3"/>
        <v>5.0637474999999998</v>
      </c>
      <c r="U26" s="264">
        <f t="shared" si="3"/>
        <v>8.2353810000000003</v>
      </c>
      <c r="V26" s="264">
        <f t="shared" si="3"/>
        <v>0.95851900000000001</v>
      </c>
      <c r="W26" s="264">
        <f t="shared" si="3"/>
        <v>8.5300614999999986</v>
      </c>
      <c r="X26" s="264">
        <f t="shared" si="3"/>
        <v>12.816037</v>
      </c>
      <c r="Y26" s="264">
        <f t="shared" si="3"/>
        <v>0.45044550000000005</v>
      </c>
    </row>
    <row r="27" spans="1:25" x14ac:dyDescent="0.2">
      <c r="A27" s="263" t="s">
        <v>6</v>
      </c>
      <c r="B27" s="271"/>
      <c r="C27" s="263"/>
      <c r="D27" s="263"/>
      <c r="E27" s="263"/>
      <c r="F27" s="263"/>
      <c r="G27" s="263"/>
      <c r="H27" s="263"/>
      <c r="I27" s="263"/>
      <c r="J27" s="263"/>
      <c r="K27" s="264">
        <f t="shared" ref="K27:Q27" si="4">AVERAGE(K7:K25)</f>
        <v>1.1325287483737392</v>
      </c>
      <c r="L27" s="264">
        <f t="shared" si="4"/>
        <v>8.5489005263157907</v>
      </c>
      <c r="M27" s="264">
        <f t="shared" si="4"/>
        <v>15.871756105263163</v>
      </c>
      <c r="N27" s="264">
        <f t="shared" si="4"/>
        <v>1.590666052631579</v>
      </c>
      <c r="O27" s="264">
        <f t="shared" si="4"/>
        <v>11.454201210526316</v>
      </c>
      <c r="P27" s="264">
        <f t="shared" si="4"/>
        <v>103.26515969230771</v>
      </c>
      <c r="Q27" s="264">
        <f t="shared" si="4"/>
        <v>1.0164843684210529</v>
      </c>
      <c r="R27" s="264"/>
      <c r="S27" s="264">
        <f t="shared" ref="S27:Y27" si="5">AVERAGE(S7:S25)</f>
        <v>0.65106796051754878</v>
      </c>
      <c r="T27" s="264">
        <f t="shared" si="5"/>
        <v>6.2057910000000005</v>
      </c>
      <c r="U27" s="264">
        <f t="shared" si="5"/>
        <v>12.946230166666666</v>
      </c>
      <c r="V27" s="264">
        <f t="shared" si="5"/>
        <v>1.2030369999999999</v>
      </c>
      <c r="W27" s="264">
        <f t="shared" si="5"/>
        <v>7.8143763333333327</v>
      </c>
      <c r="X27" s="264">
        <f t="shared" si="5"/>
        <v>11.240549666666666</v>
      </c>
      <c r="Y27" s="264">
        <f t="shared" si="5"/>
        <v>0.45957833333333337</v>
      </c>
    </row>
    <row r="28" spans="1:25" x14ac:dyDescent="0.2">
      <c r="A28" s="263" t="s">
        <v>58</v>
      </c>
      <c r="B28" s="272"/>
      <c r="C28" s="262"/>
      <c r="D28" s="262"/>
      <c r="E28" s="262"/>
      <c r="F28" s="262"/>
      <c r="G28" s="262"/>
      <c r="H28" s="262"/>
      <c r="I28" s="262"/>
      <c r="J28" s="262"/>
      <c r="K28" s="273"/>
      <c r="L28" s="273"/>
      <c r="M28" s="273"/>
      <c r="N28" s="273"/>
      <c r="O28" s="273"/>
      <c r="P28" s="273"/>
      <c r="Q28" s="273"/>
      <c r="R28" s="273"/>
      <c r="S28" s="264">
        <f t="shared" ref="S28:Y28" si="6">QUARTILE(S7:S27,1)</f>
        <v>0.52863589127961674</v>
      </c>
      <c r="T28" s="264">
        <f t="shared" si="6"/>
        <v>3.7997032500000003</v>
      </c>
      <c r="U28" s="264">
        <f t="shared" si="6"/>
        <v>5.5753197500000002</v>
      </c>
      <c r="V28" s="264">
        <f t="shared" si="6"/>
        <v>0.92720825000000007</v>
      </c>
      <c r="W28" s="264">
        <f t="shared" si="6"/>
        <v>7.3467869999999991</v>
      </c>
      <c r="X28" s="264">
        <f t="shared" si="6"/>
        <v>11.240549666666666</v>
      </c>
      <c r="Y28" s="264">
        <f t="shared" si="6"/>
        <v>0.31785425</v>
      </c>
    </row>
    <row r="29" spans="1:25" x14ac:dyDescent="0.2">
      <c r="A29" s="263" t="s">
        <v>59</v>
      </c>
      <c r="B29" s="272"/>
      <c r="C29" s="262"/>
      <c r="D29" s="262"/>
      <c r="E29" s="262"/>
      <c r="F29" s="262"/>
      <c r="G29" s="262"/>
      <c r="H29" s="262"/>
      <c r="I29" s="262"/>
      <c r="J29" s="262"/>
      <c r="K29" s="262"/>
      <c r="L29" s="262"/>
      <c r="M29" s="262"/>
      <c r="N29" s="262"/>
      <c r="O29" s="262"/>
      <c r="P29" s="262"/>
      <c r="Q29" s="262"/>
      <c r="R29" s="262"/>
      <c r="S29" s="264">
        <f t="shared" ref="S29:Y29" si="7">QUARTILE(S7:S28,3)</f>
        <v>0.76218477982369104</v>
      </c>
      <c r="T29" s="264">
        <f t="shared" si="7"/>
        <v>6.2057910000000005</v>
      </c>
      <c r="U29" s="264">
        <f t="shared" si="7"/>
        <v>11.593786</v>
      </c>
      <c r="V29" s="264">
        <f t="shared" si="7"/>
        <v>1.0790709999999999</v>
      </c>
      <c r="W29" s="264">
        <f t="shared" si="7"/>
        <v>8.8334499999999991</v>
      </c>
      <c r="X29" s="264">
        <f t="shared" si="7"/>
        <v>12.816037</v>
      </c>
      <c r="Y29" s="264">
        <f t="shared" si="7"/>
        <v>0.55623900000000004</v>
      </c>
    </row>
    <row r="30" spans="1:25" x14ac:dyDescent="0.2">
      <c r="A30" s="105" t="s">
        <v>43</v>
      </c>
      <c r="B30" s="73" t="s">
        <v>76</v>
      </c>
      <c r="C30" s="137" t="s">
        <v>82</v>
      </c>
      <c r="D30" s="137" t="s">
        <v>81</v>
      </c>
      <c r="E30" s="137" t="s">
        <v>80</v>
      </c>
      <c r="F30" s="137"/>
      <c r="G30" s="137"/>
      <c r="H30" s="137"/>
      <c r="I30" s="138"/>
    </row>
    <row r="31" spans="1:25" x14ac:dyDescent="0.2">
      <c r="A31" s="7"/>
      <c r="B31" s="7"/>
    </row>
    <row r="32" spans="1:25" x14ac:dyDescent="0.2">
      <c r="A32" s="105" t="s">
        <v>44</v>
      </c>
      <c r="B32" s="73" t="s">
        <v>6</v>
      </c>
      <c r="C32" s="137" t="s">
        <v>6</v>
      </c>
      <c r="D32" s="137" t="s">
        <v>16</v>
      </c>
      <c r="E32" s="137" t="s">
        <v>6</v>
      </c>
      <c r="F32" s="137"/>
      <c r="G32" s="137" t="s">
        <v>16</v>
      </c>
      <c r="H32" s="137" t="s">
        <v>16</v>
      </c>
      <c r="I32" s="137" t="s">
        <v>6</v>
      </c>
      <c r="T32" s="85"/>
      <c r="U32" s="85"/>
    </row>
    <row r="33" spans="1:18" x14ac:dyDescent="0.2">
      <c r="A33" s="7"/>
      <c r="B33" s="7"/>
      <c r="K33" s="85"/>
      <c r="L33" s="85" t="str">
        <f>IF(B30=0,"",B30)</f>
        <v>EV/Sales</v>
      </c>
      <c r="M33" s="85" t="str">
        <f>IF(C30=0,"",C30)</f>
        <v>P/sales</v>
      </c>
      <c r="N33" s="85" t="str">
        <f>IF(D30=0,"",D30)</f>
        <v>P/FCF</v>
      </c>
      <c r="O33" s="85" t="str">
        <f>IF(E30=0,"",E30)</f>
        <v>P/E (x)</v>
      </c>
      <c r="P33" s="85" t="str">
        <f>IF(G30=0,"",G30)</f>
        <v/>
      </c>
      <c r="Q33" s="85" t="str">
        <f>IF(H30=0,"",H30)</f>
        <v/>
      </c>
      <c r="R33" s="85" t="str">
        <f>IF(I30=0,"",I30)</f>
        <v/>
      </c>
    </row>
    <row r="34" spans="1:18" x14ac:dyDescent="0.2">
      <c r="A34" s="73"/>
      <c r="B34" s="74">
        <f t="shared" ref="B34:I34" si="8">_xlfn.IFNA(INDEX($S$26:$Y$27,MATCH(B32,$A$26:$A$27,0),MATCH(B30,$S$5:$Y$5,0)),"")</f>
        <v>0.65106796051754878</v>
      </c>
      <c r="C34" s="74">
        <f t="shared" si="8"/>
        <v>0.45957833333333337</v>
      </c>
      <c r="D34" s="74">
        <f t="shared" si="8"/>
        <v>12.816037</v>
      </c>
      <c r="E34" s="74">
        <f t="shared" si="8"/>
        <v>7.8143763333333327</v>
      </c>
      <c r="F34" s="74" t="str">
        <f t="shared" si="8"/>
        <v/>
      </c>
      <c r="G34" s="74" t="str">
        <f t="shared" si="8"/>
        <v/>
      </c>
      <c r="H34" s="74" t="str">
        <f t="shared" si="8"/>
        <v/>
      </c>
      <c r="I34" s="74" t="str">
        <f t="shared" si="8"/>
        <v/>
      </c>
      <c r="L34" s="74">
        <f t="shared" ref="L34:R34" si="9">IF(L$33=$N$5,L37*$B$48,IF(L$33=$O$5,L37*$B$45,IF(L$33=$P$5,L37*$B$47,IF(L$33=$Q$5,L37*$B$46,L44/$B$52))))</f>
        <v>134.08493234081658</v>
      </c>
      <c r="M34" s="74">
        <f t="shared" si="9"/>
        <v>60.965363771497145</v>
      </c>
      <c r="N34" s="74">
        <f t="shared" si="9"/>
        <v>149.95410320618001</v>
      </c>
      <c r="O34" s="74">
        <f t="shared" si="9"/>
        <v>134.07886274999998</v>
      </c>
      <c r="P34" s="74" t="e">
        <f t="shared" si="9"/>
        <v>#VALUE!</v>
      </c>
      <c r="Q34" s="74" t="e">
        <f t="shared" si="9"/>
        <v>#VALUE!</v>
      </c>
      <c r="R34" s="74" t="e">
        <f t="shared" si="9"/>
        <v>#VALUE!</v>
      </c>
    </row>
    <row r="35" spans="1:18" x14ac:dyDescent="0.2">
      <c r="A35" s="7"/>
      <c r="B35" s="7"/>
      <c r="L35" s="84">
        <f t="shared" ref="L35" si="10">L36-L34</f>
        <v>44.795174456057708</v>
      </c>
      <c r="M35" s="84">
        <f>M36-M34</f>
        <v>45.722883998963063</v>
      </c>
      <c r="N35" s="84">
        <f t="shared" ref="N35:R35" si="11">N36-N34</f>
        <v>21.017725750839986</v>
      </c>
      <c r="O35" s="84">
        <f t="shared" si="11"/>
        <v>27.131599749999992</v>
      </c>
      <c r="P35" s="84" t="e">
        <f t="shared" si="11"/>
        <v>#VALUE!</v>
      </c>
      <c r="Q35" s="84" t="e">
        <f t="shared" si="11"/>
        <v>#VALUE!</v>
      </c>
      <c r="R35" s="84" t="e">
        <f t="shared" si="11"/>
        <v>#VALUE!</v>
      </c>
    </row>
    <row r="36" spans="1:18" x14ac:dyDescent="0.2">
      <c r="A36" s="7" t="s">
        <v>45</v>
      </c>
      <c r="B36" s="8">
        <v>76694</v>
      </c>
      <c r="L36" s="74">
        <f t="shared" ref="L36:R36" si="12">IF(L$33=$N$5,L38*$B$48,IF(L$33=$O$5,L38*$B$45,IF(L$33=$P$5,L38*$B$47,IF(L$33=$Q$5,L38*$B$46,L45/$B$52))))</f>
        <v>178.88010679687429</v>
      </c>
      <c r="M36" s="74">
        <f t="shared" si="12"/>
        <v>106.68824777046021</v>
      </c>
      <c r="N36" s="74">
        <f t="shared" si="12"/>
        <v>170.97182895701999</v>
      </c>
      <c r="O36" s="74">
        <f t="shared" si="12"/>
        <v>161.21046249999998</v>
      </c>
      <c r="P36" s="74" t="e">
        <f t="shared" si="12"/>
        <v>#VALUE!</v>
      </c>
      <c r="Q36" s="74" t="e">
        <f t="shared" si="12"/>
        <v>#VALUE!</v>
      </c>
      <c r="R36" s="74" t="e">
        <f t="shared" si="12"/>
        <v>#VALUE!</v>
      </c>
    </row>
    <row r="37" spans="1:18" x14ac:dyDescent="0.2">
      <c r="A37" s="7" t="s">
        <v>46</v>
      </c>
      <c r="B37" s="7">
        <v>11085</v>
      </c>
      <c r="K37" s="1" t="s">
        <v>103</v>
      </c>
      <c r="L37" s="84" cm="1">
        <f t="array" ref="L37">_xlfn.IFNA(INDEX($S$28:$Z$28,,MATCH(L33,$S$5:$Z$5,0)),"")</f>
        <v>0.52863589127961674</v>
      </c>
      <c r="M37" s="84" cm="1">
        <f t="array" ref="M37">_xlfn.IFNA(INDEX($S$28:$Z$28,,MATCH(M33,$S$5:$Z$5,0)),"")</f>
        <v>0.31785425</v>
      </c>
      <c r="N37" s="84" cm="1">
        <f t="array" ref="N37">_xlfn.IFNA(INDEX($S$28:$Z$28,,MATCH(N33,$S$5:$Z$5,0)),"")</f>
        <v>11.240549666666666</v>
      </c>
      <c r="O37" s="84" cm="1">
        <f t="array" ref="O37">_xlfn.IFNA(INDEX($S$28:$Z$28,,MATCH(O33,$S$5:$Z$5,0)),"")</f>
        <v>7.3467869999999991</v>
      </c>
      <c r="P37" s="84" t="str" cm="1">
        <f t="array" ref="P37">_xlfn.IFNA(INDEX($S$28:$Z$28,,MATCH(P33,$S$5:$Z$5,0)),"")</f>
        <v/>
      </c>
      <c r="Q37" s="84" t="str" cm="1">
        <f t="array" ref="Q37">_xlfn.IFNA(INDEX($S$28:$Z$28,,MATCH(Q33,$S$5:$Z$5,0)),"")</f>
        <v/>
      </c>
      <c r="R37" s="84" t="str" cm="1">
        <f t="array" ref="R37">_xlfn.IFNA(INDEX($S$28:$Z$28,,MATCH(R33,$S$5:$Z$5,0)),"")</f>
        <v/>
      </c>
    </row>
    <row r="38" spans="1:18" x14ac:dyDescent="0.2">
      <c r="A38" s="7" t="s">
        <v>47</v>
      </c>
      <c r="B38" s="7">
        <v>9295</v>
      </c>
      <c r="K38" s="1" t="s">
        <v>104</v>
      </c>
      <c r="L38" s="1" cm="1">
        <f t="array" ref="L38">_xlfn.IFNA(INDEX($S$29:$Z$29,,MATCH(L33,$S$5:$Z$5,0)),"")</f>
        <v>0.76218477982369104</v>
      </c>
      <c r="M38" s="1" cm="1">
        <f t="array" ref="M38">_xlfn.IFNA(INDEX($S$29:$Z$29,,MATCH(M33,$S$5:$Z$5,0)),"")</f>
        <v>0.55623900000000004</v>
      </c>
      <c r="N38" s="1" cm="1">
        <f t="array" ref="N38">_xlfn.IFNA(INDEX($S$29:$Z$29,,MATCH(N33,$S$5:$Z$5,0)),"")</f>
        <v>12.816037</v>
      </c>
      <c r="O38" s="1" cm="1">
        <f t="array" ref="O38">_xlfn.IFNA(INDEX($S$29:$Z$29,,MATCH(O33,$S$5:$Z$5,0)),"")</f>
        <v>8.8334499999999991</v>
      </c>
      <c r="P38" s="1" t="str" cm="1">
        <f t="array" ref="P38">_xlfn.IFNA(INDEX($S$29:$Z$29,,MATCH(P33,$S$5:$Z$5,0)),"")</f>
        <v/>
      </c>
      <c r="Q38" s="1" t="str" cm="1">
        <f t="array" ref="Q38">_xlfn.IFNA(INDEX($S$29:$Z$29,,MATCH(Q33,$S$5:$Z$5,0)),"")</f>
        <v/>
      </c>
      <c r="R38" s="1" t="str" cm="1">
        <f t="array" ref="R38">_xlfn.IFNA(INDEX($S$29:$Z$29,,MATCH(R33,$S$5:$Z$5,0)),"")</f>
        <v/>
      </c>
    </row>
    <row r="39" spans="1:18" x14ac:dyDescent="0.2">
      <c r="A39" s="7"/>
      <c r="B39" s="7"/>
    </row>
    <row r="40" spans="1:18" x14ac:dyDescent="0.2">
      <c r="A40" s="105" t="s">
        <v>102</v>
      </c>
      <c r="B40" s="76">
        <f>IF(B30="EV/Sales",B34*$B$36,IF(B30="EV/EBITDA",B34*$B$37,IF(B30="EV/EBIT",B34*$B$38,"-")))</f>
        <v>49933.006163932885</v>
      </c>
      <c r="C40" s="76" t="str">
        <f>IF(C30="EV/Sales",C34*$B$36,IF(C30="EV/EBITDA",C34*$B$37,IF(C30="EV/EBIT",C34*$B$38,"-")))</f>
        <v>-</v>
      </c>
      <c r="D40" s="76" t="str">
        <f>IF(D30="EV/Sales",D34*$B$36,IF(D30="EV/EBITDA",D34*$B$37,IF(D30="EV/EBIT",D34*$B$38,"-")))</f>
        <v>-</v>
      </c>
      <c r="E40" s="76" t="str">
        <f>IF(E30="EV/Sales",E34*$B$36,IF(E30="EV/EBITDA",E34*$B$37,IF(E30="EV/EBIT",E34*$B$38,"-")))</f>
        <v>-</v>
      </c>
      <c r="F40" s="76"/>
      <c r="G40" s="76" t="str">
        <f>IF(G30="EV/Sales",G34*$B$36,IF(G30="EV/EBITDA",G34*$B$37,IF(G30="EV/EBIT",G34*$B$38,"-")))</f>
        <v>-</v>
      </c>
      <c r="H40" s="76" t="str">
        <f>IF(H30="EV/Sales",H34*$B$36,IF(H30="EV/EBITDA",H34*$B$37,IF(H30="EV/EBIT",H34*$B$38,"-")))</f>
        <v>-</v>
      </c>
      <c r="I40" s="76" t="str">
        <f>IF(I30="EV/Sales",I34*$B$36,IF(I30="EV/EBITDA",I34*$B$37,IF(I30="EV/EBIT",I34*$B$38,"-")))</f>
        <v>-</v>
      </c>
      <c r="L40" s="76">
        <f>IF(L$33="EV/Sales",L37*$B$36,IF(L$33="EV/EBITDA",L37*$B$37,IF(L$33="EV/EBIT",L37*$B$38,"-")))</f>
        <v>40543.201045798924</v>
      </c>
      <c r="M40" s="76" t="str">
        <f t="shared" ref="M40:R40" si="13">IF(M33="EV/Sales",M37*$B$36,IF(M33="EV/EBITDA",M37*$B$37,IF(M33="EV/EBIT",M37*$B$38,"-")))</f>
        <v>-</v>
      </c>
      <c r="N40" s="76" t="str">
        <f t="shared" si="13"/>
        <v>-</v>
      </c>
      <c r="O40" s="76" t="str">
        <f t="shared" si="13"/>
        <v>-</v>
      </c>
      <c r="P40" s="76" t="str">
        <f t="shared" si="13"/>
        <v>-</v>
      </c>
      <c r="Q40" s="76" t="str">
        <f t="shared" si="13"/>
        <v>-</v>
      </c>
      <c r="R40" s="76" t="str">
        <f t="shared" si="13"/>
        <v>-</v>
      </c>
    </row>
    <row r="41" spans="1:18" x14ac:dyDescent="0.2">
      <c r="A41" s="7"/>
      <c r="B41" s="7"/>
      <c r="L41" s="76">
        <f>IF(L$33="EV/Sales",L38*$B$36,IF(L$33="EV/EBITDA",L38*$B$37,IF(L$33="EV/EBIT",L38*$B$38,"-")))</f>
        <v>58454.999503798157</v>
      </c>
      <c r="M41" s="76" t="str">
        <f t="shared" ref="M41:R41" si="14">IF(M$33="EV/Sales",M38*$B$36,IF(M$33="EV/EBITDA",M38*$B$37,IF(M$33="EV/EBIT",M38*$B$38,"-")))</f>
        <v>-</v>
      </c>
      <c r="N41" s="76" t="str">
        <f t="shared" si="14"/>
        <v>-</v>
      </c>
      <c r="O41" s="76" t="str">
        <f t="shared" si="14"/>
        <v>-</v>
      </c>
      <c r="P41" s="76" t="str">
        <f t="shared" si="14"/>
        <v>-</v>
      </c>
      <c r="Q41" s="76" t="str">
        <f t="shared" si="14"/>
        <v>-</v>
      </c>
      <c r="R41" s="76" t="str">
        <f t="shared" si="14"/>
        <v>-</v>
      </c>
    </row>
    <row r="42" spans="1:18" x14ac:dyDescent="0.2">
      <c r="A42" s="75" t="s">
        <v>49</v>
      </c>
      <c r="B42" s="139">
        <v>-13067</v>
      </c>
      <c r="L42" s="74"/>
    </row>
    <row r="43" spans="1:18" x14ac:dyDescent="0.2">
      <c r="A43" s="75" t="s">
        <v>50</v>
      </c>
      <c r="B43" s="75">
        <v>0</v>
      </c>
    </row>
    <row r="44" spans="1:18" x14ac:dyDescent="0.2">
      <c r="A44" s="75" t="s">
        <v>51</v>
      </c>
      <c r="B44" s="75">
        <v>5</v>
      </c>
      <c r="L44" s="80">
        <f t="shared" ref="L44:R45" si="15">L40-$B$42-$B$43+$B$44</f>
        <v>53615.201045798924</v>
      </c>
      <c r="M44" s="80" t="e">
        <f t="shared" si="15"/>
        <v>#VALUE!</v>
      </c>
      <c r="N44" s="80" t="e">
        <f t="shared" si="15"/>
        <v>#VALUE!</v>
      </c>
      <c r="O44" s="80" t="e">
        <f t="shared" si="15"/>
        <v>#VALUE!</v>
      </c>
      <c r="P44" s="80" t="e">
        <f t="shared" si="15"/>
        <v>#VALUE!</v>
      </c>
      <c r="Q44" s="80" t="e">
        <f t="shared" si="15"/>
        <v>#VALUE!</v>
      </c>
      <c r="R44" s="80" t="e">
        <f t="shared" si="15"/>
        <v>#VALUE!</v>
      </c>
    </row>
    <row r="45" spans="1:18" x14ac:dyDescent="0.2">
      <c r="A45" s="260" t="s">
        <v>105</v>
      </c>
      <c r="B45" s="260">
        <v>18.25</v>
      </c>
      <c r="L45" s="80">
        <f t="shared" si="15"/>
        <v>71526.999503798157</v>
      </c>
      <c r="M45" s="80" t="e">
        <f t="shared" si="15"/>
        <v>#VALUE!</v>
      </c>
      <c r="N45" s="80" t="e">
        <f t="shared" si="15"/>
        <v>#VALUE!</v>
      </c>
      <c r="O45" s="80" t="e">
        <f t="shared" si="15"/>
        <v>#VALUE!</v>
      </c>
      <c r="P45" s="80" t="e">
        <f t="shared" si="15"/>
        <v>#VALUE!</v>
      </c>
      <c r="Q45" s="80" t="e">
        <f t="shared" si="15"/>
        <v>#VALUE!</v>
      </c>
      <c r="R45" s="80" t="e">
        <f t="shared" si="15"/>
        <v>#VALUE!</v>
      </c>
    </row>
    <row r="46" spans="1:18" x14ac:dyDescent="0.2">
      <c r="A46" s="260" t="s">
        <v>106</v>
      </c>
      <c r="B46" s="261">
        <v>191.80289007146246</v>
      </c>
    </row>
    <row r="47" spans="1:18" x14ac:dyDescent="0.2">
      <c r="A47" s="260" t="s">
        <v>107</v>
      </c>
      <c r="B47" s="261">
        <v>13.34046</v>
      </c>
    </row>
    <row r="48" spans="1:18" x14ac:dyDescent="0.2">
      <c r="A48" s="260" t="s">
        <v>108</v>
      </c>
      <c r="B48" s="261">
        <v>101.99773</v>
      </c>
    </row>
    <row r="49" spans="1:9" x14ac:dyDescent="0.2">
      <c r="A49" s="75"/>
      <c r="B49" s="7"/>
    </row>
    <row r="50" spans="1:9" x14ac:dyDescent="0.2">
      <c r="A50" s="105" t="s">
        <v>61</v>
      </c>
      <c r="B50" s="80">
        <f>IFERROR(B40-$B$42-$B$43+$B$44,"")</f>
        <v>63005.006163932885</v>
      </c>
      <c r="C50" s="80" t="str">
        <f>IFERROR(C40-$B$42-$B$43+$B$44,"")</f>
        <v/>
      </c>
      <c r="D50" s="80" t="str">
        <f>IFERROR(D40-$B$42-$B$43+$B$44,"")</f>
        <v/>
      </c>
      <c r="E50" s="80" t="str">
        <f>IFERROR(E40-$B$42-$B$43+$B$44,"")</f>
        <v/>
      </c>
      <c r="F50" s="80"/>
      <c r="G50" s="80" t="str">
        <f>IFERROR(G40-$B$42-$B$43+$B$44,"")</f>
        <v/>
      </c>
      <c r="H50" s="80" t="str">
        <f>IFERROR(H40-$B$42-$B$43+$B$44,"")</f>
        <v/>
      </c>
      <c r="I50" s="80" t="str">
        <f>IFERROR(I40-$B$42-$B$43+$B$44,"")</f>
        <v/>
      </c>
    </row>
    <row r="51" spans="1:9" x14ac:dyDescent="0.2">
      <c r="A51" s="7"/>
      <c r="B51" s="7"/>
    </row>
    <row r="52" spans="1:9" x14ac:dyDescent="0.2">
      <c r="A52" s="100" t="s">
        <v>53</v>
      </c>
      <c r="B52" s="73">
        <v>399.86</v>
      </c>
    </row>
    <row r="53" spans="1:9" x14ac:dyDescent="0.2">
      <c r="A53" s="7"/>
      <c r="B53" s="7"/>
    </row>
    <row r="54" spans="1:9" x14ac:dyDescent="0.2">
      <c r="A54" s="105" t="s">
        <v>54</v>
      </c>
      <c r="B54" s="216">
        <f>IFERROR(IF(B30=$N$5,B34*$B$48,IF(B30=$O$5,B34*$B$45,IF(B30=$P$5,B34*$B$47,IF(B30=$Q$5,B34*$B$46,B50/$B$52)))),"")</f>
        <v>157.56766409226449</v>
      </c>
      <c r="C54" s="216">
        <f>IFERROR(IF(C30=$N$5,C34*$B$48,IF(C30=$O$5,C34*$B$45,IF(C30=$P$5,C34*$B$47,IF(C30=$Q$5,C34*$B$46,C50/$B$52)))),"")</f>
        <v>88.148452547559273</v>
      </c>
      <c r="D54" s="216">
        <f>IFERROR(IF(D30=$N$5,D34*$B$48,IF(D30=$O$5,D34*$B$45,IF(D30=$P$5,D34*$B$47,IF(D30=$Q$5,D34*$B$46,D50/$B$52)))),"")</f>
        <v>170.97182895701999</v>
      </c>
      <c r="E54" s="216">
        <f>IFERROR(IF(E30=$N$5,E34*$B$48,IF(E30=$O$5,E34*$B$45,IF(E30=$P$5,E34*$B$47,IF(E30=$Q$5,E34*$B$46,E50/$B$52)))),"")</f>
        <v>142.61236808333331</v>
      </c>
      <c r="F54" s="216"/>
      <c r="G54" s="216" t="str">
        <f>IFERROR(IF(G30=$N$5,G34*$B$48,IF(G30=$O$5,G34*$B$45,IF(G30=$P$5,G34*$B$47,IF(G30=$Q$5,G34*$B$46,G50/$B$52)))),"")</f>
        <v/>
      </c>
      <c r="H54" s="216" t="str">
        <f>IFERROR(IF(H30=$N$5,H34*$B$48,IF(H30=$O$5,H34*$B$45,IF(H30=$P$5,H34*$B$47,IF(H30=$Q$5,H34*$B$46,H50/$B$52)))),"")</f>
        <v/>
      </c>
      <c r="I54" s="216" t="str">
        <f>IFERROR(IF(I30=$N$5,I34*$B$48,IF(I30=$O$5,I34*$B$45,IF(I30=$P$5,I34*$B$47,IF(I30=$Q$5,I34*$B$46,I50/$B$52)))),"")</f>
        <v/>
      </c>
    </row>
    <row r="55" spans="1:9" x14ac:dyDescent="0.2">
      <c r="B55" s="248"/>
    </row>
    <row r="56" spans="1:9" x14ac:dyDescent="0.2">
      <c r="A56" s="249" t="s">
        <v>6</v>
      </c>
      <c r="B56" s="216">
        <f>AVERAGE(B54:I54)</f>
        <v>139.82507842004426</v>
      </c>
      <c r="C56" s="84"/>
      <c r="D56" s="84"/>
    </row>
    <row r="57" spans="1:9" x14ac:dyDescent="0.2">
      <c r="A57" s="249" t="s">
        <v>62</v>
      </c>
      <c r="B57" s="216">
        <f>MIN(B54:I54)</f>
        <v>88.148452547559273</v>
      </c>
    </row>
    <row r="58" spans="1:9" x14ac:dyDescent="0.2">
      <c r="A58" s="249" t="s">
        <v>63</v>
      </c>
      <c r="B58" s="216">
        <f>MAX(B54:I54)</f>
        <v>170.97182895701999</v>
      </c>
    </row>
    <row r="59" spans="1:9" x14ac:dyDescent="0.2">
      <c r="A59" s="215" t="s">
        <v>64</v>
      </c>
      <c r="B59" s="215" t="s">
        <v>6</v>
      </c>
    </row>
    <row r="60" spans="1:9" x14ac:dyDescent="0.2">
      <c r="A60" s="215" t="s">
        <v>111</v>
      </c>
      <c r="B60" s="216">
        <f>_xlfn.XLOOKUP(B59,A56:A58,B56:B58)</f>
        <v>139.82507842004426</v>
      </c>
    </row>
  </sheetData>
  <mergeCells count="1">
    <mergeCell ref="S4:Y4"/>
  </mergeCells>
  <conditionalFormatting sqref="B7:B25">
    <cfRule type="cellIs" dxfId="1" priority="1" operator="equal">
      <formula>$J$5</formula>
    </cfRule>
    <cfRule type="cellIs" dxfId="0" priority="2" operator="equal">
      <formula>"""Yes"""</formula>
    </cfRule>
  </conditionalFormatting>
  <dataValidations count="5">
    <dataValidation type="list" allowBlank="1" showInputMessage="1" showErrorMessage="1" sqref="B30:E30 G30:I30" xr:uid="{13651381-023C-4D58-9C2E-6FA80E3F40F4}">
      <formula1>$K$5:$R$5</formula1>
    </dataValidation>
    <dataValidation type="list" allowBlank="1" showInputMessage="1" showErrorMessage="1" sqref="C32:I32" xr:uid="{E15487BE-6715-45F7-9671-6BE5D69B22B9}">
      <formula1>$A$26:$A$27</formula1>
    </dataValidation>
    <dataValidation type="list" allowBlank="1" showInputMessage="1" showErrorMessage="1" sqref="B7:B25" xr:uid="{CD6A6465-6372-41EC-9439-9ABA5621BCBD}">
      <formula1>$AL$3:$AL$4</formula1>
    </dataValidation>
    <dataValidation type="list" allowBlank="1" showInputMessage="1" showErrorMessage="1" sqref="B32" xr:uid="{38AD9C04-8D64-4288-804B-615A22FD54A7}">
      <formula1>$AM$3:$AM$6</formula1>
    </dataValidation>
    <dataValidation type="list" allowBlank="1" showInputMessage="1" showErrorMessage="1" sqref="B59" xr:uid="{19733AB0-3FE5-3F45-8076-6818D317A982}">
      <formula1>$A$56:$A$58</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23DB6-C487-4E69-A5E7-7FDAEC539D4F}">
  <sheetPr codeName="Sheet9"/>
  <dimension ref="B1:V92"/>
  <sheetViews>
    <sheetView showGridLines="0" zoomScale="94" workbookViewId="0">
      <selection activeCell="J31" sqref="J31"/>
    </sheetView>
  </sheetViews>
  <sheetFormatPr baseColWidth="10" defaultColWidth="11.1640625" defaultRowHeight="16" x14ac:dyDescent="0.2"/>
  <cols>
    <col min="1" max="1" width="1.33203125" style="1" customWidth="1"/>
    <col min="2" max="2" width="44.83203125" style="1" customWidth="1"/>
    <col min="3" max="3" width="14.6640625" style="1" bestFit="1" customWidth="1"/>
    <col min="4" max="4" width="13.6640625" style="1" customWidth="1"/>
    <col min="5" max="5" width="15.83203125" style="1" customWidth="1"/>
    <col min="6" max="6" width="14.33203125" style="1" bestFit="1" customWidth="1"/>
    <col min="7" max="7" width="16.5" style="1" customWidth="1"/>
    <col min="8" max="8" width="21.5" style="1" customWidth="1"/>
    <col min="9" max="9" width="15.33203125" style="1" customWidth="1"/>
    <col min="10" max="10" width="12.6640625" style="1" bestFit="1" customWidth="1"/>
    <col min="11" max="11" width="25.5" style="1" customWidth="1"/>
    <col min="12" max="13" width="12.6640625" style="1" bestFit="1" customWidth="1"/>
    <col min="14" max="14" width="39.83203125" style="1" customWidth="1"/>
    <col min="15" max="15" width="21.5" style="1" customWidth="1"/>
    <col min="16" max="16" width="7.5" style="1" customWidth="1"/>
    <col min="17" max="17" width="11.1640625" style="1"/>
    <col min="18" max="18" width="30.5" style="1" customWidth="1"/>
    <col min="19" max="16384" width="11.1640625" style="1"/>
  </cols>
  <sheetData>
    <row r="1" spans="2:22" ht="9" customHeight="1" x14ac:dyDescent="0.2"/>
    <row r="2" spans="2:22" ht="18.5" hidden="1" customHeight="1" x14ac:dyDescent="0.2">
      <c r="D2" s="79"/>
      <c r="M2" s="79"/>
    </row>
    <row r="3" spans="2:22" ht="18.5" hidden="1" customHeight="1" x14ac:dyDescent="0.2">
      <c r="D3" s="79"/>
      <c r="M3" s="79"/>
    </row>
    <row r="4" spans="2:22" ht="18.5" hidden="1" customHeight="1" x14ac:dyDescent="0.2">
      <c r="D4" s="143"/>
      <c r="M4" s="143"/>
    </row>
    <row r="5" spans="2:22" ht="18.5" hidden="1" customHeight="1" x14ac:dyDescent="0.2">
      <c r="D5" s="144"/>
      <c r="M5" s="144"/>
    </row>
    <row r="6" spans="2:22" ht="18.5" customHeight="1" x14ac:dyDescent="0.2">
      <c r="B6" s="4" t="s">
        <v>112</v>
      </c>
      <c r="C6" s="2"/>
      <c r="D6" s="145"/>
      <c r="E6" s="2"/>
      <c r="F6" s="2"/>
      <c r="G6" s="2"/>
      <c r="H6" s="2"/>
      <c r="I6" s="2"/>
      <c r="J6" s="2"/>
      <c r="K6" s="2"/>
      <c r="L6" s="2"/>
      <c r="M6" s="145"/>
      <c r="N6" s="2"/>
      <c r="O6" s="2"/>
      <c r="P6" s="2"/>
      <c r="Q6" s="2"/>
      <c r="R6" s="69"/>
      <c r="S6" s="69"/>
      <c r="T6" s="69"/>
    </row>
    <row r="7" spans="2:22" x14ac:dyDescent="0.2">
      <c r="D7" s="146"/>
      <c r="E7" s="147">
        <v>71</v>
      </c>
      <c r="M7" s="146"/>
      <c r="N7" s="147"/>
    </row>
    <row r="8" spans="2:22" x14ac:dyDescent="0.2">
      <c r="B8" s="4" t="s">
        <v>113</v>
      </c>
      <c r="C8" s="2"/>
      <c r="D8" s="145"/>
      <c r="E8" s="2"/>
      <c r="F8" s="2"/>
      <c r="G8" s="2"/>
      <c r="H8" s="2"/>
      <c r="I8" s="2"/>
      <c r="J8" s="2"/>
      <c r="K8" s="2"/>
      <c r="L8" s="2"/>
      <c r="M8" s="145"/>
      <c r="N8" s="2"/>
      <c r="O8" s="2"/>
      <c r="P8" s="2"/>
      <c r="Q8" s="2"/>
      <c r="R8" s="69"/>
      <c r="S8" s="69"/>
      <c r="T8" s="69"/>
    </row>
    <row r="9" spans="2:22" x14ac:dyDescent="0.2">
      <c r="D9" s="146"/>
      <c r="E9" s="147">
        <v>121</v>
      </c>
      <c r="M9" s="170"/>
      <c r="N9" s="169"/>
      <c r="O9" s="169"/>
      <c r="P9" s="169"/>
      <c r="Q9" s="169"/>
      <c r="R9" s="169"/>
      <c r="S9" s="169"/>
      <c r="T9" s="169"/>
      <c r="U9" s="169"/>
      <c r="V9" s="169"/>
    </row>
    <row r="10" spans="2:22" x14ac:dyDescent="0.2">
      <c r="B10" s="1" t="s">
        <v>114</v>
      </c>
      <c r="C10" s="183">
        <v>4.0000000000000757E-2</v>
      </c>
      <c r="D10" s="146"/>
      <c r="E10" s="169" t="s">
        <v>115</v>
      </c>
      <c r="G10" s="183">
        <v>-3.9999999999999251E-2</v>
      </c>
      <c r="H10" s="1" t="s">
        <v>116</v>
      </c>
      <c r="I10" s="183">
        <v>1.0000000000000753E-2</v>
      </c>
      <c r="K10" s="1" t="s">
        <v>117</v>
      </c>
      <c r="L10" s="183">
        <v>-2.9999999999999249E-2</v>
      </c>
      <c r="M10" s="170"/>
      <c r="N10" s="169"/>
      <c r="O10" s="169"/>
      <c r="P10" s="169"/>
      <c r="Q10" s="169"/>
      <c r="R10" s="169"/>
      <c r="S10" s="169"/>
      <c r="T10" s="169"/>
      <c r="U10" s="169"/>
      <c r="V10" s="169"/>
    </row>
    <row r="11" spans="2:22" x14ac:dyDescent="0.2">
      <c r="B11" s="1" t="s">
        <v>118</v>
      </c>
      <c r="C11" s="183">
        <v>4.0000000000000757E-2</v>
      </c>
      <c r="D11" s="10">
        <v>1</v>
      </c>
      <c r="E11" s="169" t="s">
        <v>119</v>
      </c>
      <c r="F11" s="183"/>
      <c r="G11" s="183">
        <v>-3.9999999999999251E-2</v>
      </c>
      <c r="H11" s="169" t="s">
        <v>120</v>
      </c>
      <c r="I11" s="183">
        <v>1.0000000000000753E-2</v>
      </c>
      <c r="J11" s="10">
        <v>1</v>
      </c>
      <c r="K11" s="1" t="s">
        <v>121</v>
      </c>
      <c r="L11" s="183">
        <v>-2.9999999999999249E-2</v>
      </c>
      <c r="M11" s="10"/>
      <c r="N11" s="181" t="s">
        <v>122</v>
      </c>
      <c r="O11" s="182">
        <f>(O13*O14)*(1-I18) + (O18*O22) +(S13*S14)</f>
        <v>0.11429999999999989</v>
      </c>
      <c r="P11" s="169"/>
      <c r="Q11" s="169"/>
      <c r="R11" s="169"/>
      <c r="S11" s="169"/>
      <c r="T11" s="169"/>
      <c r="U11" s="169"/>
      <c r="V11" s="169"/>
    </row>
    <row r="12" spans="2:22" x14ac:dyDescent="0.2">
      <c r="B12" s="1" t="s">
        <v>123</v>
      </c>
      <c r="C12" s="183">
        <v>4.0000000000000757E-2</v>
      </c>
      <c r="D12" s="10">
        <v>1</v>
      </c>
      <c r="E12" s="169" t="s">
        <v>124</v>
      </c>
      <c r="F12" s="183"/>
      <c r="G12" s="183">
        <v>-6.9999999999999257E-2</v>
      </c>
      <c r="H12" s="169" t="s">
        <v>125</v>
      </c>
      <c r="I12" s="183">
        <v>1.0000000000000753E-2</v>
      </c>
      <c r="J12" s="10"/>
      <c r="K12" s="1" t="s">
        <v>126</v>
      </c>
      <c r="L12" s="183">
        <v>-5.9999999999999255E-2</v>
      </c>
      <c r="M12" s="10"/>
      <c r="N12" s="177" t="s">
        <v>127</v>
      </c>
      <c r="Q12" s="177" t="s">
        <v>128</v>
      </c>
      <c r="R12" s="169"/>
      <c r="S12" s="169"/>
      <c r="T12" s="169"/>
      <c r="U12" s="169"/>
      <c r="V12" s="169"/>
    </row>
    <row r="13" spans="2:22" x14ac:dyDescent="0.2">
      <c r="B13" s="1" t="s">
        <v>129</v>
      </c>
      <c r="C13" s="183">
        <v>4.0000000000000757E-2</v>
      </c>
      <c r="D13" s="10"/>
      <c r="E13" s="169" t="s">
        <v>130</v>
      </c>
      <c r="F13" s="183"/>
      <c r="G13" s="183">
        <v>-3.9999999999999251E-2</v>
      </c>
      <c r="H13" s="169" t="s">
        <v>131</v>
      </c>
      <c r="I13" s="183">
        <v>1.0000000000000753E-2</v>
      </c>
      <c r="J13" s="10"/>
      <c r="K13" s="1" t="s">
        <v>132</v>
      </c>
      <c r="L13" s="183">
        <v>-8.9999999999999247E-2</v>
      </c>
      <c r="M13" s="10"/>
      <c r="N13" s="174" t="s">
        <v>133</v>
      </c>
      <c r="O13" s="184">
        <v>2.2499999999999999E-2</v>
      </c>
      <c r="P13" s="143"/>
      <c r="Q13" s="174" t="s">
        <v>134</v>
      </c>
      <c r="R13" s="174"/>
      <c r="S13" s="187">
        <v>0</v>
      </c>
      <c r="T13" s="174"/>
      <c r="U13" s="169"/>
      <c r="V13" s="169"/>
    </row>
    <row r="14" spans="2:22" x14ac:dyDescent="0.2">
      <c r="B14" s="1" t="s">
        <v>135</v>
      </c>
      <c r="C14" s="183">
        <v>4.0000000000000757E-2</v>
      </c>
      <c r="D14" s="10">
        <v>1</v>
      </c>
      <c r="E14" s="169" t="s">
        <v>136</v>
      </c>
      <c r="F14" s="183"/>
      <c r="G14" s="183">
        <v>7.5286998857393428E-16</v>
      </c>
      <c r="H14" s="169" t="s">
        <v>137</v>
      </c>
      <c r="I14" s="183">
        <v>1.0000000000000753E-2</v>
      </c>
      <c r="J14" s="10"/>
      <c r="K14" s="1" t="s">
        <v>138</v>
      </c>
      <c r="L14" s="183">
        <v>-0.11999999999999923</v>
      </c>
      <c r="M14" s="10"/>
      <c r="N14" s="174" t="s">
        <v>139</v>
      </c>
      <c r="O14" s="184">
        <v>0.40000000000000097</v>
      </c>
      <c r="P14" s="143"/>
      <c r="Q14" s="174" t="s">
        <v>140</v>
      </c>
      <c r="R14" s="174"/>
      <c r="S14" s="187">
        <v>7.5286998857393428E-16</v>
      </c>
      <c r="T14" s="174"/>
      <c r="U14" s="169"/>
      <c r="V14" s="169"/>
    </row>
    <row r="15" spans="2:22" x14ac:dyDescent="0.2">
      <c r="B15" s="1" t="s">
        <v>141</v>
      </c>
      <c r="C15" s="183">
        <v>4.0000000000000757E-2</v>
      </c>
      <c r="D15" s="10"/>
      <c r="E15" s="169" t="s">
        <v>142</v>
      </c>
      <c r="F15" s="183"/>
      <c r="G15" s="183">
        <v>-2.9999999999999249E-2</v>
      </c>
      <c r="H15" s="169" t="s">
        <v>143</v>
      </c>
      <c r="I15" s="183">
        <v>1.0000000000000753E-2</v>
      </c>
      <c r="J15" s="10"/>
      <c r="K15" s="1" t="s">
        <v>144</v>
      </c>
      <c r="L15" s="183">
        <v>-0.14999999999999925</v>
      </c>
      <c r="M15" s="10"/>
      <c r="N15" s="174"/>
      <c r="O15" s="174"/>
      <c r="P15" s="174"/>
      <c r="Q15" s="174"/>
      <c r="R15" s="174"/>
      <c r="S15" s="174"/>
      <c r="T15" s="174"/>
      <c r="U15" s="169"/>
      <c r="V15" s="169"/>
    </row>
    <row r="16" spans="2:22" x14ac:dyDescent="0.2">
      <c r="C16" s="169"/>
      <c r="E16" s="169"/>
      <c r="F16" s="169"/>
      <c r="G16" s="169"/>
      <c r="H16" s="169"/>
      <c r="M16" s="169"/>
      <c r="N16" s="177" t="s">
        <v>145</v>
      </c>
      <c r="O16" s="175"/>
      <c r="P16" s="175"/>
      <c r="Q16" s="175"/>
      <c r="R16" s="175"/>
      <c r="S16" s="175"/>
      <c r="T16" s="174"/>
      <c r="U16" s="169"/>
      <c r="V16" s="169"/>
    </row>
    <row r="17" spans="2:22" x14ac:dyDescent="0.2">
      <c r="B17" s="1" t="s">
        <v>146</v>
      </c>
      <c r="C17" s="183">
        <v>2.0000000000000753E-2</v>
      </c>
      <c r="E17" s="169" t="s">
        <v>147</v>
      </c>
      <c r="F17" s="169"/>
      <c r="G17" s="183">
        <v>3.0000000000000755E-2</v>
      </c>
      <c r="H17" s="169"/>
      <c r="K17" s="1" t="s">
        <v>148</v>
      </c>
      <c r="L17" s="183">
        <v>1.0000000000000753E-2</v>
      </c>
      <c r="M17" s="169"/>
      <c r="N17" s="177"/>
      <c r="O17" s="175"/>
      <c r="P17" s="175"/>
      <c r="Q17" s="175"/>
      <c r="R17" s="175"/>
      <c r="S17" s="175"/>
      <c r="T17" s="174"/>
      <c r="U17" s="169"/>
      <c r="V17" s="169"/>
    </row>
    <row r="18" spans="2:22" x14ac:dyDescent="0.2">
      <c r="B18" s="1" t="s">
        <v>149</v>
      </c>
      <c r="C18" s="183">
        <v>3.0000000000000755E-2</v>
      </c>
      <c r="D18" s="10"/>
      <c r="E18" s="169" t="s">
        <v>150</v>
      </c>
      <c r="F18" s="183"/>
      <c r="G18" s="183">
        <v>3.0000000000000755E-2</v>
      </c>
      <c r="H18" s="169" t="s">
        <v>151</v>
      </c>
      <c r="I18" s="184">
        <v>0.3</v>
      </c>
      <c r="K18" s="1" t="s">
        <v>152</v>
      </c>
      <c r="L18" s="183">
        <v>1.0000000000000753E-2</v>
      </c>
      <c r="M18" s="10"/>
      <c r="N18" s="169" t="s">
        <v>153</v>
      </c>
      <c r="O18" s="186">
        <f>(O19)+O21*(O20-O19)</f>
        <v>0.1800000000000001</v>
      </c>
      <c r="P18" s="174"/>
      <c r="Q18" s="174"/>
      <c r="R18" s="174"/>
      <c r="S18" s="174"/>
      <c r="T18" s="174"/>
      <c r="U18" s="169"/>
      <c r="V18" s="169"/>
    </row>
    <row r="19" spans="2:22" x14ac:dyDescent="0.2">
      <c r="B19" s="1" t="s">
        <v>154</v>
      </c>
      <c r="C19" s="183">
        <v>4.0000000000000757E-2</v>
      </c>
      <c r="D19" s="10"/>
      <c r="E19" s="169" t="s">
        <v>155</v>
      </c>
      <c r="F19" s="183"/>
      <c r="G19" s="183">
        <v>8.0000000000000751E-2</v>
      </c>
      <c r="H19" s="169"/>
      <c r="K19" s="1" t="s">
        <v>156</v>
      </c>
      <c r="L19" s="183">
        <v>1.0000000000000753E-2</v>
      </c>
      <c r="M19" s="10"/>
      <c r="N19" s="169" t="s">
        <v>157</v>
      </c>
      <c r="O19" s="187">
        <v>0.04</v>
      </c>
      <c r="P19" s="176"/>
      <c r="Q19" s="176"/>
      <c r="R19" s="176"/>
      <c r="S19" s="176"/>
      <c r="T19" s="174"/>
      <c r="U19" s="169"/>
      <c r="V19" s="169"/>
    </row>
    <row r="20" spans="2:22" x14ac:dyDescent="0.2">
      <c r="B20" s="1" t="s">
        <v>158</v>
      </c>
      <c r="C20" s="183">
        <v>1.0000000000000753E-2</v>
      </c>
      <c r="D20" s="10"/>
      <c r="E20" s="169" t="s">
        <v>159</v>
      </c>
      <c r="F20" s="183"/>
      <c r="G20" s="183">
        <v>2.0000000000000753E-2</v>
      </c>
      <c r="H20" s="169" t="s">
        <v>160</v>
      </c>
      <c r="I20" s="185">
        <v>8</v>
      </c>
      <c r="K20" s="1" t="s">
        <v>161</v>
      </c>
      <c r="L20" s="183">
        <v>1.0000000000000753E-2</v>
      </c>
      <c r="M20" s="10"/>
      <c r="N20" s="169" t="s">
        <v>162</v>
      </c>
      <c r="O20" s="187">
        <v>0.11000000000000006</v>
      </c>
      <c r="P20" s="176"/>
      <c r="Q20" s="176"/>
      <c r="R20" s="176"/>
      <c r="S20" s="176"/>
      <c r="T20" s="174"/>
      <c r="U20" s="169"/>
      <c r="V20" s="169"/>
    </row>
    <row r="21" spans="2:22" x14ac:dyDescent="0.2">
      <c r="B21" s="1" t="s">
        <v>163</v>
      </c>
      <c r="C21" s="183">
        <v>3.0000000000000755E-2</v>
      </c>
      <c r="D21" s="10"/>
      <c r="E21" s="169" t="s">
        <v>164</v>
      </c>
      <c r="F21" s="183"/>
      <c r="G21" s="183">
        <v>0.13000000000000073</v>
      </c>
      <c r="H21" s="169"/>
      <c r="K21" s="1" t="s">
        <v>165</v>
      </c>
      <c r="L21" s="183">
        <v>1.0000000000000753E-2</v>
      </c>
      <c r="M21" s="10"/>
      <c r="N21" s="169" t="s">
        <v>166</v>
      </c>
      <c r="O21" s="188">
        <v>1.9999999999999998</v>
      </c>
      <c r="P21" s="179"/>
      <c r="Q21" s="173"/>
      <c r="R21" s="173"/>
      <c r="S21" s="173"/>
      <c r="T21" s="174"/>
      <c r="U21" s="169"/>
      <c r="V21" s="169"/>
    </row>
    <row r="22" spans="2:22" x14ac:dyDescent="0.2">
      <c r="B22" s="1" t="s">
        <v>167</v>
      </c>
      <c r="C22" s="183">
        <v>2.0000000000000753E-2</v>
      </c>
      <c r="D22" s="10"/>
      <c r="E22" s="169" t="s">
        <v>168</v>
      </c>
      <c r="F22" s="183"/>
      <c r="G22" s="183">
        <v>2.0000000000000753E-2</v>
      </c>
      <c r="H22" s="169"/>
      <c r="K22" s="1" t="s">
        <v>169</v>
      </c>
      <c r="L22" s="183">
        <v>1.0000000000000753E-2</v>
      </c>
      <c r="M22" s="10"/>
      <c r="N22" s="174" t="s">
        <v>170</v>
      </c>
      <c r="O22" s="187">
        <f>1-O14</f>
        <v>0.59999999999999898</v>
      </c>
      <c r="P22" s="180"/>
      <c r="Q22" s="176"/>
      <c r="R22" s="176"/>
      <c r="S22" s="176"/>
      <c r="T22" s="174"/>
      <c r="U22" s="169"/>
      <c r="V22" s="169"/>
    </row>
    <row r="23" spans="2:22" x14ac:dyDescent="0.2">
      <c r="O23" s="151"/>
      <c r="P23" s="151"/>
      <c r="Q23" s="151"/>
      <c r="R23" s="151"/>
      <c r="S23" s="151"/>
      <c r="T23" s="148"/>
    </row>
    <row r="24" spans="2:22" x14ac:dyDescent="0.2">
      <c r="B24" s="136" t="s">
        <v>171</v>
      </c>
      <c r="O24" s="149"/>
      <c r="P24" s="149"/>
      <c r="Q24" s="149"/>
      <c r="R24" s="149"/>
      <c r="S24" s="149"/>
      <c r="T24" s="148"/>
    </row>
    <row r="25" spans="2:22" hidden="1" x14ac:dyDescent="0.2">
      <c r="O25" s="151"/>
      <c r="P25" s="151"/>
      <c r="Q25" s="151"/>
      <c r="R25" s="151"/>
      <c r="S25" s="151"/>
      <c r="T25" s="148"/>
    </row>
    <row r="26" spans="2:22" x14ac:dyDescent="0.2">
      <c r="O26" s="153"/>
      <c r="P26" s="153"/>
      <c r="Q26" s="153"/>
      <c r="R26" s="153"/>
      <c r="S26" s="153"/>
      <c r="T26" s="148"/>
    </row>
    <row r="27" spans="2:22" x14ac:dyDescent="0.2">
      <c r="B27" s="4" t="s">
        <v>112</v>
      </c>
      <c r="C27" s="4" t="s">
        <v>172</v>
      </c>
      <c r="D27" s="133" t="s">
        <v>173</v>
      </c>
      <c r="E27" s="133" t="s">
        <v>174</v>
      </c>
      <c r="F27" s="133" t="s">
        <v>175</v>
      </c>
      <c r="G27" s="133" t="s">
        <v>176</v>
      </c>
      <c r="H27" s="133" t="s">
        <v>177</v>
      </c>
      <c r="I27" s="133" t="s">
        <v>178</v>
      </c>
      <c r="O27" s="151"/>
      <c r="P27" s="151"/>
      <c r="Q27" s="151"/>
      <c r="R27" s="151"/>
      <c r="S27" s="151"/>
      <c r="T27" s="148"/>
    </row>
    <row r="28" spans="2:22" x14ac:dyDescent="0.2">
      <c r="B28" s="150" t="s">
        <v>179</v>
      </c>
      <c r="C28" s="210">
        <v>76382</v>
      </c>
      <c r="D28" s="189">
        <f t="shared" ref="D28:I28" si="0">C28*(1+D29)</f>
        <v>79437.280000000057</v>
      </c>
      <c r="E28" s="189">
        <f t="shared" si="0"/>
        <v>82614.771200000119</v>
      </c>
      <c r="F28" s="189">
        <f t="shared" si="0"/>
        <v>85919.362048000185</v>
      </c>
      <c r="G28" s="189">
        <f t="shared" si="0"/>
        <v>89356.136529920259</v>
      </c>
      <c r="H28" s="189">
        <f t="shared" si="0"/>
        <v>92930.38199111713</v>
      </c>
      <c r="I28" s="189">
        <f t="shared" si="0"/>
        <v>96647.597270761878</v>
      </c>
      <c r="O28" s="151"/>
      <c r="P28" s="151"/>
      <c r="Q28" s="151"/>
      <c r="R28" s="151"/>
      <c r="S28" s="151"/>
      <c r="T28" s="148"/>
    </row>
    <row r="29" spans="2:22" x14ac:dyDescent="0.2">
      <c r="B29" s="166" t="s">
        <v>180</v>
      </c>
      <c r="D29" s="206">
        <f t="array" ref="D29:I29">TRANSPOSE(C10:C15)</f>
        <v>4.0000000000000757E-2</v>
      </c>
      <c r="E29" s="206">
        <v>4.0000000000000757E-2</v>
      </c>
      <c r="F29" s="206">
        <v>4.0000000000000757E-2</v>
      </c>
      <c r="G29" s="206">
        <v>4.0000000000000757E-2</v>
      </c>
      <c r="H29" s="206">
        <v>4.0000000000000757E-2</v>
      </c>
      <c r="I29" s="206">
        <v>4.0000000000000757E-2</v>
      </c>
      <c r="O29" s="151"/>
      <c r="P29" s="151"/>
      <c r="Q29" s="151"/>
      <c r="R29" s="151"/>
      <c r="S29" s="151"/>
      <c r="T29" s="148"/>
    </row>
    <row r="30" spans="2:22" x14ac:dyDescent="0.2">
      <c r="B30" s="150" t="s">
        <v>181</v>
      </c>
      <c r="C30" s="210">
        <v>58964</v>
      </c>
      <c r="D30" s="207">
        <f>D31*D28</f>
        <v>62549.011200000088</v>
      </c>
      <c r="E30" s="207">
        <f t="shared" ref="E30:I30" si="1">E31*E28</f>
        <v>67002.500797440196</v>
      </c>
      <c r="F30" s="207">
        <f t="shared" si="1"/>
        <v>72469.904862511423</v>
      </c>
      <c r="G30" s="207">
        <f t="shared" si="1"/>
        <v>76122.388067582098</v>
      </c>
      <c r="H30" s="207">
        <f t="shared" si="1"/>
        <v>81542.302097994048</v>
      </c>
      <c r="I30" s="207">
        <f t="shared" si="1"/>
        <v>86500.07406555221</v>
      </c>
      <c r="O30" s="148"/>
      <c r="P30" s="148"/>
      <c r="Q30" s="148"/>
      <c r="R30" s="148"/>
      <c r="S30" s="148"/>
      <c r="T30" s="148"/>
    </row>
    <row r="31" spans="2:22" x14ac:dyDescent="0.2">
      <c r="B31" s="192" t="s">
        <v>182</v>
      </c>
      <c r="C31" s="208">
        <f>C30/C28</f>
        <v>0.7719619805713388</v>
      </c>
      <c r="D31" s="208">
        <f>C31*(1+D32)</f>
        <v>0.78740122018276615</v>
      </c>
      <c r="E31" s="208">
        <f t="shared" ref="E31:I31" si="2">D31*(1+E32)</f>
        <v>0.81102325678824971</v>
      </c>
      <c r="F31" s="208">
        <f t="shared" si="2"/>
        <v>0.84346418705978032</v>
      </c>
      <c r="G31" s="208">
        <f t="shared" si="2"/>
        <v>0.85189882893037872</v>
      </c>
      <c r="H31" s="208">
        <f t="shared" si="2"/>
        <v>0.87745579379829064</v>
      </c>
      <c r="I31" s="208">
        <f t="shared" si="2"/>
        <v>0.89500490967425705</v>
      </c>
      <c r="O31" s="148"/>
      <c r="P31" s="148"/>
      <c r="Q31" s="148"/>
      <c r="R31" s="148"/>
      <c r="S31" s="148"/>
      <c r="T31" s="148"/>
    </row>
    <row r="32" spans="2:22" x14ac:dyDescent="0.2">
      <c r="B32" s="193" t="s">
        <v>183</v>
      </c>
      <c r="C32" s="163"/>
      <c r="D32" s="219">
        <f t="array" ref="D32:I32">TRANSPOSE(C17:C22)</f>
        <v>2.0000000000000753E-2</v>
      </c>
      <c r="E32" s="219">
        <v>3.0000000000000755E-2</v>
      </c>
      <c r="F32" s="219">
        <v>4.0000000000000757E-2</v>
      </c>
      <c r="G32" s="219">
        <v>1.0000000000000753E-2</v>
      </c>
      <c r="H32" s="219">
        <v>3.0000000000000755E-2</v>
      </c>
      <c r="I32" s="219">
        <v>2.0000000000000753E-2</v>
      </c>
      <c r="O32" s="151"/>
      <c r="P32" s="151"/>
      <c r="Q32" s="151"/>
      <c r="R32" s="151"/>
      <c r="S32" s="151"/>
      <c r="T32" s="148"/>
    </row>
    <row r="33" spans="2:20" x14ac:dyDescent="0.2">
      <c r="B33" s="201" t="s">
        <v>184</v>
      </c>
      <c r="C33" s="211">
        <f>C28-C30</f>
        <v>17418</v>
      </c>
      <c r="D33" s="211">
        <f t="shared" ref="D33:I33" si="3">D28-D30</f>
        <v>16888.268799999969</v>
      </c>
      <c r="E33" s="211">
        <f t="shared" si="3"/>
        <v>15612.270402559923</v>
      </c>
      <c r="F33" s="211">
        <f t="shared" si="3"/>
        <v>13449.457185488762</v>
      </c>
      <c r="G33" s="211">
        <f t="shared" si="3"/>
        <v>13233.748462338161</v>
      </c>
      <c r="H33" s="211">
        <f t="shared" si="3"/>
        <v>11388.079893123082</v>
      </c>
      <c r="I33" s="211">
        <f t="shared" si="3"/>
        <v>10147.523205209669</v>
      </c>
      <c r="J33" s="143"/>
      <c r="O33" s="155"/>
      <c r="P33" s="155"/>
      <c r="Q33" s="155"/>
      <c r="R33" s="155"/>
      <c r="S33" s="155"/>
      <c r="T33" s="148"/>
    </row>
    <row r="34" spans="2:20" x14ac:dyDescent="0.2">
      <c r="B34" s="166" t="s">
        <v>185</v>
      </c>
      <c r="C34" s="200">
        <f>C33/C28</f>
        <v>0.2280380194286612</v>
      </c>
      <c r="D34" s="200">
        <f t="shared" ref="D34:I34" si="4">D33/D28</f>
        <v>0.21259877981723388</v>
      </c>
      <c r="E34" s="200">
        <f t="shared" si="4"/>
        <v>0.18897674321175026</v>
      </c>
      <c r="F34" s="200">
        <f t="shared" si="4"/>
        <v>0.15653581294021962</v>
      </c>
      <c r="G34" s="200">
        <f t="shared" si="4"/>
        <v>0.14810117106962134</v>
      </c>
      <c r="H34" s="200">
        <f t="shared" si="4"/>
        <v>0.12254420620170943</v>
      </c>
      <c r="I34" s="200">
        <f t="shared" si="4"/>
        <v>0.10499509032574293</v>
      </c>
      <c r="O34" s="157"/>
      <c r="P34" s="157"/>
      <c r="Q34" s="157"/>
      <c r="R34" s="157"/>
      <c r="S34" s="157"/>
      <c r="T34" s="148"/>
    </row>
    <row r="35" spans="2:20" x14ac:dyDescent="0.2">
      <c r="B35" s="166"/>
      <c r="D35" s="220"/>
      <c r="E35" s="190"/>
      <c r="F35" s="190"/>
      <c r="G35" s="190"/>
      <c r="H35" s="190"/>
      <c r="I35" s="190"/>
      <c r="O35" s="157"/>
      <c r="P35" s="157"/>
      <c r="Q35" s="157"/>
      <c r="R35" s="157"/>
      <c r="S35" s="157"/>
      <c r="T35" s="148"/>
    </row>
    <row r="36" spans="2:20" x14ac:dyDescent="0.2">
      <c r="B36" s="150" t="s">
        <v>186</v>
      </c>
      <c r="C36" s="196">
        <v>6061</v>
      </c>
      <c r="D36" s="189">
        <f>D37*D28</f>
        <v>6051.3024000000087</v>
      </c>
      <c r="E36" s="189">
        <f t="shared" ref="E36:I36" si="5">E37*E28</f>
        <v>6041.620316160017</v>
      </c>
      <c r="F36" s="189">
        <f t="shared" si="5"/>
        <v>5843.4551697899778</v>
      </c>
      <c r="G36" s="189">
        <f t="shared" si="5"/>
        <v>5834.105641518323</v>
      </c>
      <c r="H36" s="189">
        <f t="shared" si="5"/>
        <v>6067.4698671790638</v>
      </c>
      <c r="I36" s="189">
        <f t="shared" si="5"/>
        <v>6120.8636020102476</v>
      </c>
      <c r="O36" s="157"/>
      <c r="P36" s="157"/>
      <c r="Q36" s="157"/>
      <c r="R36" s="157"/>
      <c r="S36" s="157"/>
      <c r="T36" s="148"/>
    </row>
    <row r="37" spans="2:20" x14ac:dyDescent="0.2">
      <c r="B37" s="192" t="s">
        <v>187</v>
      </c>
      <c r="C37" s="200">
        <f>C36/C28</f>
        <v>7.9351156031525746E-2</v>
      </c>
      <c r="D37" s="206">
        <f>C37*(1+D38)</f>
        <v>7.6177109790264777E-2</v>
      </c>
      <c r="E37" s="206">
        <f t="shared" ref="E37:I37" si="6">D37*(1+E38)</f>
        <v>7.3130025398654236E-2</v>
      </c>
      <c r="F37" s="206">
        <f t="shared" si="6"/>
        <v>6.8010923620748495E-2</v>
      </c>
      <c r="G37" s="206">
        <f t="shared" si="6"/>
        <v>6.5290486675918608E-2</v>
      </c>
      <c r="H37" s="206">
        <f t="shared" si="6"/>
        <v>6.5290486675918649E-2</v>
      </c>
      <c r="I37" s="206">
        <f t="shared" si="6"/>
        <v>6.3331772075641141E-2</v>
      </c>
      <c r="O37" s="158"/>
      <c r="P37" s="158"/>
      <c r="Q37" s="158"/>
      <c r="R37" s="158"/>
      <c r="S37" s="158"/>
      <c r="T37" s="148"/>
    </row>
    <row r="38" spans="2:20" x14ac:dyDescent="0.2">
      <c r="B38" s="192" t="s">
        <v>183</v>
      </c>
      <c r="D38" s="221">
        <f t="array" ref="D38:I38">TRANSPOSE(G10:G15)</f>
        <v>-3.9999999999999251E-2</v>
      </c>
      <c r="E38" s="221">
        <v>-3.9999999999999251E-2</v>
      </c>
      <c r="F38" s="221">
        <v>-6.9999999999999257E-2</v>
      </c>
      <c r="G38" s="221">
        <v>-3.9999999999999251E-2</v>
      </c>
      <c r="H38" s="221">
        <v>7.5286998857393428E-16</v>
      </c>
      <c r="I38" s="221">
        <v>-2.9999999999999249E-2</v>
      </c>
      <c r="O38" s="148"/>
      <c r="P38" s="148"/>
      <c r="Q38" s="148"/>
      <c r="R38" s="148"/>
      <c r="S38" s="148"/>
      <c r="T38" s="148"/>
    </row>
    <row r="39" spans="2:20" x14ac:dyDescent="0.2">
      <c r="B39" s="150"/>
      <c r="D39" s="222"/>
      <c r="E39" s="190"/>
      <c r="F39" s="190"/>
      <c r="G39" s="190"/>
      <c r="H39" s="190"/>
      <c r="I39" s="190"/>
      <c r="O39" s="148"/>
      <c r="P39" s="148"/>
      <c r="Q39" s="148"/>
      <c r="R39" s="148"/>
      <c r="S39" s="148"/>
      <c r="T39" s="148"/>
    </row>
    <row r="40" spans="2:20" x14ac:dyDescent="0.2">
      <c r="B40" s="150" t="s">
        <v>188</v>
      </c>
      <c r="C40" s="196">
        <v>2472</v>
      </c>
      <c r="D40" s="189">
        <f>D41*-D28</f>
        <v>2648.0064000000039</v>
      </c>
      <c r="E40" s="189">
        <f t="shared" ref="E40:I40" si="7">E41*-E28</f>
        <v>2836.544455680008</v>
      </c>
      <c r="F40" s="189">
        <f t="shared" si="7"/>
        <v>3186.00673261979</v>
      </c>
      <c r="G40" s="189">
        <f t="shared" si="7"/>
        <v>3379.715941963078</v>
      </c>
      <c r="H40" s="189">
        <f t="shared" si="7"/>
        <v>3971.8421749950144</v>
      </c>
      <c r="I40" s="189">
        <f t="shared" si="7"/>
        <v>4213.3301792347165</v>
      </c>
      <c r="O40" s="148"/>
      <c r="P40" s="148"/>
      <c r="Q40" s="148"/>
      <c r="R40" s="148"/>
      <c r="S40" s="148"/>
      <c r="T40" s="148"/>
    </row>
    <row r="41" spans="2:20" x14ac:dyDescent="0.2">
      <c r="B41" s="192" t="s">
        <v>182</v>
      </c>
      <c r="C41" s="143">
        <f>-C40/C28</f>
        <v>-3.2363645885156188E-2</v>
      </c>
      <c r="D41" s="143">
        <f>C41*(1+D42)</f>
        <v>-3.3334555261710898E-2</v>
      </c>
      <c r="E41" s="143">
        <f t="shared" ref="E41:I41" si="8">D41*(1+E42)</f>
        <v>-3.433459191956225E-2</v>
      </c>
      <c r="F41" s="143">
        <f t="shared" si="8"/>
        <v>-3.7081359273127258E-2</v>
      </c>
      <c r="G41" s="143">
        <f t="shared" si="8"/>
        <v>-3.7822986458589829E-2</v>
      </c>
      <c r="H41" s="143">
        <f t="shared" si="8"/>
        <v>-4.2739974698206534E-2</v>
      </c>
      <c r="I41" s="143">
        <f t="shared" si="8"/>
        <v>-4.3594774192170692E-2</v>
      </c>
      <c r="O41" s="148"/>
      <c r="P41" s="148"/>
      <c r="Q41" s="148"/>
      <c r="R41" s="148"/>
      <c r="S41" s="148"/>
      <c r="T41" s="148"/>
    </row>
    <row r="42" spans="2:20" x14ac:dyDescent="0.2">
      <c r="B42" s="192" t="s">
        <v>183</v>
      </c>
      <c r="C42" s="143"/>
      <c r="D42" s="209">
        <f t="array" ref="D42:I42">TRANSPOSE(G17:G22)</f>
        <v>3.0000000000000755E-2</v>
      </c>
      <c r="E42" s="209">
        <v>3.0000000000000755E-2</v>
      </c>
      <c r="F42" s="209">
        <v>8.0000000000000751E-2</v>
      </c>
      <c r="G42" s="209">
        <v>2.0000000000000753E-2</v>
      </c>
      <c r="H42" s="209">
        <v>0.13000000000000073</v>
      </c>
      <c r="I42" s="209">
        <v>2.0000000000000753E-2</v>
      </c>
      <c r="O42" s="148"/>
      <c r="P42" s="148"/>
      <c r="Q42" s="148"/>
      <c r="R42" s="148"/>
      <c r="S42" s="148"/>
      <c r="T42" s="148"/>
    </row>
    <row r="43" spans="2:20" x14ac:dyDescent="0.2">
      <c r="B43" s="192"/>
      <c r="C43" s="143"/>
      <c r="D43" s="222"/>
      <c r="E43" s="190"/>
      <c r="F43" s="190"/>
      <c r="G43" s="190"/>
      <c r="H43" s="190"/>
      <c r="I43" s="190"/>
      <c r="O43" s="148"/>
      <c r="P43" s="148"/>
      <c r="Q43" s="148"/>
      <c r="R43" s="148"/>
      <c r="S43" s="148"/>
      <c r="T43" s="148"/>
    </row>
    <row r="44" spans="2:20" x14ac:dyDescent="0.2">
      <c r="B44" s="136" t="s">
        <v>74</v>
      </c>
      <c r="C44" s="189">
        <f>C33-C36-C40</f>
        <v>8885</v>
      </c>
      <c r="D44" s="189">
        <f t="shared" ref="D44:I44" si="9">D33-D36-D40</f>
        <v>8188.9599999999573</v>
      </c>
      <c r="E44" s="189">
        <f t="shared" si="9"/>
        <v>6734.1056307198978</v>
      </c>
      <c r="F44" s="189">
        <f t="shared" si="9"/>
        <v>4419.9952830789935</v>
      </c>
      <c r="G44" s="189">
        <f t="shared" si="9"/>
        <v>4019.9268788567597</v>
      </c>
      <c r="H44" s="189">
        <f t="shared" si="9"/>
        <v>1348.7678509490038</v>
      </c>
      <c r="I44" s="189">
        <f t="shared" si="9"/>
        <v>-186.6705760352952</v>
      </c>
      <c r="O44" s="148"/>
      <c r="P44" s="148"/>
      <c r="Q44" s="148"/>
      <c r="R44" s="148"/>
      <c r="S44" s="148"/>
      <c r="T44" s="148"/>
    </row>
    <row r="45" spans="2:20" x14ac:dyDescent="0.2">
      <c r="B45" s="194" t="s">
        <v>189</v>
      </c>
      <c r="C45" s="206">
        <f t="shared" ref="C45:I45" si="10">C44/C28</f>
        <v>0.11632321751197926</v>
      </c>
      <c r="D45" s="206">
        <f t="shared" si="10"/>
        <v>0.10308711476525823</v>
      </c>
      <c r="E45" s="206">
        <f t="shared" si="10"/>
        <v>8.1512125893533766E-2</v>
      </c>
      <c r="F45" s="206">
        <f t="shared" si="10"/>
        <v>5.1443530046343854E-2</v>
      </c>
      <c r="G45" s="206">
        <f t="shared" si="10"/>
        <v>4.4987697935112897E-2</v>
      </c>
      <c r="H45" s="206">
        <f t="shared" si="10"/>
        <v>1.4513744827584239E-2</v>
      </c>
      <c r="I45" s="206">
        <f t="shared" si="10"/>
        <v>-1.9314559420689017E-3</v>
      </c>
      <c r="O45" s="148"/>
      <c r="P45" s="148"/>
      <c r="Q45" s="148"/>
      <c r="R45" s="148"/>
      <c r="S45" s="148"/>
      <c r="T45" s="148"/>
    </row>
    <row r="46" spans="2:20" x14ac:dyDescent="0.2">
      <c r="B46" s="166"/>
      <c r="D46" s="223"/>
      <c r="E46" s="190"/>
      <c r="F46" s="190"/>
      <c r="G46" s="190"/>
      <c r="H46" s="190"/>
      <c r="I46" s="190"/>
      <c r="O46" s="148"/>
      <c r="P46" s="148"/>
      <c r="Q46" s="148"/>
      <c r="R46" s="148"/>
      <c r="S46" s="148"/>
      <c r="T46" s="148"/>
    </row>
    <row r="47" spans="2:20" x14ac:dyDescent="0.2">
      <c r="B47" s="150" t="s">
        <v>190</v>
      </c>
      <c r="C47" s="196">
        <v>1801</v>
      </c>
      <c r="D47" s="189">
        <f>D48*D28</f>
        <v>1891.7704000000028</v>
      </c>
      <c r="E47" s="189">
        <f t="shared" ref="E47:I47" si="11">E48*E28</f>
        <v>1987.1156281600056</v>
      </c>
      <c r="F47" s="189">
        <f t="shared" si="11"/>
        <v>2087.2662558192728</v>
      </c>
      <c r="G47" s="189">
        <f t="shared" si="11"/>
        <v>2192.464475112567</v>
      </c>
      <c r="H47" s="189">
        <f t="shared" si="11"/>
        <v>2302.9646846582436</v>
      </c>
      <c r="I47" s="189">
        <f t="shared" si="11"/>
        <v>2419.0341047650227</v>
      </c>
      <c r="O47" s="148"/>
      <c r="P47" s="148"/>
      <c r="Q47" s="148"/>
      <c r="R47" s="148"/>
      <c r="S47" s="148"/>
      <c r="T47" s="148"/>
    </row>
    <row r="48" spans="2:20" x14ac:dyDescent="0.2">
      <c r="B48" s="192" t="s">
        <v>187</v>
      </c>
      <c r="C48" s="224">
        <f>C47/C28</f>
        <v>2.3578853656620671E-2</v>
      </c>
      <c r="D48" s="224">
        <f>C48*(1+D49)</f>
        <v>2.3814642193186894E-2</v>
      </c>
      <c r="E48" s="224">
        <f>D48*(1+E49)</f>
        <v>2.4052788615118777E-2</v>
      </c>
      <c r="F48" s="224">
        <f t="shared" ref="F48:I48" si="12">E48*(1+F49)</f>
        <v>2.4293316501269983E-2</v>
      </c>
      <c r="G48" s="224">
        <f t="shared" si="12"/>
        <v>2.4536249666282699E-2</v>
      </c>
      <c r="H48" s="224">
        <f t="shared" si="12"/>
        <v>2.4781612162945544E-2</v>
      </c>
      <c r="I48" s="224">
        <f t="shared" si="12"/>
        <v>2.5029428284575016E-2</v>
      </c>
      <c r="O48" s="148"/>
      <c r="P48" s="148"/>
      <c r="Q48" s="148"/>
      <c r="R48" s="148"/>
      <c r="S48" s="148"/>
      <c r="T48" s="148"/>
    </row>
    <row r="49" spans="2:20" x14ac:dyDescent="0.2">
      <c r="B49" s="193" t="s">
        <v>183</v>
      </c>
      <c r="C49" s="225"/>
      <c r="D49" s="219">
        <f t="array" ref="D49:I49">TRANSPOSE(I10:I15)</f>
        <v>1.0000000000000753E-2</v>
      </c>
      <c r="E49" s="219">
        <v>1.0000000000000753E-2</v>
      </c>
      <c r="F49" s="219">
        <v>1.0000000000000753E-2</v>
      </c>
      <c r="G49" s="219">
        <v>1.0000000000000753E-2</v>
      </c>
      <c r="H49" s="219">
        <v>1.0000000000000753E-2</v>
      </c>
      <c r="I49" s="219">
        <v>1.0000000000000753E-2</v>
      </c>
      <c r="O49" s="148"/>
      <c r="P49" s="148"/>
      <c r="Q49" s="148"/>
      <c r="R49" s="148"/>
      <c r="S49" s="148"/>
      <c r="T49" s="148"/>
    </row>
    <row r="50" spans="2:20" x14ac:dyDescent="0.2">
      <c r="B50" s="150" t="s">
        <v>191</v>
      </c>
      <c r="C50" s="226">
        <f t="shared" ref="C50:I50" si="13">C44-C47</f>
        <v>7084</v>
      </c>
      <c r="D50" s="226">
        <f t="shared" si="13"/>
        <v>6297.1895999999542</v>
      </c>
      <c r="E50" s="226">
        <f t="shared" si="13"/>
        <v>4746.9900025598927</v>
      </c>
      <c r="F50" s="226">
        <f t="shared" si="13"/>
        <v>2332.7290272597206</v>
      </c>
      <c r="G50" s="226">
        <f t="shared" si="13"/>
        <v>1827.4624037441927</v>
      </c>
      <c r="H50" s="226">
        <f t="shared" si="13"/>
        <v>-954.19683370923985</v>
      </c>
      <c r="I50" s="226">
        <f t="shared" si="13"/>
        <v>-2605.7046808003179</v>
      </c>
      <c r="O50" s="148"/>
      <c r="P50" s="148"/>
      <c r="Q50" s="148"/>
      <c r="R50" s="148"/>
      <c r="S50" s="148"/>
      <c r="T50" s="148"/>
    </row>
    <row r="51" spans="2:20" x14ac:dyDescent="0.2">
      <c r="B51" s="192" t="s">
        <v>192</v>
      </c>
      <c r="C51" s="206">
        <f t="shared" ref="C51:I51" si="14">C50/C28</f>
        <v>9.2744363855358586E-2</v>
      </c>
      <c r="D51" s="206">
        <f t="shared" si="14"/>
        <v>7.9272472572071317E-2</v>
      </c>
      <c r="E51" s="206">
        <f t="shared" si="14"/>
        <v>5.7459337278414999E-2</v>
      </c>
      <c r="F51" s="206">
        <f t="shared" si="14"/>
        <v>2.7150213545073871E-2</v>
      </c>
      <c r="G51" s="206">
        <f t="shared" si="14"/>
        <v>2.0451448268830198E-2</v>
      </c>
      <c r="H51" s="206">
        <f t="shared" si="14"/>
        <v>-1.0267867335361303E-2</v>
      </c>
      <c r="I51" s="206">
        <f t="shared" si="14"/>
        <v>-2.696088422664392E-2</v>
      </c>
      <c r="O51" s="148"/>
      <c r="P51" s="148"/>
      <c r="Q51" s="148"/>
      <c r="R51" s="148"/>
      <c r="S51" s="148"/>
      <c r="T51" s="148"/>
    </row>
    <row r="52" spans="2:20" x14ac:dyDescent="0.2">
      <c r="O52" s="148"/>
      <c r="P52" s="148"/>
      <c r="Q52" s="148"/>
      <c r="R52" s="148"/>
      <c r="S52" s="148"/>
      <c r="T52" s="148"/>
    </row>
    <row r="53" spans="2:20" x14ac:dyDescent="0.2">
      <c r="B53" s="136" t="s">
        <v>193</v>
      </c>
      <c r="C53" s="227">
        <f t="shared" ref="C53:I53" si="15">C50*$I$18</f>
        <v>2125.1999999999998</v>
      </c>
      <c r="D53" s="227">
        <f t="shared" si="15"/>
        <v>1889.1568799999861</v>
      </c>
      <c r="E53" s="227">
        <f t="shared" si="15"/>
        <v>1424.0970007679678</v>
      </c>
      <c r="F53" s="227">
        <f t="shared" si="15"/>
        <v>699.81870817791616</v>
      </c>
      <c r="G53" s="227">
        <f t="shared" si="15"/>
        <v>548.23872112325773</v>
      </c>
      <c r="H53" s="227">
        <f t="shared" si="15"/>
        <v>-286.25905011277194</v>
      </c>
      <c r="I53" s="227">
        <f t="shared" si="15"/>
        <v>-781.71140424009536</v>
      </c>
      <c r="O53" s="148"/>
      <c r="P53" s="148"/>
      <c r="Q53" s="148"/>
      <c r="R53" s="148"/>
      <c r="S53" s="148"/>
      <c r="T53" s="148"/>
    </row>
    <row r="54" spans="2:20" x14ac:dyDescent="0.2">
      <c r="B54" s="150" t="s">
        <v>194</v>
      </c>
      <c r="C54" s="189">
        <f t="shared" ref="C54:I54" si="16">C47</f>
        <v>1801</v>
      </c>
      <c r="D54" s="189">
        <f t="shared" si="16"/>
        <v>1891.7704000000028</v>
      </c>
      <c r="E54" s="189">
        <f t="shared" si="16"/>
        <v>1987.1156281600056</v>
      </c>
      <c r="F54" s="189">
        <f t="shared" si="16"/>
        <v>2087.2662558192728</v>
      </c>
      <c r="G54" s="189">
        <f t="shared" si="16"/>
        <v>2192.464475112567</v>
      </c>
      <c r="H54" s="189">
        <f t="shared" si="16"/>
        <v>2302.9646846582436</v>
      </c>
      <c r="I54" s="189">
        <f t="shared" si="16"/>
        <v>2419.0341047650227</v>
      </c>
      <c r="O54" s="148"/>
      <c r="P54" s="148"/>
      <c r="Q54" s="148"/>
      <c r="R54" s="148"/>
      <c r="S54" s="148"/>
      <c r="T54" s="148"/>
    </row>
    <row r="55" spans="2:20" x14ac:dyDescent="0.2">
      <c r="B55" s="150" t="s">
        <v>195</v>
      </c>
      <c r="C55" s="196">
        <v>2395</v>
      </c>
      <c r="D55" s="189">
        <f>D56*D28</f>
        <v>2416.0760000000037</v>
      </c>
      <c r="E55" s="189">
        <f t="shared" ref="E55:I55" si="17">E56*E28</f>
        <v>2437.3374688000072</v>
      </c>
      <c r="F55" s="189">
        <f t="shared" si="17"/>
        <v>2382.7411094988906</v>
      </c>
      <c r="G55" s="189">
        <f t="shared" si="17"/>
        <v>2255.0261860297537</v>
      </c>
      <c r="H55" s="189">
        <f t="shared" si="17"/>
        <v>2063.7999654544337</v>
      </c>
      <c r="I55" s="189">
        <f t="shared" si="17"/>
        <v>1824.3991694617223</v>
      </c>
      <c r="O55" s="148"/>
      <c r="P55" s="148"/>
      <c r="Q55" s="148"/>
      <c r="R55" s="148"/>
      <c r="S55" s="148"/>
      <c r="T55" s="148"/>
    </row>
    <row r="56" spans="2:20" x14ac:dyDescent="0.2">
      <c r="B56" s="192" t="s">
        <v>187</v>
      </c>
      <c r="C56" s="206">
        <f>C55/C28</f>
        <v>3.1355554973684897E-2</v>
      </c>
      <c r="D56" s="206">
        <f>C56*(1+D57)</f>
        <v>3.0414888324474375E-2</v>
      </c>
      <c r="E56" s="206">
        <f>D56*(1+E57)</f>
        <v>2.9502441674740167E-2</v>
      </c>
      <c r="F56" s="206">
        <f t="shared" ref="F56:I56" si="18">E56*(1+F57)</f>
        <v>2.7732295174255777E-2</v>
      </c>
      <c r="G56" s="206">
        <f t="shared" si="18"/>
        <v>2.5236388608572781E-2</v>
      </c>
      <c r="H56" s="206">
        <f t="shared" si="18"/>
        <v>2.2208021975544067E-2</v>
      </c>
      <c r="I56" s="206">
        <f t="shared" si="18"/>
        <v>1.8876818679212475E-2</v>
      </c>
      <c r="O56" s="148"/>
      <c r="P56" s="148"/>
      <c r="Q56" s="148"/>
      <c r="R56" s="148"/>
      <c r="S56" s="148"/>
      <c r="T56" s="148"/>
    </row>
    <row r="57" spans="2:20" x14ac:dyDescent="0.2">
      <c r="B57" s="192" t="s">
        <v>183</v>
      </c>
      <c r="C57" s="206"/>
      <c r="D57" s="209">
        <f t="array" ref="D57:I57">TRANSPOSE(L10:L15)</f>
        <v>-2.9999999999999249E-2</v>
      </c>
      <c r="E57" s="209">
        <v>-2.9999999999999249E-2</v>
      </c>
      <c r="F57" s="209">
        <v>-5.9999999999999255E-2</v>
      </c>
      <c r="G57" s="209">
        <v>-8.9999999999999247E-2</v>
      </c>
      <c r="H57" s="209">
        <v>-0.11999999999999923</v>
      </c>
      <c r="I57" s="209">
        <v>-0.14999999999999925</v>
      </c>
      <c r="O57" s="148"/>
      <c r="P57" s="148"/>
      <c r="Q57" s="148"/>
      <c r="R57" s="148"/>
      <c r="S57" s="148"/>
      <c r="T57" s="148"/>
    </row>
    <row r="58" spans="2:20" x14ac:dyDescent="0.2">
      <c r="B58" s="150" t="s">
        <v>196</v>
      </c>
      <c r="D58" s="228"/>
      <c r="E58" s="190"/>
      <c r="F58" s="190"/>
      <c r="G58" s="190"/>
      <c r="H58" s="190"/>
      <c r="I58" s="190"/>
      <c r="O58" s="148"/>
      <c r="P58" s="148"/>
      <c r="Q58" s="148"/>
      <c r="R58" s="148"/>
      <c r="S58" s="148"/>
      <c r="T58" s="148"/>
    </row>
    <row r="59" spans="2:20" x14ac:dyDescent="0.2">
      <c r="B59" s="195" t="s">
        <v>197</v>
      </c>
      <c r="C59" s="196">
        <v>9156</v>
      </c>
      <c r="D59" s="196">
        <f t="shared" ref="D59:I59" si="19">D60*D28</f>
        <v>9617.4624000000131</v>
      </c>
      <c r="E59" s="189">
        <f t="shared" si="19"/>
        <v>10102.182504960028</v>
      </c>
      <c r="F59" s="189">
        <f t="shared" si="19"/>
        <v>10611.332503210027</v>
      </c>
      <c r="G59" s="189">
        <f t="shared" si="19"/>
        <v>11146.143661371829</v>
      </c>
      <c r="H59" s="189">
        <f t="shared" si="19"/>
        <v>11707.909301904983</v>
      </c>
      <c r="I59" s="189">
        <f t="shared" si="19"/>
        <v>12297.987930721012</v>
      </c>
      <c r="O59" s="148"/>
      <c r="P59" s="148"/>
      <c r="Q59" s="148"/>
      <c r="R59" s="148"/>
      <c r="S59" s="148"/>
      <c r="T59" s="148"/>
    </row>
    <row r="60" spans="2:20" x14ac:dyDescent="0.2">
      <c r="B60" s="192" t="s">
        <v>187</v>
      </c>
      <c r="C60" s="206">
        <f>ABS(C59/C28)</f>
        <v>0.11987117383676782</v>
      </c>
      <c r="D60" s="206">
        <f>C60*(1+D61)</f>
        <v>0.12106988557513558</v>
      </c>
      <c r="E60" s="206">
        <f>D60*(1+E61)</f>
        <v>0.12228058443088702</v>
      </c>
      <c r="F60" s="206">
        <f t="shared" ref="F60:I60" si="20">E60*(1+F61)</f>
        <v>0.12350339027519597</v>
      </c>
      <c r="G60" s="206">
        <f t="shared" si="20"/>
        <v>0.124738424177948</v>
      </c>
      <c r="H60" s="206">
        <f t="shared" si="20"/>
        <v>0.12598580841972756</v>
      </c>
      <c r="I60" s="206">
        <f t="shared" si="20"/>
        <v>0.12724566650392494</v>
      </c>
      <c r="O60" s="148"/>
      <c r="P60" s="148"/>
      <c r="Q60" s="148"/>
      <c r="R60" s="148"/>
      <c r="S60" s="148"/>
      <c r="T60" s="148"/>
    </row>
    <row r="61" spans="2:20" x14ac:dyDescent="0.2">
      <c r="B61" s="192" t="s">
        <v>183</v>
      </c>
      <c r="C61" s="206"/>
      <c r="D61" s="209">
        <f t="array" ref="D61:I61">TRANSPOSE(L17:L22)</f>
        <v>1.0000000000000753E-2</v>
      </c>
      <c r="E61" s="229">
        <v>1.0000000000000753E-2</v>
      </c>
      <c r="F61" s="229">
        <v>1.0000000000000753E-2</v>
      </c>
      <c r="G61" s="229">
        <v>1.0000000000000753E-2</v>
      </c>
      <c r="H61" s="229">
        <v>1.0000000000000753E-2</v>
      </c>
      <c r="I61" s="229">
        <v>1.0000000000000753E-2</v>
      </c>
      <c r="O61" s="148"/>
      <c r="P61" s="148"/>
      <c r="Q61" s="148"/>
      <c r="R61" s="148"/>
      <c r="S61" s="148"/>
      <c r="T61" s="148"/>
    </row>
    <row r="62" spans="2:20" x14ac:dyDescent="0.2">
      <c r="B62" s="154" t="s">
        <v>198</v>
      </c>
      <c r="C62" s="197"/>
      <c r="D62" s="191">
        <f>D59-C59</f>
        <v>461.46240000001308</v>
      </c>
      <c r="E62" s="191">
        <f t="shared" ref="E62:I62" si="21">E59-D59</f>
        <v>484.72010496001531</v>
      </c>
      <c r="F62" s="191">
        <f>F59-E59</f>
        <v>509.14999824999904</v>
      </c>
      <c r="G62" s="191">
        <f t="shared" si="21"/>
        <v>534.81115816180136</v>
      </c>
      <c r="H62" s="191">
        <f t="shared" si="21"/>
        <v>561.76564053315451</v>
      </c>
      <c r="I62" s="191">
        <f t="shared" si="21"/>
        <v>590.07862881602887</v>
      </c>
      <c r="O62" s="148"/>
      <c r="P62" s="148"/>
      <c r="Q62" s="148"/>
      <c r="R62" s="148"/>
      <c r="S62" s="148"/>
      <c r="T62" s="148"/>
    </row>
    <row r="63" spans="2:20" x14ac:dyDescent="0.2">
      <c r="O63" s="148"/>
      <c r="P63" s="148"/>
      <c r="Q63" s="148"/>
      <c r="R63" s="148"/>
      <c r="S63" s="148"/>
      <c r="T63" s="148"/>
    </row>
    <row r="64" spans="2:20" x14ac:dyDescent="0.2">
      <c r="B64" s="167" t="s">
        <v>199</v>
      </c>
      <c r="D64" s="211"/>
      <c r="E64" s="211"/>
      <c r="F64" s="211"/>
      <c r="G64" s="211"/>
      <c r="H64" s="211"/>
      <c r="I64" s="212">
        <f>I44*I20</f>
        <v>-1493.3646082823616</v>
      </c>
      <c r="O64" s="148"/>
      <c r="P64" s="148"/>
      <c r="Q64" s="148"/>
      <c r="R64" s="148"/>
      <c r="S64" s="148"/>
      <c r="T64" s="148"/>
    </row>
    <row r="65" spans="2:20" x14ac:dyDescent="0.2">
      <c r="B65" s="154" t="s">
        <v>200</v>
      </c>
      <c r="C65" s="230"/>
      <c r="D65" s="230">
        <f>D50-D53+D54-D55+D62</f>
        <v>4345.1895199999808</v>
      </c>
      <c r="E65" s="230">
        <f>E50-E53+E54-E55-E62</f>
        <v>2387.9510561919074</v>
      </c>
      <c r="F65" s="230">
        <f>F50-F53+F54-F55-F62</f>
        <v>828.28546715218772</v>
      </c>
      <c r="G65" s="230">
        <f>G50-G53+G54-G55-G62</f>
        <v>681.85081354194699</v>
      </c>
      <c r="H65" s="230">
        <f>H50-H53+H54-H55-H62</f>
        <v>-990.53870492581245</v>
      </c>
      <c r="I65" s="230">
        <f>I50-I53+I54-I55-I62</f>
        <v>-1819.436970072951</v>
      </c>
      <c r="O65" s="148"/>
      <c r="P65" s="148"/>
      <c r="Q65" s="148"/>
      <c r="R65" s="148"/>
      <c r="S65" s="148"/>
      <c r="T65" s="148"/>
    </row>
    <row r="66" spans="2:20" x14ac:dyDescent="0.2">
      <c r="B66" s="150" t="s">
        <v>201</v>
      </c>
      <c r="D66" s="211">
        <f t="shared" ref="D66:I66" si="22">SUM(D64:D65)</f>
        <v>4345.1895199999808</v>
      </c>
      <c r="E66" s="211">
        <f t="shared" si="22"/>
        <v>2387.9510561919074</v>
      </c>
      <c r="F66" s="211">
        <f t="shared" si="22"/>
        <v>828.28546715218772</v>
      </c>
      <c r="G66" s="211">
        <f t="shared" si="22"/>
        <v>681.85081354194699</v>
      </c>
      <c r="H66" s="211">
        <f t="shared" si="22"/>
        <v>-990.53870492581245</v>
      </c>
      <c r="I66" s="211">
        <f t="shared" si="22"/>
        <v>-3312.8015783553128</v>
      </c>
    </row>
    <row r="67" spans="2:20" x14ac:dyDescent="0.2">
      <c r="B67" s="150"/>
      <c r="D67" s="134"/>
      <c r="E67" s="134"/>
      <c r="F67" s="134"/>
      <c r="G67" s="134"/>
      <c r="H67" s="134"/>
      <c r="I67" s="134"/>
    </row>
    <row r="68" spans="2:20" x14ac:dyDescent="0.2">
      <c r="B68" s="156" t="s">
        <v>122</v>
      </c>
      <c r="D68" s="202">
        <f>O11</f>
        <v>0.11429999999999989</v>
      </c>
      <c r="E68" s="155"/>
      <c r="F68" s="155"/>
      <c r="G68" s="155"/>
      <c r="H68" s="155"/>
      <c r="I68" s="155"/>
    </row>
    <row r="69" spans="2:20" x14ac:dyDescent="0.2">
      <c r="B69" s="156" t="s">
        <v>202</v>
      </c>
      <c r="D69" s="157">
        <v>8.3333333333333329E-2</v>
      </c>
      <c r="E69" s="157">
        <f>D69+1</f>
        <v>1.0833333333333333</v>
      </c>
      <c r="F69" s="157">
        <f>E69+1</f>
        <v>2.083333333333333</v>
      </c>
      <c r="G69" s="157">
        <f>F69+1</f>
        <v>3.083333333333333</v>
      </c>
      <c r="H69" s="157">
        <f>G69+1</f>
        <v>4.083333333333333</v>
      </c>
      <c r="I69" s="157">
        <f>H69+1</f>
        <v>5.083333333333333</v>
      </c>
    </row>
    <row r="70" spans="2:20" x14ac:dyDescent="0.2">
      <c r="B70" s="156" t="s">
        <v>203</v>
      </c>
      <c r="D70" s="157">
        <f t="shared" ref="D70:I70" si="23">1/((1+$D$68)^D69)</f>
        <v>0.99102168090200538</v>
      </c>
      <c r="E70" s="157">
        <f t="shared" si="23"/>
        <v>0.88936702943731982</v>
      </c>
      <c r="F70" s="157">
        <f t="shared" si="23"/>
        <v>0.79813966565316352</v>
      </c>
      <c r="G70" s="157">
        <f t="shared" si="23"/>
        <v>0.71627000417586251</v>
      </c>
      <c r="H70" s="157">
        <f t="shared" si="23"/>
        <v>0.64279817300176123</v>
      </c>
      <c r="I70" s="157">
        <f t="shared" si="23"/>
        <v>0.57686275958158606</v>
      </c>
    </row>
    <row r="71" spans="2:20" ht="17" thickBot="1" x14ac:dyDescent="0.25">
      <c r="B71" s="159" t="s">
        <v>204</v>
      </c>
      <c r="C71" s="199"/>
      <c r="D71" s="160">
        <f t="shared" ref="D71:I71" si="24">D70*D66</f>
        <v>4306.1770219481587</v>
      </c>
      <c r="E71" s="160">
        <f t="shared" si="24"/>
        <v>2123.7649372871069</v>
      </c>
      <c r="F71" s="160">
        <f t="shared" si="24"/>
        <v>661.08748581822147</v>
      </c>
      <c r="G71" s="160">
        <f t="shared" si="24"/>
        <v>488.38928506300562</v>
      </c>
      <c r="H71" s="160">
        <f t="shared" si="24"/>
        <v>-636.71646981384288</v>
      </c>
      <c r="I71" s="160">
        <f t="shared" si="24"/>
        <v>-1911.0318604362797</v>
      </c>
    </row>
    <row r="72" spans="2:20" ht="17" thickTop="1" x14ac:dyDescent="0.2">
      <c r="B72" s="161"/>
      <c r="D72" s="157"/>
      <c r="E72" s="157"/>
      <c r="F72" s="157"/>
      <c r="G72" s="157"/>
      <c r="H72" s="157"/>
      <c r="I72" s="157"/>
    </row>
    <row r="73" spans="2:20" x14ac:dyDescent="0.2">
      <c r="B73" s="162" t="s">
        <v>205</v>
      </c>
      <c r="C73" s="203">
        <f>SUM(D71:I71)</f>
        <v>5031.6703998663706</v>
      </c>
      <c r="E73" s="155"/>
      <c r="F73" s="155"/>
      <c r="G73" s="155"/>
      <c r="H73" s="155"/>
      <c r="I73" s="155"/>
    </row>
    <row r="74" spans="2:20" x14ac:dyDescent="0.2">
      <c r="B74" s="161"/>
      <c r="C74" s="204"/>
      <c r="E74" s="155"/>
      <c r="F74" s="155"/>
      <c r="G74" s="155"/>
      <c r="H74" s="155"/>
      <c r="I74" s="155"/>
    </row>
    <row r="75" spans="2:20" x14ac:dyDescent="0.2">
      <c r="B75" s="164" t="s">
        <v>206</v>
      </c>
      <c r="C75" s="205">
        <f>C73</f>
        <v>5031.6703998663706</v>
      </c>
      <c r="E75" s="155"/>
      <c r="F75" s="155"/>
      <c r="G75" s="155"/>
      <c r="H75" s="155"/>
      <c r="I75" s="155"/>
    </row>
    <row r="77" spans="2:20" x14ac:dyDescent="0.2">
      <c r="B77" s="231" t="s">
        <v>49</v>
      </c>
      <c r="C77" s="8">
        <v>-13067</v>
      </c>
    </row>
    <row r="78" spans="2:20" x14ac:dyDescent="0.2">
      <c r="B78" s="231" t="s">
        <v>50</v>
      </c>
      <c r="C78" s="7">
        <v>0</v>
      </c>
    </row>
    <row r="79" spans="2:20" x14ac:dyDescent="0.2">
      <c r="B79" s="231" t="s">
        <v>51</v>
      </c>
      <c r="C79" s="7">
        <v>5</v>
      </c>
    </row>
    <row r="80" spans="2:20" x14ac:dyDescent="0.2">
      <c r="B80" s="231"/>
      <c r="C80" s="7"/>
    </row>
    <row r="81" spans="2:3" x14ac:dyDescent="0.2">
      <c r="B81" s="231"/>
      <c r="C81" s="7"/>
    </row>
    <row r="82" spans="2:3" x14ac:dyDescent="0.2">
      <c r="B82" s="232" t="s">
        <v>207</v>
      </c>
      <c r="C82" s="233">
        <f>C75-C77-C78+C79</f>
        <v>18103.670399866372</v>
      </c>
    </row>
    <row r="83" spans="2:3" x14ac:dyDescent="0.2">
      <c r="B83" s="72"/>
      <c r="C83" s="234"/>
    </row>
    <row r="84" spans="2:3" x14ac:dyDescent="0.2">
      <c r="B84" s="232" t="s">
        <v>208</v>
      </c>
      <c r="C84" s="235">
        <v>399.86</v>
      </c>
    </row>
    <row r="85" spans="2:3" x14ac:dyDescent="0.2">
      <c r="B85" s="72"/>
      <c r="C85" s="236"/>
    </row>
    <row r="86" spans="2:3" x14ac:dyDescent="0.2">
      <c r="B86" s="232" t="s">
        <v>209</v>
      </c>
      <c r="C86" s="213">
        <f>C82/C84</f>
        <v>45.275022257456037</v>
      </c>
    </row>
    <row r="88" spans="2:3" x14ac:dyDescent="0.2">
      <c r="B88" s="152"/>
      <c r="C88" s="165"/>
    </row>
    <row r="89" spans="2:3" x14ac:dyDescent="0.2">
      <c r="B89" s="152"/>
      <c r="C89" s="165"/>
    </row>
    <row r="90" spans="2:3" x14ac:dyDescent="0.2">
      <c r="B90" s="152"/>
    </row>
    <row r="91" spans="2:3" x14ac:dyDescent="0.2">
      <c r="B91" s="152"/>
    </row>
    <row r="92" spans="2:3" x14ac:dyDescent="0.2">
      <c r="B92" s="150"/>
    </row>
  </sheetData>
  <phoneticPr fontId="39" type="noConversion"/>
  <dataValidations count="1">
    <dataValidation type="decimal" allowBlank="1" showInputMessage="1" showErrorMessage="1" sqref="L27" xr:uid="{55AEA0FB-317D-4AC9-9814-C865EB72C7DF}">
      <formula1>-1</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DDE91255-F078-4CA0-9AAD-D5D655C0DE8D}">
          <x14:formula1>
            <xm:f>'Data Validation Sheet'!$B$103:$B$203</xm:f>
          </x14:formula1>
          <xm:sqref>S14 O14:P14 P22</xm:sqref>
        </x14:dataValidation>
        <x14:dataValidation type="list" allowBlank="1" showInputMessage="1" showErrorMessage="1" xr:uid="{B8359811-9ABE-49EE-B9B4-4BC9B8D9A9A7}">
          <x14:formula1>
            <xm:f>'Data Validation Sheet'!$F$3:$F$23</xm:f>
          </x14:formula1>
          <xm:sqref>I18</xm:sqref>
        </x14:dataValidation>
        <x14:dataValidation type="list" allowBlank="1" showInputMessage="1" showErrorMessage="1" xr:uid="{9304C1BD-786F-4998-BE76-A5C06DD62F98}">
          <x14:formula1>
            <xm:f>'Data Validation Sheet'!$H$4:$H$204</xm:f>
          </x14:formula1>
          <xm:sqref>I20</xm:sqref>
        </x14:dataValidation>
        <x14:dataValidation type="list" allowBlank="1" showInputMessage="1" showErrorMessage="1" xr:uid="{71C23474-77C9-4439-AB32-C3ECC800B95E}">
          <x14:formula1>
            <xm:f>'Data Validation Sheet'!$K$4:$K$83</xm:f>
          </x14:formula1>
          <xm:sqref>O19:P19 P13</xm:sqref>
        </x14:dataValidation>
        <x14:dataValidation type="list" allowBlank="1" showInputMessage="1" showErrorMessage="1" xr:uid="{D3D1C75B-7B9F-4100-BA1A-F0A2C6D50371}">
          <x14:formula1>
            <xm:f>'Data Validation Sheet'!$K$4:$K$123</xm:f>
          </x14:formula1>
          <xm:sqref>O20:P20</xm:sqref>
        </x14:dataValidation>
        <x14:dataValidation type="list" allowBlank="1" showInputMessage="1" showErrorMessage="1" xr:uid="{B96DFBB8-20C7-46B6-8962-8E9485C523F6}">
          <x14:formula1>
            <xm:f>'Data Validation Sheet'!$M$4:$M$104</xm:f>
          </x14:formula1>
          <xm:sqref>O21:P21</xm:sqref>
        </x14:dataValidation>
        <x14:dataValidation type="list" allowBlank="1" showInputMessage="1" showErrorMessage="1" xr:uid="{480C3DD9-BCDF-4A85-8E54-4319CF183201}">
          <x14:formula1>
            <xm:f>'Data Validation Sheet'!$K$3:$K$83</xm:f>
          </x14:formula1>
          <xm:sqref>O13</xm:sqref>
        </x14:dataValidation>
        <x14:dataValidation type="list" allowBlank="1" showInputMessage="1" showErrorMessage="1" xr:uid="{1A61EF36-9164-4A4D-8E64-628A2CC58899}">
          <x14:formula1>
            <xm:f>'Data Validation Sheet'!$K$3:$K$123</xm:f>
          </x14:formula1>
          <xm:sqref>S13</xm:sqref>
        </x14:dataValidation>
        <x14:dataValidation type="list" allowBlank="1" showInputMessage="1" showErrorMessage="1" xr:uid="{38210115-4A50-4A0A-B32E-6DE84F5436A3}">
          <x14:formula1>
            <xm:f>'Data Validation Sheet'!$B$3:$B$203</xm:f>
          </x14:formula1>
          <xm:sqref>G10:G15 I10:I15 L10:L15 L17:L22 C17:C22 G17:G22 C10:C15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FE3E1-DD93-4266-9EF0-1ED057D90CD8}">
  <sheetPr codeName="Sheet16"/>
  <dimension ref="B1:V92"/>
  <sheetViews>
    <sheetView showGridLines="0" tabSelected="1" zoomScale="125" workbookViewId="0">
      <selection activeCell="C11" sqref="C11"/>
    </sheetView>
  </sheetViews>
  <sheetFormatPr baseColWidth="10" defaultColWidth="11.1640625" defaultRowHeight="16" x14ac:dyDescent="0.2"/>
  <cols>
    <col min="1" max="1" width="1.33203125" style="1" customWidth="1"/>
    <col min="2" max="2" width="35.6640625" style="1" bestFit="1" customWidth="1"/>
    <col min="3" max="3" width="14.6640625" style="1" bestFit="1" customWidth="1"/>
    <col min="4" max="4" width="13.6640625" style="1" customWidth="1"/>
    <col min="5" max="5" width="21" style="1" customWidth="1"/>
    <col min="6" max="6" width="14.33203125" style="1" bestFit="1" customWidth="1"/>
    <col min="7" max="7" width="16.5" style="1" customWidth="1"/>
    <col min="8" max="8" width="21.5" style="1" customWidth="1"/>
    <col min="9" max="9" width="15.33203125" style="1" customWidth="1"/>
    <col min="10" max="10" width="12.6640625" style="1" bestFit="1" customWidth="1"/>
    <col min="11" max="11" width="25.5" style="1" customWidth="1"/>
    <col min="12" max="13" width="12.6640625" style="1" bestFit="1" customWidth="1"/>
    <col min="14" max="14" width="39.83203125" style="1" customWidth="1"/>
    <col min="15" max="15" width="21.5" style="1" customWidth="1"/>
    <col min="16" max="16" width="7.5" style="1" customWidth="1"/>
    <col min="17" max="17" width="9.1640625" style="1"/>
    <col min="18" max="18" width="30.5" style="1" customWidth="1"/>
    <col min="19" max="16384" width="11.1640625" style="1"/>
  </cols>
  <sheetData>
    <row r="1" spans="2:22" ht="8.5" customHeight="1" x14ac:dyDescent="0.2"/>
    <row r="2" spans="2:22" ht="19.75" hidden="1" customHeight="1" x14ac:dyDescent="0.2">
      <c r="D2" s="79"/>
      <c r="M2" s="79"/>
    </row>
    <row r="3" spans="2:22" ht="19.75" hidden="1" customHeight="1" x14ac:dyDescent="0.2">
      <c r="D3" s="79"/>
      <c r="M3" s="79"/>
    </row>
    <row r="4" spans="2:22" ht="19.75" hidden="1" customHeight="1" x14ac:dyDescent="0.2">
      <c r="D4" s="143"/>
      <c r="M4" s="143"/>
    </row>
    <row r="5" spans="2:22" ht="19.75" hidden="1" customHeight="1" x14ac:dyDescent="0.2">
      <c r="D5" s="144"/>
      <c r="M5" s="144"/>
    </row>
    <row r="6" spans="2:22" ht="19.75" customHeight="1" x14ac:dyDescent="0.2">
      <c r="B6" s="4" t="s">
        <v>112</v>
      </c>
      <c r="C6" s="2"/>
      <c r="D6" s="145"/>
      <c r="E6" s="2"/>
      <c r="F6" s="2"/>
      <c r="G6" s="2"/>
      <c r="H6" s="2"/>
      <c r="I6" s="2"/>
      <c r="J6" s="2"/>
      <c r="K6" s="2"/>
      <c r="L6" s="2"/>
      <c r="M6" s="145"/>
      <c r="N6" s="2"/>
      <c r="O6" s="2"/>
      <c r="P6" s="2"/>
      <c r="Q6" s="2"/>
      <c r="R6" s="69"/>
      <c r="S6" s="69"/>
      <c r="T6" s="69"/>
    </row>
    <row r="7" spans="2:22" ht="19.75" customHeight="1" x14ac:dyDescent="0.2">
      <c r="D7" s="146"/>
      <c r="E7" s="147">
        <v>71</v>
      </c>
      <c r="M7" s="146"/>
      <c r="N7" s="147"/>
    </row>
    <row r="8" spans="2:22" x14ac:dyDescent="0.2">
      <c r="B8" s="4" t="s">
        <v>113</v>
      </c>
      <c r="C8" s="2"/>
      <c r="D8" s="145"/>
      <c r="E8" s="2"/>
      <c r="F8" s="2"/>
      <c r="G8" s="2"/>
      <c r="H8" s="2"/>
      <c r="I8" s="2"/>
      <c r="J8" s="2"/>
      <c r="K8" s="2"/>
      <c r="L8" s="2"/>
      <c r="M8" s="145"/>
      <c r="N8" s="2"/>
      <c r="O8" s="2"/>
      <c r="P8" s="2"/>
      <c r="Q8" s="2"/>
      <c r="R8" s="69"/>
      <c r="S8" s="69"/>
      <c r="T8" s="69"/>
    </row>
    <row r="9" spans="2:22" x14ac:dyDescent="0.2">
      <c r="D9" s="146"/>
      <c r="E9" s="147">
        <v>121</v>
      </c>
      <c r="M9" s="170"/>
      <c r="N9" s="169"/>
      <c r="O9" s="169"/>
      <c r="P9" s="169"/>
      <c r="Q9" s="169"/>
      <c r="R9" s="169"/>
      <c r="S9" s="169"/>
      <c r="T9" s="169"/>
      <c r="U9" s="169"/>
      <c r="V9" s="169"/>
    </row>
    <row r="10" spans="2:22" x14ac:dyDescent="0.2">
      <c r="B10" s="1" t="s">
        <v>114</v>
      </c>
      <c r="C10" s="183">
        <v>6.0000000000000761E-2</v>
      </c>
      <c r="D10" s="146"/>
      <c r="E10" s="169" t="s">
        <v>210</v>
      </c>
      <c r="F10" s="183">
        <v>2.0000000000000753E-2</v>
      </c>
      <c r="H10" s="1" t="s">
        <v>116</v>
      </c>
      <c r="I10" s="183">
        <v>1.0000000000000753E-2</v>
      </c>
      <c r="K10" s="1" t="s">
        <v>117</v>
      </c>
      <c r="L10" s="183">
        <v>-2.9999999999999249E-2</v>
      </c>
      <c r="M10" s="170"/>
      <c r="N10" s="169"/>
      <c r="O10" s="169"/>
      <c r="P10" s="169"/>
      <c r="Q10" s="169"/>
      <c r="R10" s="169"/>
      <c r="S10" s="169"/>
      <c r="T10" s="169"/>
      <c r="U10" s="169"/>
      <c r="V10" s="169"/>
    </row>
    <row r="11" spans="2:22" x14ac:dyDescent="0.2">
      <c r="B11" s="1" t="s">
        <v>118</v>
      </c>
      <c r="C11" s="183">
        <v>0.48000000000000104</v>
      </c>
      <c r="D11" s="10">
        <v>1</v>
      </c>
      <c r="E11" s="169" t="s">
        <v>119</v>
      </c>
      <c r="F11" s="183">
        <v>2.0000000000000753E-2</v>
      </c>
      <c r="H11" s="169" t="s">
        <v>120</v>
      </c>
      <c r="I11" s="183">
        <v>1.0000000000000753E-2</v>
      </c>
      <c r="J11" s="10">
        <v>1</v>
      </c>
      <c r="K11" s="1" t="s">
        <v>121</v>
      </c>
      <c r="L11" s="183">
        <v>-2.9999999999999249E-2</v>
      </c>
      <c r="M11" s="10"/>
      <c r="N11" s="181" t="s">
        <v>122</v>
      </c>
      <c r="O11" s="182">
        <f>(O13*O14)*(1-I18) + (O18*O22) + (S13*S14)</f>
        <v>0.11429999999999989</v>
      </c>
      <c r="P11" s="169"/>
      <c r="Q11" s="169"/>
      <c r="R11" s="169"/>
      <c r="S11" s="169"/>
      <c r="T11" s="169"/>
      <c r="U11" s="169"/>
      <c r="V11" s="169"/>
    </row>
    <row r="12" spans="2:22" x14ac:dyDescent="0.2">
      <c r="B12" s="1" t="s">
        <v>123</v>
      </c>
      <c r="C12" s="183">
        <v>0.15000000000000074</v>
      </c>
      <c r="D12" s="10">
        <v>1</v>
      </c>
      <c r="E12" s="169" t="s">
        <v>124</v>
      </c>
      <c r="F12" s="183">
        <v>2.0000000000000753E-2</v>
      </c>
      <c r="H12" s="169" t="s">
        <v>125</v>
      </c>
      <c r="I12" s="183">
        <v>1.0000000000000753E-2</v>
      </c>
      <c r="J12" s="10"/>
      <c r="K12" s="1" t="s">
        <v>126</v>
      </c>
      <c r="L12" s="183">
        <v>-5.9999999999999255E-2</v>
      </c>
      <c r="M12" s="10"/>
      <c r="N12" s="177" t="s">
        <v>127</v>
      </c>
      <c r="Q12" s="177" t="s">
        <v>128</v>
      </c>
      <c r="R12" s="169"/>
      <c r="S12" s="169"/>
      <c r="T12" s="169"/>
      <c r="U12" s="169"/>
      <c r="V12" s="169"/>
    </row>
    <row r="13" spans="2:22" x14ac:dyDescent="0.2">
      <c r="B13" s="1" t="s">
        <v>129</v>
      </c>
      <c r="C13" s="183">
        <v>0.17000000000000076</v>
      </c>
      <c r="D13" s="10"/>
      <c r="E13" s="169" t="s">
        <v>130</v>
      </c>
      <c r="F13" s="183">
        <v>2.0000000000000753E-2</v>
      </c>
      <c r="H13" s="169" t="s">
        <v>131</v>
      </c>
      <c r="I13" s="183">
        <v>1.0000000000000753E-2</v>
      </c>
      <c r="J13" s="10"/>
      <c r="K13" s="1" t="s">
        <v>132</v>
      </c>
      <c r="L13" s="183">
        <v>-8.9999999999999247E-2</v>
      </c>
      <c r="M13" s="10"/>
      <c r="N13" s="174" t="s">
        <v>133</v>
      </c>
      <c r="O13" s="184">
        <v>2.2499999999999999E-2</v>
      </c>
      <c r="P13" s="143"/>
      <c r="Q13" s="174" t="s">
        <v>134</v>
      </c>
      <c r="R13" s="174"/>
      <c r="S13" s="187">
        <v>0</v>
      </c>
      <c r="T13" s="174"/>
      <c r="U13" s="169"/>
      <c r="V13" s="169"/>
    </row>
    <row r="14" spans="2:22" x14ac:dyDescent="0.2">
      <c r="B14" s="1" t="s">
        <v>135</v>
      </c>
      <c r="C14" s="183">
        <v>7.0000000000000756E-2</v>
      </c>
      <c r="D14" s="10">
        <v>1</v>
      </c>
      <c r="E14" s="169" t="s">
        <v>136</v>
      </c>
      <c r="F14" s="183">
        <v>2.0000000000000753E-2</v>
      </c>
      <c r="H14" s="169" t="s">
        <v>137</v>
      </c>
      <c r="I14" s="183">
        <v>1.0000000000000753E-2</v>
      </c>
      <c r="J14" s="10"/>
      <c r="K14" s="1" t="s">
        <v>138</v>
      </c>
      <c r="L14" s="183">
        <v>-0.11999999999999923</v>
      </c>
      <c r="M14" s="10"/>
      <c r="N14" s="174" t="s">
        <v>139</v>
      </c>
      <c r="O14" s="184">
        <v>0.40000000000000097</v>
      </c>
      <c r="P14" s="143"/>
      <c r="Q14" s="174" t="s">
        <v>140</v>
      </c>
      <c r="R14" s="174"/>
      <c r="S14" s="187">
        <v>7.5286998857393428E-16</v>
      </c>
      <c r="T14" s="174"/>
      <c r="U14" s="169"/>
      <c r="V14" s="169"/>
    </row>
    <row r="15" spans="2:22" x14ac:dyDescent="0.2">
      <c r="B15" s="1" t="s">
        <v>141</v>
      </c>
      <c r="C15" s="183">
        <v>0.82000000000000128</v>
      </c>
      <c r="D15" s="10"/>
      <c r="E15" s="169" t="s">
        <v>142</v>
      </c>
      <c r="F15" s="183">
        <v>2.0000000000000753E-2</v>
      </c>
      <c r="H15" s="169" t="s">
        <v>143</v>
      </c>
      <c r="I15" s="183">
        <v>1.0000000000000753E-2</v>
      </c>
      <c r="J15" s="10"/>
      <c r="K15" s="1" t="s">
        <v>144</v>
      </c>
      <c r="L15" s="183">
        <v>-0.14999999999999925</v>
      </c>
      <c r="M15" s="10"/>
      <c r="N15" s="174"/>
      <c r="O15" s="174"/>
      <c r="P15" s="174"/>
      <c r="Q15" s="174"/>
      <c r="R15" s="174"/>
      <c r="S15" s="174"/>
      <c r="T15" s="174"/>
      <c r="U15" s="169"/>
      <c r="V15" s="169"/>
    </row>
    <row r="16" spans="2:22" x14ac:dyDescent="0.2">
      <c r="C16" s="169"/>
      <c r="E16" s="169"/>
      <c r="F16" s="169"/>
      <c r="G16" s="169"/>
      <c r="H16" s="169"/>
      <c r="M16" s="169"/>
      <c r="N16" s="177" t="s">
        <v>145</v>
      </c>
      <c r="O16" s="175"/>
      <c r="P16" s="175"/>
      <c r="Q16" s="175"/>
      <c r="R16" s="175"/>
      <c r="S16" s="175"/>
      <c r="T16" s="174"/>
      <c r="U16" s="169"/>
      <c r="V16" s="169"/>
    </row>
    <row r="17" spans="2:22" x14ac:dyDescent="0.2">
      <c r="B17" s="1" t="s">
        <v>146</v>
      </c>
      <c r="C17" s="183">
        <v>1.0000000000000753E-2</v>
      </c>
      <c r="E17" s="169" t="s">
        <v>147</v>
      </c>
      <c r="F17" s="183">
        <v>3.0000000000000755E-2</v>
      </c>
      <c r="H17" s="169"/>
      <c r="K17" s="1" t="s">
        <v>148</v>
      </c>
      <c r="L17" s="183">
        <v>1.0000000000000753E-2</v>
      </c>
      <c r="M17" s="169"/>
      <c r="N17" s="177"/>
      <c r="O17" s="175"/>
      <c r="P17" s="175"/>
      <c r="Q17" s="175"/>
      <c r="R17" s="175"/>
      <c r="S17" s="175"/>
      <c r="T17" s="174"/>
      <c r="U17" s="169"/>
      <c r="V17" s="169"/>
    </row>
    <row r="18" spans="2:22" x14ac:dyDescent="0.2">
      <c r="B18" s="1" t="s">
        <v>149</v>
      </c>
      <c r="C18" s="183">
        <v>1.0000000000000753E-2</v>
      </c>
      <c r="D18" s="10"/>
      <c r="E18" s="169" t="s">
        <v>150</v>
      </c>
      <c r="F18" s="183">
        <v>8.0000000000000751E-2</v>
      </c>
      <c r="H18" s="169" t="s">
        <v>151</v>
      </c>
      <c r="I18" s="184">
        <v>0.3</v>
      </c>
      <c r="K18" s="1" t="s">
        <v>152</v>
      </c>
      <c r="L18" s="183">
        <v>1.0000000000000753E-2</v>
      </c>
      <c r="M18" s="10"/>
      <c r="N18" s="169" t="s">
        <v>153</v>
      </c>
      <c r="O18" s="186">
        <f>(O19)+O21*(O20-O19)</f>
        <v>0.1800000000000001</v>
      </c>
      <c r="P18" s="174"/>
      <c r="Q18" s="174"/>
      <c r="R18" s="174"/>
      <c r="S18" s="174"/>
      <c r="T18" s="174"/>
      <c r="U18" s="169"/>
      <c r="V18" s="169"/>
    </row>
    <row r="19" spans="2:22" x14ac:dyDescent="0.2">
      <c r="B19" s="1" t="s">
        <v>154</v>
      </c>
      <c r="C19" s="183">
        <v>1.0000000000000753E-2</v>
      </c>
      <c r="D19" s="10"/>
      <c r="E19" s="169" t="s">
        <v>155</v>
      </c>
      <c r="F19" s="183">
        <v>6.0000000000000761E-2</v>
      </c>
      <c r="H19" s="169"/>
      <c r="K19" s="1" t="s">
        <v>156</v>
      </c>
      <c r="L19" s="183">
        <v>1.0000000000000753E-2</v>
      </c>
      <c r="M19" s="10"/>
      <c r="N19" s="169" t="s">
        <v>157</v>
      </c>
      <c r="O19" s="187">
        <v>0.04</v>
      </c>
      <c r="P19" s="176"/>
      <c r="Q19" s="176"/>
      <c r="R19" s="176"/>
      <c r="S19" s="176"/>
      <c r="T19" s="174"/>
      <c r="U19" s="169"/>
      <c r="V19" s="169"/>
    </row>
    <row r="20" spans="2:22" x14ac:dyDescent="0.2">
      <c r="B20" s="1" t="s">
        <v>158</v>
      </c>
      <c r="C20" s="183">
        <v>1.0000000000000753E-2</v>
      </c>
      <c r="D20" s="10"/>
      <c r="E20" s="169" t="s">
        <v>159</v>
      </c>
      <c r="F20" s="183">
        <v>4.0000000000000757E-2</v>
      </c>
      <c r="H20" s="169" t="s">
        <v>160</v>
      </c>
      <c r="I20" s="185">
        <v>8</v>
      </c>
      <c r="K20" s="1" t="s">
        <v>161</v>
      </c>
      <c r="L20" s="183">
        <v>1.0000000000000753E-2</v>
      </c>
      <c r="M20" s="10"/>
      <c r="N20" s="169" t="s">
        <v>162</v>
      </c>
      <c r="O20" s="187">
        <v>0.11000000000000006</v>
      </c>
      <c r="P20" s="176"/>
      <c r="Q20" s="176"/>
      <c r="R20" s="176"/>
      <c r="S20" s="176"/>
      <c r="T20" s="174"/>
      <c r="U20" s="169"/>
      <c r="V20" s="169"/>
    </row>
    <row r="21" spans="2:22" x14ac:dyDescent="0.2">
      <c r="B21" s="1" t="s">
        <v>163</v>
      </c>
      <c r="C21" s="183">
        <v>1.0000000000000753E-2</v>
      </c>
      <c r="D21" s="10"/>
      <c r="E21" s="169" t="s">
        <v>164</v>
      </c>
      <c r="F21" s="183">
        <v>5.0000000000000759E-2</v>
      </c>
      <c r="H21" s="169"/>
      <c r="K21" s="1" t="s">
        <v>165</v>
      </c>
      <c r="L21" s="183">
        <v>1.0000000000000753E-2</v>
      </c>
      <c r="M21" s="10"/>
      <c r="N21" s="169" t="s">
        <v>166</v>
      </c>
      <c r="O21" s="188">
        <v>1.9999999999999998</v>
      </c>
      <c r="P21" s="179"/>
      <c r="Q21" s="173"/>
      <c r="R21" s="173"/>
      <c r="S21" s="173"/>
      <c r="T21" s="174"/>
      <c r="U21" s="169"/>
      <c r="V21" s="169"/>
    </row>
    <row r="22" spans="2:22" x14ac:dyDescent="0.2">
      <c r="B22" s="1" t="s">
        <v>167</v>
      </c>
      <c r="C22" s="183">
        <v>1.0000000000000753E-2</v>
      </c>
      <c r="D22" s="10"/>
      <c r="E22" s="169" t="s">
        <v>168</v>
      </c>
      <c r="F22" s="183">
        <v>7.0000000000000756E-2</v>
      </c>
      <c r="H22" s="169"/>
      <c r="K22" s="1" t="s">
        <v>169</v>
      </c>
      <c r="L22" s="183">
        <v>1.0000000000000753E-2</v>
      </c>
      <c r="M22" s="10"/>
      <c r="N22" s="174" t="s">
        <v>170</v>
      </c>
      <c r="O22" s="187">
        <f>1-O14</f>
        <v>0.59999999999999898</v>
      </c>
      <c r="P22" s="180"/>
      <c r="Q22" s="176"/>
      <c r="R22" s="176"/>
      <c r="S22" s="176"/>
      <c r="T22" s="174"/>
      <c r="U22" s="169"/>
      <c r="V22" s="169"/>
    </row>
    <row r="23" spans="2:22" x14ac:dyDescent="0.2">
      <c r="O23" s="151"/>
      <c r="P23" s="151"/>
      <c r="Q23" s="151"/>
      <c r="R23" s="151"/>
      <c r="S23" s="151"/>
      <c r="T23" s="148"/>
    </row>
    <row r="24" spans="2:22" x14ac:dyDescent="0.2">
      <c r="B24" s="136" t="s">
        <v>171</v>
      </c>
      <c r="O24" s="149"/>
      <c r="P24" s="149"/>
      <c r="Q24" s="149"/>
      <c r="R24" s="149"/>
      <c r="S24" s="149"/>
      <c r="T24" s="148"/>
    </row>
    <row r="25" spans="2:22" x14ac:dyDescent="0.2">
      <c r="O25" s="151"/>
      <c r="P25" s="151"/>
      <c r="Q25" s="151"/>
      <c r="R25" s="151"/>
      <c r="S25" s="151"/>
      <c r="T25" s="148"/>
    </row>
    <row r="26" spans="2:22" x14ac:dyDescent="0.2">
      <c r="O26" s="153"/>
      <c r="P26" s="153"/>
      <c r="Q26" s="153"/>
      <c r="R26" s="153"/>
      <c r="S26" s="153"/>
      <c r="T26" s="148"/>
    </row>
    <row r="27" spans="2:22" x14ac:dyDescent="0.2">
      <c r="B27" s="4" t="s">
        <v>211</v>
      </c>
      <c r="C27" s="4" t="s">
        <v>172</v>
      </c>
      <c r="D27" s="133" t="s">
        <v>173</v>
      </c>
      <c r="E27" s="133" t="s">
        <v>174</v>
      </c>
      <c r="F27" s="133" t="s">
        <v>175</v>
      </c>
      <c r="G27" s="133" t="s">
        <v>176</v>
      </c>
      <c r="H27" s="133" t="s">
        <v>177</v>
      </c>
      <c r="I27" s="133" t="s">
        <v>178</v>
      </c>
      <c r="O27" s="151"/>
      <c r="P27" s="151"/>
      <c r="Q27" s="151"/>
      <c r="R27" s="151"/>
      <c r="S27" s="151"/>
      <c r="T27" s="148"/>
    </row>
    <row r="28" spans="2:22" x14ac:dyDescent="0.2">
      <c r="B28" s="150" t="s">
        <v>179</v>
      </c>
      <c r="C28" s="210">
        <v>76382</v>
      </c>
      <c r="D28" s="189">
        <f t="shared" ref="D28:I28" si="0">C28*(1+D29)</f>
        <v>80964.920000000056</v>
      </c>
      <c r="E28" s="189">
        <f t="shared" si="0"/>
        <v>119828.08160000017</v>
      </c>
      <c r="F28" s="189">
        <f t="shared" si="0"/>
        <v>137802.29384000029</v>
      </c>
      <c r="G28" s="189">
        <f t="shared" si="0"/>
        <v>161228.68379280044</v>
      </c>
      <c r="H28" s="189">
        <f t="shared" si="0"/>
        <v>172514.69165829659</v>
      </c>
      <c r="I28" s="189">
        <f t="shared" si="0"/>
        <v>313976.73881810001</v>
      </c>
      <c r="O28" s="151"/>
      <c r="P28" s="151"/>
      <c r="Q28" s="151"/>
      <c r="R28" s="151"/>
      <c r="S28" s="151"/>
      <c r="T28" s="148"/>
    </row>
    <row r="29" spans="2:22" x14ac:dyDescent="0.2">
      <c r="B29" s="166" t="s">
        <v>180</v>
      </c>
      <c r="D29" s="206">
        <f t="array" ref="D29:I29">TRANSPOSE(C10:C15)</f>
        <v>6.0000000000000761E-2</v>
      </c>
      <c r="E29" s="206">
        <v>0.48000000000000104</v>
      </c>
      <c r="F29" s="206">
        <v>0.15000000000000074</v>
      </c>
      <c r="G29" s="206">
        <v>0.17000000000000076</v>
      </c>
      <c r="H29" s="206">
        <v>7.0000000000000756E-2</v>
      </c>
      <c r="I29" s="206">
        <v>0.82000000000000128</v>
      </c>
      <c r="O29" s="151"/>
      <c r="P29" s="151"/>
      <c r="Q29" s="151"/>
      <c r="R29" s="151"/>
      <c r="S29" s="151"/>
      <c r="T29" s="148"/>
    </row>
    <row r="30" spans="2:22" x14ac:dyDescent="0.2">
      <c r="B30" s="150" t="s">
        <v>181</v>
      </c>
      <c r="C30" s="210">
        <v>58964</v>
      </c>
      <c r="D30" s="207">
        <f>D31*D28</f>
        <v>63126.858400000085</v>
      </c>
      <c r="E30" s="207">
        <f t="shared" ref="E30:I30" si="1">E31*E28</f>
        <v>94362.027936320257</v>
      </c>
      <c r="F30" s="207">
        <f t="shared" si="1"/>
        <v>109601.49544803613</v>
      </c>
      <c r="G30" s="207">
        <f t="shared" si="1"/>
        <v>129516.08717094448</v>
      </c>
      <c r="H30" s="207">
        <f t="shared" si="1"/>
        <v>139968.03540563988</v>
      </c>
      <c r="I30" s="207">
        <f t="shared" si="1"/>
        <v>257289.24268264757</v>
      </c>
      <c r="O30" s="148"/>
      <c r="P30" s="148"/>
      <c r="Q30" s="148"/>
      <c r="R30" s="148"/>
      <c r="S30" s="148"/>
      <c r="T30" s="148"/>
    </row>
    <row r="31" spans="2:22" x14ac:dyDescent="0.2">
      <c r="B31" s="192" t="s">
        <v>182</v>
      </c>
      <c r="C31" s="208">
        <f>C30/C28</f>
        <v>0.7719619805713388</v>
      </c>
      <c r="D31" s="208">
        <f>C31*(1+D32)</f>
        <v>0.7796816003770527</v>
      </c>
      <c r="E31" s="208">
        <f t="shared" ref="E31:I31" si="2">D31*(1+E32)</f>
        <v>0.78747841638082372</v>
      </c>
      <c r="F31" s="208">
        <f t="shared" si="2"/>
        <v>0.79535320054463254</v>
      </c>
      <c r="G31" s="208">
        <f t="shared" si="2"/>
        <v>0.80330673255007945</v>
      </c>
      <c r="H31" s="208">
        <f t="shared" si="2"/>
        <v>0.8113397998755808</v>
      </c>
      <c r="I31" s="208">
        <f t="shared" si="2"/>
        <v>0.81945319787433712</v>
      </c>
      <c r="O31" s="148"/>
      <c r="P31" s="148"/>
      <c r="Q31" s="148"/>
      <c r="R31" s="148"/>
      <c r="S31" s="148"/>
      <c r="T31" s="148"/>
    </row>
    <row r="32" spans="2:22" x14ac:dyDescent="0.2">
      <c r="B32" s="193" t="s">
        <v>183</v>
      </c>
      <c r="C32" s="163"/>
      <c r="D32" s="219">
        <f t="array" ref="D32:I32">TRANSPOSE(C17:C22)</f>
        <v>1.0000000000000753E-2</v>
      </c>
      <c r="E32" s="219">
        <v>1.0000000000000753E-2</v>
      </c>
      <c r="F32" s="219">
        <v>1.0000000000000753E-2</v>
      </c>
      <c r="G32" s="219">
        <v>1.0000000000000753E-2</v>
      </c>
      <c r="H32" s="219">
        <v>1.0000000000000753E-2</v>
      </c>
      <c r="I32" s="219">
        <v>1.0000000000000753E-2</v>
      </c>
      <c r="O32" s="151"/>
      <c r="P32" s="151"/>
      <c r="Q32" s="151"/>
      <c r="R32" s="151"/>
      <c r="S32" s="151"/>
      <c r="T32" s="148"/>
    </row>
    <row r="33" spans="2:20" x14ac:dyDescent="0.2">
      <c r="B33" s="201" t="s">
        <v>184</v>
      </c>
      <c r="C33" s="211">
        <f>C28-C30</f>
        <v>17418</v>
      </c>
      <c r="D33" s="211">
        <f t="shared" ref="D33:I33" si="3">D28-D30</f>
        <v>17838.061599999972</v>
      </c>
      <c r="E33" s="211">
        <f t="shared" si="3"/>
        <v>25466.053663679908</v>
      </c>
      <c r="F33" s="211">
        <f t="shared" si="3"/>
        <v>28200.798391964156</v>
      </c>
      <c r="G33" s="211">
        <f t="shared" si="3"/>
        <v>31712.596621855962</v>
      </c>
      <c r="H33" s="211">
        <f t="shared" si="3"/>
        <v>32546.656252656714</v>
      </c>
      <c r="I33" s="211">
        <f t="shared" si="3"/>
        <v>56687.496135452442</v>
      </c>
      <c r="J33" s="143"/>
      <c r="O33" s="155"/>
      <c r="P33" s="155"/>
      <c r="Q33" s="155"/>
      <c r="R33" s="155"/>
      <c r="S33" s="155"/>
      <c r="T33" s="148"/>
    </row>
    <row r="34" spans="2:20" x14ac:dyDescent="0.2">
      <c r="B34" s="166" t="s">
        <v>185</v>
      </c>
      <c r="C34" s="200">
        <f>C33/C28</f>
        <v>0.2280380194286612</v>
      </c>
      <c r="D34" s="200">
        <f t="shared" ref="D34:I34" si="4">D33/D28</f>
        <v>0.2203183996229473</v>
      </c>
      <c r="E34" s="200">
        <f t="shared" si="4"/>
        <v>0.21252158361917622</v>
      </c>
      <c r="F34" s="200">
        <f t="shared" si="4"/>
        <v>0.20464679945536746</v>
      </c>
      <c r="G34" s="200">
        <f t="shared" si="4"/>
        <v>0.19669326744992052</v>
      </c>
      <c r="H34" s="200">
        <f t="shared" si="4"/>
        <v>0.18866020012441925</v>
      </c>
      <c r="I34" s="200">
        <f t="shared" si="4"/>
        <v>0.1805468021256629</v>
      </c>
      <c r="O34" s="157"/>
      <c r="P34" s="157"/>
      <c r="Q34" s="157"/>
      <c r="R34" s="157"/>
      <c r="S34" s="157"/>
      <c r="T34" s="148"/>
    </row>
    <row r="35" spans="2:20" x14ac:dyDescent="0.2">
      <c r="B35" s="166"/>
      <c r="D35" s="220"/>
      <c r="E35" s="190"/>
      <c r="F35" s="190"/>
      <c r="G35" s="190"/>
      <c r="H35" s="190"/>
      <c r="I35" s="190"/>
      <c r="O35" s="157"/>
      <c r="P35" s="157"/>
      <c r="Q35" s="157"/>
      <c r="R35" s="157"/>
      <c r="S35" s="157"/>
      <c r="T35" s="148"/>
    </row>
    <row r="36" spans="2:20" x14ac:dyDescent="0.2">
      <c r="B36" s="150" t="s">
        <v>186</v>
      </c>
      <c r="C36" s="196">
        <v>6061</v>
      </c>
      <c r="D36" s="189">
        <f>D37*D28</f>
        <v>6553.1532000000088</v>
      </c>
      <c r="E36" s="189">
        <f t="shared" ref="E36:I36" si="5">E37*E28</f>
        <v>9892.6400707200264</v>
      </c>
      <c r="F36" s="189">
        <f t="shared" si="5"/>
        <v>11604.066802954605</v>
      </c>
      <c r="G36" s="189">
        <f t="shared" si="5"/>
        <v>13848.293322646045</v>
      </c>
      <c r="H36" s="189">
        <f t="shared" si="5"/>
        <v>15114.027332335914</v>
      </c>
      <c r="I36" s="189">
        <f t="shared" si="5"/>
        <v>28057.680339748429</v>
      </c>
      <c r="O36" s="157"/>
      <c r="P36" s="157"/>
      <c r="Q36" s="157"/>
      <c r="R36" s="157"/>
      <c r="S36" s="157"/>
      <c r="T36" s="148"/>
    </row>
    <row r="37" spans="2:20" x14ac:dyDescent="0.2">
      <c r="B37" s="192" t="s">
        <v>187</v>
      </c>
      <c r="C37" s="200">
        <f>C36/C28</f>
        <v>7.9351156031525746E-2</v>
      </c>
      <c r="D37" s="206">
        <f>C37*(1+D38)</f>
        <v>8.0938179152156314E-2</v>
      </c>
      <c r="E37" s="206">
        <f t="shared" ref="E37:I37" si="6">D37*(1+E38)</f>
        <v>8.2556942735199493E-2</v>
      </c>
      <c r="F37" s="206">
        <f t="shared" si="6"/>
        <v>8.4208081589903533E-2</v>
      </c>
      <c r="G37" s="206">
        <f t="shared" si="6"/>
        <v>8.5892243221701664E-2</v>
      </c>
      <c r="H37" s="206">
        <f t="shared" si="6"/>
        <v>8.7610088086135754E-2</v>
      </c>
      <c r="I37" s="206">
        <f t="shared" si="6"/>
        <v>8.9362289847858531E-2</v>
      </c>
      <c r="O37" s="158"/>
      <c r="P37" s="158"/>
      <c r="Q37" s="158"/>
      <c r="R37" s="158"/>
      <c r="S37" s="158"/>
      <c r="T37" s="148"/>
    </row>
    <row r="38" spans="2:20" x14ac:dyDescent="0.2">
      <c r="B38" s="192" t="s">
        <v>183</v>
      </c>
      <c r="D38" s="221">
        <f t="array" ref="D38:I38">TRANSPOSE(F10:F15)</f>
        <v>2.0000000000000753E-2</v>
      </c>
      <c r="E38" s="221">
        <v>2.0000000000000753E-2</v>
      </c>
      <c r="F38" s="221">
        <v>2.0000000000000753E-2</v>
      </c>
      <c r="G38" s="221">
        <v>2.0000000000000753E-2</v>
      </c>
      <c r="H38" s="221">
        <v>2.0000000000000753E-2</v>
      </c>
      <c r="I38" s="221">
        <v>2.0000000000000753E-2</v>
      </c>
      <c r="O38" s="148"/>
      <c r="P38" s="148"/>
      <c r="Q38" s="148"/>
      <c r="R38" s="148"/>
      <c r="S38" s="148"/>
      <c r="T38" s="148"/>
    </row>
    <row r="39" spans="2:20" x14ac:dyDescent="0.2">
      <c r="B39" s="150"/>
      <c r="D39" s="222"/>
      <c r="E39" s="190"/>
      <c r="F39" s="190"/>
      <c r="G39" s="190"/>
      <c r="H39" s="190"/>
      <c r="I39" s="190"/>
      <c r="O39" s="148"/>
      <c r="P39" s="148"/>
      <c r="Q39" s="148"/>
      <c r="R39" s="148"/>
      <c r="S39" s="148"/>
      <c r="T39" s="148"/>
    </row>
    <row r="40" spans="2:20" x14ac:dyDescent="0.2">
      <c r="B40" s="150" t="s">
        <v>212</v>
      </c>
      <c r="C40" s="196">
        <v>2472</v>
      </c>
      <c r="D40" s="189">
        <f>D41*-D28</f>
        <v>2698.9296000000036</v>
      </c>
      <c r="E40" s="189">
        <f t="shared" ref="E40:I40" si="7">E41*-E28</f>
        <v>4313.9690726400122</v>
      </c>
      <c r="F40" s="189">
        <f t="shared" si="7"/>
        <v>5258.7282995481828</v>
      </c>
      <c r="G40" s="189">
        <f t="shared" si="7"/>
        <v>6398.8205948902369</v>
      </c>
      <c r="H40" s="189">
        <f t="shared" si="7"/>
        <v>7189.074938359191</v>
      </c>
      <c r="I40" s="189">
        <f t="shared" si="7"/>
        <v>14000.004534960708</v>
      </c>
      <c r="O40" s="148"/>
      <c r="P40" s="148"/>
      <c r="Q40" s="148"/>
      <c r="R40" s="148"/>
      <c r="S40" s="148"/>
      <c r="T40" s="148"/>
    </row>
    <row r="41" spans="2:20" x14ac:dyDescent="0.2">
      <c r="B41" s="192" t="s">
        <v>182</v>
      </c>
      <c r="C41" s="143">
        <f>-C40/C28</f>
        <v>-3.2363645885156188E-2</v>
      </c>
      <c r="D41" s="143">
        <f>C41*(1+D42)</f>
        <v>-3.3334555261710898E-2</v>
      </c>
      <c r="E41" s="143">
        <f t="shared" ref="E41:I41" si="8">D41*(1+E42)</f>
        <v>-3.6001319682647796E-2</v>
      </c>
      <c r="F41" s="143">
        <f t="shared" si="8"/>
        <v>-3.8161398863606692E-2</v>
      </c>
      <c r="G41" s="143">
        <f t="shared" si="8"/>
        <v>-3.9687854818150986E-2</v>
      </c>
      <c r="H41" s="143">
        <f t="shared" si="8"/>
        <v>-4.1672247559058566E-2</v>
      </c>
      <c r="I41" s="143">
        <f t="shared" si="8"/>
        <v>-4.4589304888192696E-2</v>
      </c>
      <c r="O41" s="148"/>
      <c r="P41" s="148"/>
      <c r="Q41" s="148"/>
      <c r="R41" s="148"/>
      <c r="S41" s="148"/>
      <c r="T41" s="148"/>
    </row>
    <row r="42" spans="2:20" x14ac:dyDescent="0.2">
      <c r="B42" s="192" t="s">
        <v>183</v>
      </c>
      <c r="C42" s="143"/>
      <c r="D42" s="209">
        <f t="array" ref="D42:I42">TRANSPOSE(F17:F22)</f>
        <v>3.0000000000000755E-2</v>
      </c>
      <c r="E42" s="209">
        <v>8.0000000000000751E-2</v>
      </c>
      <c r="F42" s="209">
        <v>6.0000000000000761E-2</v>
      </c>
      <c r="G42" s="209">
        <v>4.0000000000000757E-2</v>
      </c>
      <c r="H42" s="209">
        <v>5.0000000000000759E-2</v>
      </c>
      <c r="I42" s="209">
        <v>7.0000000000000756E-2</v>
      </c>
      <c r="O42" s="148"/>
      <c r="P42" s="148"/>
      <c r="Q42" s="148"/>
      <c r="R42" s="148"/>
      <c r="S42" s="148"/>
      <c r="T42" s="148"/>
    </row>
    <row r="43" spans="2:20" x14ac:dyDescent="0.2">
      <c r="B43" s="192"/>
      <c r="C43" s="143"/>
      <c r="D43" s="222"/>
      <c r="E43" s="190"/>
      <c r="F43" s="190"/>
      <c r="G43" s="190"/>
      <c r="H43" s="190"/>
      <c r="I43" s="190"/>
      <c r="O43" s="148"/>
      <c r="P43" s="148"/>
      <c r="Q43" s="148"/>
      <c r="R43" s="148"/>
      <c r="S43" s="148"/>
      <c r="T43" s="148"/>
    </row>
    <row r="44" spans="2:20" x14ac:dyDescent="0.2">
      <c r="B44" s="136" t="s">
        <v>74</v>
      </c>
      <c r="C44" s="189">
        <f t="shared" ref="C44:I44" si="9">C33-C36-C40</f>
        <v>8885</v>
      </c>
      <c r="D44" s="189">
        <f t="shared" si="9"/>
        <v>8585.9787999999608</v>
      </c>
      <c r="E44" s="189">
        <f t="shared" si="9"/>
        <v>11259.44452031987</v>
      </c>
      <c r="F44" s="189">
        <f t="shared" si="9"/>
        <v>11338.003289461365</v>
      </c>
      <c r="G44" s="189">
        <f t="shared" si="9"/>
        <v>11465.482704319682</v>
      </c>
      <c r="H44" s="189">
        <f t="shared" si="9"/>
        <v>10243.55398196161</v>
      </c>
      <c r="I44" s="189">
        <f t="shared" si="9"/>
        <v>14629.811260743305</v>
      </c>
      <c r="J44" s="189"/>
      <c r="O44" s="148"/>
      <c r="P44" s="148"/>
      <c r="Q44" s="148"/>
      <c r="R44" s="148"/>
      <c r="S44" s="148"/>
      <c r="T44" s="148"/>
    </row>
    <row r="45" spans="2:20" x14ac:dyDescent="0.2">
      <c r="B45" s="194" t="s">
        <v>189</v>
      </c>
      <c r="C45" s="206">
        <f t="shared" ref="C45:I45" si="10">C44/C28</f>
        <v>0.11632321751197926</v>
      </c>
      <c r="D45" s="206">
        <f t="shared" si="10"/>
        <v>0.10604566520908011</v>
      </c>
      <c r="E45" s="206">
        <f t="shared" si="10"/>
        <v>9.3963321201328942E-2</v>
      </c>
      <c r="F45" s="206">
        <f t="shared" si="10"/>
        <v>8.2277319001857196E-2</v>
      </c>
      <c r="G45" s="206">
        <f t="shared" si="10"/>
        <v>7.1113169410067872E-2</v>
      </c>
      <c r="H45" s="206">
        <f t="shared" si="10"/>
        <v>5.9377864479224926E-2</v>
      </c>
      <c r="I45" s="206">
        <f t="shared" si="10"/>
        <v>4.6595207389611662E-2</v>
      </c>
      <c r="O45" s="148"/>
      <c r="P45" s="148"/>
      <c r="Q45" s="148"/>
      <c r="R45" s="148"/>
      <c r="S45" s="148"/>
      <c r="T45" s="148"/>
    </row>
    <row r="46" spans="2:20" x14ac:dyDescent="0.2">
      <c r="B46" s="166"/>
      <c r="D46" s="223"/>
      <c r="E46" s="190"/>
      <c r="F46" s="190"/>
      <c r="G46" s="190"/>
      <c r="H46" s="190"/>
      <c r="I46" s="190"/>
      <c r="O46" s="148"/>
      <c r="P46" s="148"/>
      <c r="Q46" s="148"/>
      <c r="R46" s="148"/>
      <c r="S46" s="148"/>
      <c r="T46" s="148"/>
    </row>
    <row r="47" spans="2:20" x14ac:dyDescent="0.2">
      <c r="B47" s="150" t="s">
        <v>190</v>
      </c>
      <c r="C47" s="196">
        <v>1801</v>
      </c>
      <c r="D47" s="189">
        <f>D48*D28</f>
        <v>1928.1506000000027</v>
      </c>
      <c r="E47" s="189">
        <f t="shared" ref="E47:I47" si="11">E48*E28</f>
        <v>2882.1995168800076</v>
      </c>
      <c r="F47" s="189">
        <f t="shared" si="11"/>
        <v>3347.6747388561339</v>
      </c>
      <c r="G47" s="189">
        <f t="shared" si="11"/>
        <v>3955.9472389062985</v>
      </c>
      <c r="H47" s="189">
        <f t="shared" si="11"/>
        <v>4275.1921810860431</v>
      </c>
      <c r="I47" s="189">
        <f t="shared" si="11"/>
        <v>7858.6582672723744</v>
      </c>
      <c r="O47" s="148"/>
      <c r="P47" s="148"/>
      <c r="Q47" s="148"/>
      <c r="R47" s="148"/>
      <c r="S47" s="148"/>
      <c r="T47" s="148"/>
    </row>
    <row r="48" spans="2:20" x14ac:dyDescent="0.2">
      <c r="B48" s="192" t="s">
        <v>187</v>
      </c>
      <c r="C48" s="224">
        <f>C47/C28</f>
        <v>2.3578853656620671E-2</v>
      </c>
      <c r="D48" s="224">
        <f>C48*(1+D49)</f>
        <v>2.3814642193186894E-2</v>
      </c>
      <c r="E48" s="224">
        <f>D48*(1+E49)</f>
        <v>2.4052788615118777E-2</v>
      </c>
      <c r="F48" s="224">
        <f t="shared" ref="F48:I48" si="12">E48*(1+F49)</f>
        <v>2.4293316501269983E-2</v>
      </c>
      <c r="G48" s="224">
        <f t="shared" si="12"/>
        <v>2.4536249666282699E-2</v>
      </c>
      <c r="H48" s="224">
        <f t="shared" si="12"/>
        <v>2.4781612162945544E-2</v>
      </c>
      <c r="I48" s="224">
        <f t="shared" si="12"/>
        <v>2.5029428284575016E-2</v>
      </c>
      <c r="O48" s="148"/>
      <c r="P48" s="148"/>
      <c r="Q48" s="148"/>
      <c r="R48" s="148"/>
      <c r="S48" s="148"/>
      <c r="T48" s="148"/>
    </row>
    <row r="49" spans="2:20" x14ac:dyDescent="0.2">
      <c r="B49" s="193" t="s">
        <v>183</v>
      </c>
      <c r="C49" s="225"/>
      <c r="D49" s="219">
        <f t="array" ref="D49:I49">TRANSPOSE(I10:I15)</f>
        <v>1.0000000000000753E-2</v>
      </c>
      <c r="E49" s="219">
        <v>1.0000000000000753E-2</v>
      </c>
      <c r="F49" s="219">
        <v>1.0000000000000753E-2</v>
      </c>
      <c r="G49" s="219">
        <v>1.0000000000000753E-2</v>
      </c>
      <c r="H49" s="219">
        <v>1.0000000000000753E-2</v>
      </c>
      <c r="I49" s="219">
        <v>1.0000000000000753E-2</v>
      </c>
      <c r="O49" s="148"/>
      <c r="P49" s="148"/>
      <c r="Q49" s="148"/>
      <c r="R49" s="148"/>
      <c r="S49" s="148"/>
      <c r="T49" s="148"/>
    </row>
    <row r="50" spans="2:20" x14ac:dyDescent="0.2">
      <c r="B50" s="150" t="s">
        <v>191</v>
      </c>
      <c r="C50" s="226">
        <f t="shared" ref="C50:I50" si="13">C44-C47</f>
        <v>7084</v>
      </c>
      <c r="D50" s="226">
        <f t="shared" si="13"/>
        <v>6657.8281999999581</v>
      </c>
      <c r="E50" s="226">
        <f t="shared" si="13"/>
        <v>8377.2450034398626</v>
      </c>
      <c r="F50" s="226">
        <f t="shared" si="13"/>
        <v>7990.3285506052307</v>
      </c>
      <c r="G50" s="226">
        <f t="shared" si="13"/>
        <v>7509.5354654133835</v>
      </c>
      <c r="H50" s="226">
        <f t="shared" si="13"/>
        <v>5968.3618008755666</v>
      </c>
      <c r="I50" s="226">
        <f t="shared" si="13"/>
        <v>6771.1529934709306</v>
      </c>
      <c r="O50" s="148"/>
      <c r="P50" s="148"/>
      <c r="Q50" s="148"/>
      <c r="R50" s="148"/>
      <c r="S50" s="148"/>
      <c r="T50" s="148"/>
    </row>
    <row r="51" spans="2:20" x14ac:dyDescent="0.2">
      <c r="B51" s="192" t="s">
        <v>192</v>
      </c>
      <c r="C51" s="206">
        <f t="shared" ref="C51:I51" si="14">C50/C28</f>
        <v>9.2744363855358586E-2</v>
      </c>
      <c r="D51" s="206">
        <f t="shared" si="14"/>
        <v>8.2231023015893218E-2</v>
      </c>
      <c r="E51" s="206">
        <f t="shared" si="14"/>
        <v>6.9910532586210161E-2</v>
      </c>
      <c r="F51" s="206">
        <f t="shared" si="14"/>
        <v>5.798400250058721E-2</v>
      </c>
      <c r="G51" s="206">
        <f t="shared" si="14"/>
        <v>4.6576919743785174E-2</v>
      </c>
      <c r="H51" s="206">
        <f t="shared" si="14"/>
        <v>3.4596252316279379E-2</v>
      </c>
      <c r="I51" s="206">
        <f t="shared" si="14"/>
        <v>2.156577910503665E-2</v>
      </c>
      <c r="O51" s="148"/>
      <c r="P51" s="148"/>
      <c r="Q51" s="148"/>
      <c r="R51" s="148"/>
      <c r="S51" s="148"/>
      <c r="T51" s="148"/>
    </row>
    <row r="52" spans="2:20" x14ac:dyDescent="0.2">
      <c r="O52" s="148"/>
      <c r="P52" s="148"/>
      <c r="Q52" s="148"/>
      <c r="R52" s="148"/>
      <c r="S52" s="148"/>
      <c r="T52" s="148"/>
    </row>
    <row r="53" spans="2:20" x14ac:dyDescent="0.2">
      <c r="B53" s="136" t="s">
        <v>193</v>
      </c>
      <c r="C53" s="227">
        <f t="shared" ref="C53:I53" si="15">C50*$I$18</f>
        <v>2125.1999999999998</v>
      </c>
      <c r="D53" s="227">
        <f t="shared" si="15"/>
        <v>1997.3484599999874</v>
      </c>
      <c r="E53" s="227">
        <f t="shared" si="15"/>
        <v>2513.1735010319585</v>
      </c>
      <c r="F53" s="227">
        <f t="shared" si="15"/>
        <v>2397.098565181569</v>
      </c>
      <c r="G53" s="227">
        <f t="shared" si="15"/>
        <v>2252.8606396240148</v>
      </c>
      <c r="H53" s="227">
        <f t="shared" si="15"/>
        <v>1790.5085402626698</v>
      </c>
      <c r="I53" s="227">
        <f t="shared" si="15"/>
        <v>2031.345898041279</v>
      </c>
      <c r="O53" s="148"/>
      <c r="P53" s="148"/>
      <c r="Q53" s="148"/>
      <c r="R53" s="148"/>
      <c r="S53" s="148"/>
      <c r="T53" s="148"/>
    </row>
    <row r="54" spans="2:20" x14ac:dyDescent="0.2">
      <c r="B54" s="150" t="s">
        <v>194</v>
      </c>
      <c r="C54" s="189">
        <f t="shared" ref="C54:I54" si="16">C47</f>
        <v>1801</v>
      </c>
      <c r="D54" s="189">
        <f t="shared" si="16"/>
        <v>1928.1506000000027</v>
      </c>
      <c r="E54" s="189">
        <f t="shared" si="16"/>
        <v>2882.1995168800076</v>
      </c>
      <c r="F54" s="189">
        <f t="shared" si="16"/>
        <v>3347.6747388561339</v>
      </c>
      <c r="G54" s="189">
        <f t="shared" si="16"/>
        <v>3955.9472389062985</v>
      </c>
      <c r="H54" s="189">
        <f t="shared" si="16"/>
        <v>4275.1921810860431</v>
      </c>
      <c r="I54" s="189">
        <f t="shared" si="16"/>
        <v>7858.6582672723744</v>
      </c>
      <c r="O54" s="148"/>
      <c r="P54" s="148"/>
      <c r="Q54" s="148"/>
      <c r="R54" s="148"/>
      <c r="S54" s="148"/>
      <c r="T54" s="148"/>
    </row>
    <row r="55" spans="2:20" x14ac:dyDescent="0.2">
      <c r="B55" s="150" t="s">
        <v>195</v>
      </c>
      <c r="C55" s="196">
        <v>2395</v>
      </c>
      <c r="D55" s="189">
        <f>D56*D28</f>
        <v>2462.5390000000034</v>
      </c>
      <c r="E55" s="189">
        <f t="shared" ref="E55:I55" si="17">E56*E28</f>
        <v>3535.2209884000104</v>
      </c>
      <c r="F55" s="189">
        <f t="shared" si="17"/>
        <v>3821.5738884604166</v>
      </c>
      <c r="G55" s="189">
        <f t="shared" si="17"/>
        <v>4068.829719043812</v>
      </c>
      <c r="H55" s="189">
        <f t="shared" si="17"/>
        <v>3831.2100634516596</v>
      </c>
      <c r="I55" s="189">
        <f t="shared" si="17"/>
        <v>5926.881968159727</v>
      </c>
      <c r="O55" s="148"/>
      <c r="P55" s="148"/>
      <c r="Q55" s="148"/>
      <c r="R55" s="148"/>
      <c r="S55" s="148"/>
      <c r="T55" s="148"/>
    </row>
    <row r="56" spans="2:20" x14ac:dyDescent="0.2">
      <c r="B56" s="192" t="s">
        <v>187</v>
      </c>
      <c r="C56" s="206">
        <f>C55/C28</f>
        <v>3.1355554973684897E-2</v>
      </c>
      <c r="D56" s="206">
        <f>C56*(1+D57)</f>
        <v>3.0414888324474375E-2</v>
      </c>
      <c r="E56" s="206">
        <f>D56*(1+E57)</f>
        <v>2.9502441674740167E-2</v>
      </c>
      <c r="F56" s="206">
        <f t="shared" ref="F56:I56" si="18">E56*(1+F57)</f>
        <v>2.7732295174255777E-2</v>
      </c>
      <c r="G56" s="206">
        <f t="shared" si="18"/>
        <v>2.5236388608572781E-2</v>
      </c>
      <c r="H56" s="206">
        <f t="shared" si="18"/>
        <v>2.2208021975544067E-2</v>
      </c>
      <c r="I56" s="206">
        <f t="shared" si="18"/>
        <v>1.8876818679212475E-2</v>
      </c>
      <c r="O56" s="148"/>
      <c r="P56" s="148"/>
      <c r="Q56" s="148"/>
      <c r="R56" s="148"/>
      <c r="S56" s="148"/>
      <c r="T56" s="148"/>
    </row>
    <row r="57" spans="2:20" x14ac:dyDescent="0.2">
      <c r="B57" s="192" t="s">
        <v>183</v>
      </c>
      <c r="C57" s="206"/>
      <c r="D57" s="209">
        <f t="array" ref="D57:I57">TRANSPOSE(L10:L15)</f>
        <v>-2.9999999999999249E-2</v>
      </c>
      <c r="E57" s="209">
        <v>-2.9999999999999249E-2</v>
      </c>
      <c r="F57" s="209">
        <v>-5.9999999999999255E-2</v>
      </c>
      <c r="G57" s="209">
        <v>-8.9999999999999247E-2</v>
      </c>
      <c r="H57" s="209">
        <v>-0.11999999999999923</v>
      </c>
      <c r="I57" s="209">
        <v>-0.14999999999999925</v>
      </c>
      <c r="O57" s="148"/>
      <c r="P57" s="148"/>
      <c r="Q57" s="148"/>
      <c r="R57" s="148"/>
      <c r="S57" s="148"/>
      <c r="T57" s="148"/>
    </row>
    <row r="58" spans="2:20" x14ac:dyDescent="0.2">
      <c r="B58" s="150" t="s">
        <v>196</v>
      </c>
      <c r="D58" s="228"/>
      <c r="E58" s="190"/>
      <c r="F58" s="190"/>
      <c r="G58" s="190"/>
      <c r="H58" s="190"/>
      <c r="I58" s="190"/>
      <c r="O58" s="148"/>
      <c r="P58" s="148"/>
      <c r="Q58" s="148"/>
      <c r="R58" s="148"/>
      <c r="S58" s="148"/>
      <c r="T58" s="148"/>
    </row>
    <row r="59" spans="2:20" x14ac:dyDescent="0.2">
      <c r="B59" s="195" t="s">
        <v>197</v>
      </c>
      <c r="C59" s="196">
        <v>9156</v>
      </c>
      <c r="D59" s="196">
        <f t="shared" ref="D59:I59" si="19">D60*D28</f>
        <v>9802.4136000000126</v>
      </c>
      <c r="E59" s="189">
        <f t="shared" si="19"/>
        <v>14652.64784928004</v>
      </c>
      <c r="F59" s="189">
        <f t="shared" si="19"/>
        <v>17019.050476938788</v>
      </c>
      <c r="G59" s="189">
        <f t="shared" si="19"/>
        <v>20111.41194859859</v>
      </c>
      <c r="H59" s="189">
        <f t="shared" si="19"/>
        <v>21734.402892850529</v>
      </c>
      <c r="I59" s="189">
        <f t="shared" si="19"/>
        <v>39952.179397637898</v>
      </c>
      <c r="O59" s="148"/>
      <c r="P59" s="148"/>
      <c r="Q59" s="148"/>
      <c r="R59" s="148"/>
      <c r="S59" s="148"/>
      <c r="T59" s="148"/>
    </row>
    <row r="60" spans="2:20" x14ac:dyDescent="0.2">
      <c r="B60" s="192" t="s">
        <v>187</v>
      </c>
      <c r="C60" s="206">
        <f>ABS(C59/C28)</f>
        <v>0.11987117383676782</v>
      </c>
      <c r="D60" s="206">
        <f>C60*(1+D61)</f>
        <v>0.12106988557513558</v>
      </c>
      <c r="E60" s="206">
        <f>D60*(1+E61)</f>
        <v>0.12228058443088702</v>
      </c>
      <c r="F60" s="206">
        <f t="shared" ref="F60:I60" si="20">E60*(1+F61)</f>
        <v>0.12350339027519597</v>
      </c>
      <c r="G60" s="206">
        <f t="shared" si="20"/>
        <v>0.124738424177948</v>
      </c>
      <c r="H60" s="206">
        <f t="shared" si="20"/>
        <v>0.12598580841972756</v>
      </c>
      <c r="I60" s="206">
        <f t="shared" si="20"/>
        <v>0.12724566650392494</v>
      </c>
      <c r="O60" s="148"/>
      <c r="P60" s="148"/>
      <c r="Q60" s="148"/>
      <c r="R60" s="148"/>
      <c r="S60" s="148"/>
      <c r="T60" s="148"/>
    </row>
    <row r="61" spans="2:20" x14ac:dyDescent="0.2">
      <c r="B61" s="192" t="s">
        <v>183</v>
      </c>
      <c r="C61" s="206"/>
      <c r="D61" s="209">
        <f t="array" ref="D61:I61">TRANSPOSE(L17:L22)</f>
        <v>1.0000000000000753E-2</v>
      </c>
      <c r="E61" s="229">
        <v>1.0000000000000753E-2</v>
      </c>
      <c r="F61" s="229">
        <v>1.0000000000000753E-2</v>
      </c>
      <c r="G61" s="229">
        <v>1.0000000000000753E-2</v>
      </c>
      <c r="H61" s="229">
        <v>1.0000000000000753E-2</v>
      </c>
      <c r="I61" s="229">
        <v>1.0000000000000753E-2</v>
      </c>
      <c r="O61" s="148"/>
      <c r="P61" s="148"/>
      <c r="Q61" s="148"/>
      <c r="R61" s="148"/>
      <c r="S61" s="148"/>
      <c r="T61" s="148"/>
    </row>
    <row r="62" spans="2:20" x14ac:dyDescent="0.2">
      <c r="B62" s="154" t="s">
        <v>198</v>
      </c>
      <c r="C62" s="197"/>
      <c r="D62" s="191">
        <f>D59-C59</f>
        <v>646.41360000001259</v>
      </c>
      <c r="E62" s="191">
        <f t="shared" ref="E62:I62" si="21">E59-D59</f>
        <v>4850.2342492800271</v>
      </c>
      <c r="F62" s="191">
        <f>F59-E59</f>
        <v>2366.4026276587483</v>
      </c>
      <c r="G62" s="191">
        <f t="shared" si="21"/>
        <v>3092.3614716598022</v>
      </c>
      <c r="H62" s="191">
        <f t="shared" si="21"/>
        <v>1622.9909442519383</v>
      </c>
      <c r="I62" s="191">
        <f t="shared" si="21"/>
        <v>18217.776504787369</v>
      </c>
      <c r="O62" s="148"/>
      <c r="P62" s="148"/>
      <c r="Q62" s="148"/>
      <c r="R62" s="148"/>
      <c r="S62" s="148"/>
      <c r="T62" s="148"/>
    </row>
    <row r="63" spans="2:20" x14ac:dyDescent="0.2">
      <c r="O63" s="148"/>
      <c r="P63" s="148"/>
      <c r="Q63" s="148"/>
      <c r="R63" s="148"/>
      <c r="S63" s="148"/>
      <c r="T63" s="148"/>
    </row>
    <row r="64" spans="2:20" x14ac:dyDescent="0.2">
      <c r="B64" s="167" t="s">
        <v>199</v>
      </c>
      <c r="D64" s="211"/>
      <c r="E64" s="211"/>
      <c r="F64" s="211"/>
      <c r="G64" s="211"/>
      <c r="H64" s="211"/>
      <c r="I64" s="212">
        <f>I44*I20</f>
        <v>117038.49008594644</v>
      </c>
      <c r="O64" s="148"/>
      <c r="P64" s="148"/>
      <c r="Q64" s="148"/>
      <c r="R64" s="148"/>
      <c r="S64" s="148"/>
      <c r="T64" s="148"/>
    </row>
    <row r="65" spans="2:20" x14ac:dyDescent="0.2">
      <c r="B65" s="154" t="s">
        <v>200</v>
      </c>
      <c r="C65" s="230"/>
      <c r="D65" s="230">
        <f>D50-D53+D54-D55+D62</f>
        <v>4772.5049399999825</v>
      </c>
      <c r="E65" s="230">
        <f>E50-E53+E54-E55-E62</f>
        <v>360.81578160787376</v>
      </c>
      <c r="F65" s="230">
        <f>F50-F53+F54-F55-F62</f>
        <v>2752.9282081606307</v>
      </c>
      <c r="G65" s="230">
        <f>G50-G53+G54-G55-G62</f>
        <v>2051.4308739920543</v>
      </c>
      <c r="H65" s="230">
        <f>H50-H53+H54-H55-H62</f>
        <v>2998.8444339953421</v>
      </c>
      <c r="I65" s="230">
        <f>I50-I53+I54-I55-I62</f>
        <v>-11546.193110245069</v>
      </c>
      <c r="O65" s="148"/>
      <c r="P65" s="148"/>
      <c r="Q65" s="148"/>
      <c r="R65" s="148"/>
      <c r="S65" s="148"/>
      <c r="T65" s="148"/>
    </row>
    <row r="66" spans="2:20" x14ac:dyDescent="0.2">
      <c r="B66" s="150" t="s">
        <v>213</v>
      </c>
      <c r="D66" s="211">
        <f t="shared" ref="D66:I66" si="22">SUM(D64:D65)</f>
        <v>4772.5049399999825</v>
      </c>
      <c r="E66" s="211">
        <f t="shared" si="22"/>
        <v>360.81578160787376</v>
      </c>
      <c r="F66" s="211">
        <f t="shared" si="22"/>
        <v>2752.9282081606307</v>
      </c>
      <c r="G66" s="211">
        <f t="shared" si="22"/>
        <v>2051.4308739920543</v>
      </c>
      <c r="H66" s="211">
        <f t="shared" si="22"/>
        <v>2998.8444339953421</v>
      </c>
      <c r="I66" s="211">
        <f t="shared" si="22"/>
        <v>105492.29697570138</v>
      </c>
    </row>
    <row r="67" spans="2:20" x14ac:dyDescent="0.2">
      <c r="B67" s="150"/>
      <c r="D67" s="134"/>
      <c r="E67" s="134"/>
      <c r="F67" s="134"/>
      <c r="G67" s="134"/>
      <c r="H67" s="134"/>
      <c r="I67" s="134"/>
    </row>
    <row r="68" spans="2:20" x14ac:dyDescent="0.2">
      <c r="B68" s="156" t="s">
        <v>122</v>
      </c>
      <c r="D68" s="202">
        <f>O11</f>
        <v>0.11429999999999989</v>
      </c>
      <c r="E68" s="155"/>
      <c r="F68" s="155"/>
      <c r="G68" s="155"/>
      <c r="H68" s="155"/>
      <c r="I68" s="155"/>
    </row>
    <row r="69" spans="2:20" x14ac:dyDescent="0.2">
      <c r="B69" s="156" t="s">
        <v>202</v>
      </c>
      <c r="D69" s="157">
        <v>8.3333333333333329E-2</v>
      </c>
      <c r="E69" s="157">
        <f>D69+1</f>
        <v>1.0833333333333333</v>
      </c>
      <c r="F69" s="157">
        <f>E69+1</f>
        <v>2.083333333333333</v>
      </c>
      <c r="G69" s="157">
        <f>F69+1</f>
        <v>3.083333333333333</v>
      </c>
      <c r="H69" s="157">
        <f>G69+1</f>
        <v>4.083333333333333</v>
      </c>
      <c r="I69" s="157">
        <f>H69+1</f>
        <v>5.083333333333333</v>
      </c>
    </row>
    <row r="70" spans="2:20" x14ac:dyDescent="0.2">
      <c r="B70" s="156" t="s">
        <v>203</v>
      </c>
      <c r="D70" s="157">
        <f t="shared" ref="D70:I70" si="23">1/((1+$D$68)^D69)</f>
        <v>0.99102168090200538</v>
      </c>
      <c r="E70" s="157">
        <f t="shared" si="23"/>
        <v>0.88936702943731982</v>
      </c>
      <c r="F70" s="157">
        <f t="shared" si="23"/>
        <v>0.79813966565316352</v>
      </c>
      <c r="G70" s="157">
        <f t="shared" si="23"/>
        <v>0.71627000417586251</v>
      </c>
      <c r="H70" s="157">
        <f t="shared" si="23"/>
        <v>0.64279817300176123</v>
      </c>
      <c r="I70" s="157">
        <f t="shared" si="23"/>
        <v>0.57686275958158606</v>
      </c>
    </row>
    <row r="71" spans="2:20" x14ac:dyDescent="0.2">
      <c r="B71" s="159" t="s">
        <v>204</v>
      </c>
      <c r="C71" s="199"/>
      <c r="D71" s="160">
        <f t="shared" ref="D71:I71" si="24">D70*D66</f>
        <v>4729.655867751907</v>
      </c>
      <c r="E71" s="160">
        <f t="shared" si="24"/>
        <v>320.89765986269941</v>
      </c>
      <c r="F71" s="160">
        <f t="shared" si="24"/>
        <v>2197.2211996284882</v>
      </c>
      <c r="G71" s="160">
        <f t="shared" si="24"/>
        <v>1469.3784006807821</v>
      </c>
      <c r="H71" s="160">
        <f t="shared" si="24"/>
        <v>1927.6517232887068</v>
      </c>
      <c r="I71" s="160">
        <f t="shared" si="24"/>
        <v>60854.577548003304</v>
      </c>
    </row>
    <row r="72" spans="2:20" x14ac:dyDescent="0.2">
      <c r="B72" s="161"/>
      <c r="D72" s="157"/>
      <c r="E72" s="157"/>
      <c r="F72" s="157"/>
      <c r="G72" s="157"/>
      <c r="H72" s="157"/>
      <c r="I72" s="157"/>
    </row>
    <row r="73" spans="2:20" x14ac:dyDescent="0.2">
      <c r="B73" s="162" t="s">
        <v>205</v>
      </c>
      <c r="C73" s="203">
        <f>SUM(D71:I71)</f>
        <v>71499.382399215887</v>
      </c>
      <c r="E73" s="155"/>
      <c r="F73" s="155"/>
      <c r="G73" s="155"/>
      <c r="H73" s="155"/>
      <c r="I73" s="155"/>
    </row>
    <row r="74" spans="2:20" x14ac:dyDescent="0.2">
      <c r="B74" s="161"/>
      <c r="C74" s="204"/>
      <c r="E74" s="155"/>
      <c r="F74" s="155"/>
      <c r="G74" s="155"/>
      <c r="H74" s="155"/>
      <c r="I74" s="155"/>
    </row>
    <row r="75" spans="2:20" x14ac:dyDescent="0.2">
      <c r="B75" s="164" t="s">
        <v>206</v>
      </c>
      <c r="C75" s="205">
        <f>C73</f>
        <v>71499.382399215887</v>
      </c>
      <c r="E75" s="155"/>
      <c r="F75" s="155"/>
      <c r="G75" s="155"/>
      <c r="H75" s="155"/>
      <c r="I75" s="155"/>
    </row>
    <row r="77" spans="2:20" x14ac:dyDescent="0.2">
      <c r="B77" s="231" t="s">
        <v>49</v>
      </c>
      <c r="C77" s="8">
        <v>-13067</v>
      </c>
    </row>
    <row r="78" spans="2:20" x14ac:dyDescent="0.2">
      <c r="B78" s="231" t="s">
        <v>50</v>
      </c>
      <c r="C78" s="7">
        <v>0</v>
      </c>
    </row>
    <row r="79" spans="2:20" x14ac:dyDescent="0.2">
      <c r="B79" s="231" t="s">
        <v>51</v>
      </c>
      <c r="C79" s="7">
        <v>5</v>
      </c>
    </row>
    <row r="80" spans="2:20" x14ac:dyDescent="0.2">
      <c r="B80" s="231"/>
      <c r="C80" s="7"/>
    </row>
    <row r="81" spans="2:3" x14ac:dyDescent="0.2">
      <c r="B81" s="231"/>
      <c r="C81" s="7"/>
    </row>
    <row r="82" spans="2:3" x14ac:dyDescent="0.2">
      <c r="B82" s="232" t="s">
        <v>214</v>
      </c>
      <c r="C82" s="233">
        <f>C75-C77-C78+C79</f>
        <v>84571.382399215887</v>
      </c>
    </row>
    <row r="83" spans="2:3" x14ac:dyDescent="0.2">
      <c r="B83" s="72"/>
      <c r="C83" s="234"/>
    </row>
    <row r="84" spans="2:3" x14ac:dyDescent="0.2">
      <c r="B84" s="232" t="s">
        <v>208</v>
      </c>
      <c r="C84" s="235">
        <v>399.86</v>
      </c>
    </row>
    <row r="85" spans="2:3" x14ac:dyDescent="0.2">
      <c r="B85" s="72"/>
      <c r="C85" s="236"/>
    </row>
    <row r="86" spans="2:3" x14ac:dyDescent="0.2">
      <c r="B86" s="232" t="s">
        <v>215</v>
      </c>
      <c r="C86" s="213">
        <f>C82/C84</f>
        <v>211.50248186669305</v>
      </c>
    </row>
    <row r="88" spans="2:3" x14ac:dyDescent="0.2">
      <c r="B88" s="152"/>
      <c r="C88" s="165"/>
    </row>
    <row r="89" spans="2:3" x14ac:dyDescent="0.2">
      <c r="B89" s="152"/>
      <c r="C89" s="165"/>
    </row>
    <row r="90" spans="2:3" x14ac:dyDescent="0.2">
      <c r="B90" s="152"/>
    </row>
    <row r="91" spans="2:3" x14ac:dyDescent="0.2">
      <c r="B91" s="152"/>
    </row>
    <row r="92" spans="2:3" x14ac:dyDescent="0.2">
      <c r="B92" s="150"/>
    </row>
  </sheetData>
  <phoneticPr fontId="39" type="noConversion"/>
  <dataValidations count="1">
    <dataValidation type="decimal" allowBlank="1" showInputMessage="1" showErrorMessage="1" sqref="L27" xr:uid="{EB51C9D5-FF0D-4258-B535-2D747FC0BD78}">
      <formula1>-1</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C6CE85A5-85C9-43CB-8196-3B05692EF781}">
          <x14:formula1>
            <xm:f>'Data Validation Sheet'!$B$3:$B$203</xm:f>
          </x14:formula1>
          <xm:sqref>F10:F15 I10:I15 L10:L15 L17:L22 C17:C22 F17:F22 C10:C15</xm:sqref>
        </x14:dataValidation>
        <x14:dataValidation type="list" allowBlank="1" showInputMessage="1" showErrorMessage="1" xr:uid="{1C5835A7-F66F-426F-9EC1-6DB009A941B3}">
          <x14:formula1>
            <xm:f>'Data Validation Sheet'!$K$3:$K$123</xm:f>
          </x14:formula1>
          <xm:sqref>S13</xm:sqref>
        </x14:dataValidation>
        <x14:dataValidation type="list" allowBlank="1" showInputMessage="1" showErrorMessage="1" xr:uid="{E8FE5B85-9842-4692-BCFD-2398807DF292}">
          <x14:formula1>
            <xm:f>'Data Validation Sheet'!$K$3:$K$83</xm:f>
          </x14:formula1>
          <xm:sqref>O13</xm:sqref>
        </x14:dataValidation>
        <x14:dataValidation type="list" allowBlank="1" showInputMessage="1" showErrorMessage="1" xr:uid="{6FF29AFE-C0F0-406C-BDFB-B754B5F171B7}">
          <x14:formula1>
            <xm:f>'Data Validation Sheet'!$M$4:$M$104</xm:f>
          </x14:formula1>
          <xm:sqref>O21</xm:sqref>
        </x14:dataValidation>
        <x14:dataValidation type="list" allowBlank="1" showInputMessage="1" showErrorMessage="1" xr:uid="{62138045-6FF1-42B1-9213-56DD04986DC3}">
          <x14:formula1>
            <xm:f>'Data Validation Sheet'!$K$4:$K$123</xm:f>
          </x14:formula1>
          <xm:sqref>O20</xm:sqref>
        </x14:dataValidation>
        <x14:dataValidation type="list" allowBlank="1" showInputMessage="1" showErrorMessage="1" xr:uid="{5C9695AB-739F-40B8-BB14-5B7CF75881F8}">
          <x14:formula1>
            <xm:f>'Data Validation Sheet'!$K$4:$K$83</xm:f>
          </x14:formula1>
          <xm:sqref>O19</xm:sqref>
        </x14:dataValidation>
        <x14:dataValidation type="list" allowBlank="1" showInputMessage="1" showErrorMessage="1" xr:uid="{2394D82A-BDFE-418B-B622-612062E1C357}">
          <x14:formula1>
            <xm:f>'Data Validation Sheet'!$H$4:$H$204</xm:f>
          </x14:formula1>
          <xm:sqref>I20</xm:sqref>
        </x14:dataValidation>
        <x14:dataValidation type="list" allowBlank="1" showInputMessage="1" showErrorMessage="1" xr:uid="{E8574323-B827-420B-AE90-6C3EADE781DA}">
          <x14:formula1>
            <xm:f>'Data Validation Sheet'!$F$3:$F$23</xm:f>
          </x14:formula1>
          <xm:sqref>I18</xm:sqref>
        </x14:dataValidation>
        <x14:dataValidation type="list" allowBlank="1" showInputMessage="1" showErrorMessage="1" xr:uid="{209FF5A7-4209-4986-B2E3-9BA02A6868EF}">
          <x14:formula1>
            <xm:f>'Data Validation Sheet'!$B$103:$B$203</xm:f>
          </x14:formula1>
          <xm:sqref>S14 O14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31704-2B5E-42FC-842D-4CC83CBBAF14}">
  <sheetPr codeName="Sheet4"/>
  <dimension ref="B2:U44"/>
  <sheetViews>
    <sheetView showGridLines="0" zoomScale="72" workbookViewId="0">
      <selection activeCell="D29" sqref="D29"/>
    </sheetView>
  </sheetViews>
  <sheetFormatPr baseColWidth="10" defaultColWidth="9.1640625" defaultRowHeight="16" x14ac:dyDescent="0.2"/>
  <cols>
    <col min="1" max="1" width="9.1640625" style="1"/>
    <col min="2" max="2" width="49" style="1" customWidth="1"/>
    <col min="3" max="3" width="32.1640625" style="1" customWidth="1"/>
    <col min="4" max="4" width="20" style="1" customWidth="1"/>
    <col min="5" max="5" width="80.5" style="1" customWidth="1"/>
    <col min="6" max="6" width="25" style="1" customWidth="1"/>
    <col min="7" max="7" width="34" style="1" customWidth="1"/>
    <col min="8" max="8" width="16.1640625" style="1" customWidth="1"/>
    <col min="9" max="9" width="20.5" style="1" customWidth="1"/>
    <col min="10" max="10" width="15.5" style="1" customWidth="1"/>
    <col min="11" max="11" width="3.83203125" style="1" customWidth="1"/>
    <col min="12" max="12" width="24.5" style="1" customWidth="1"/>
    <col min="13" max="13" width="4.5" style="1" customWidth="1"/>
    <col min="14" max="14" width="16.5" style="1" customWidth="1"/>
    <col min="15" max="16" width="17.5" style="1" customWidth="1"/>
    <col min="17" max="16384" width="9.1640625" style="1"/>
  </cols>
  <sheetData>
    <row r="2" spans="2:21" x14ac:dyDescent="0.2">
      <c r="B2" s="4" t="s">
        <v>216</v>
      </c>
      <c r="C2" s="4"/>
      <c r="D2" s="4"/>
      <c r="E2" s="2"/>
      <c r="F2" s="2"/>
      <c r="G2" s="2"/>
      <c r="H2" s="2"/>
      <c r="I2" s="2"/>
      <c r="J2" s="2"/>
      <c r="K2" s="69"/>
      <c r="L2" s="69"/>
      <c r="M2" s="69"/>
      <c r="N2" s="69"/>
      <c r="O2" s="69"/>
      <c r="P2" s="69"/>
    </row>
    <row r="4" spans="2:21" x14ac:dyDescent="0.2">
      <c r="B4" s="2"/>
      <c r="C4" s="3"/>
      <c r="D4" s="5" t="s">
        <v>1</v>
      </c>
      <c r="E4" s="3"/>
      <c r="F4" s="2"/>
      <c r="G4" s="3"/>
      <c r="H4" s="3"/>
      <c r="I4" s="5" t="s">
        <v>2</v>
      </c>
      <c r="J4" s="3"/>
      <c r="K4" s="69"/>
      <c r="L4" s="71" t="s">
        <v>3</v>
      </c>
      <c r="M4" s="69"/>
      <c r="N4" s="3"/>
      <c r="O4" s="5" t="s">
        <v>4</v>
      </c>
      <c r="P4" s="3"/>
      <c r="T4" s="1" t="s">
        <v>5</v>
      </c>
      <c r="U4" s="1" t="s">
        <v>6</v>
      </c>
    </row>
    <row r="5" spans="2:21" x14ac:dyDescent="0.2">
      <c r="B5" s="9" t="s">
        <v>7</v>
      </c>
      <c r="C5" s="9" t="s">
        <v>8</v>
      </c>
      <c r="D5" s="9" t="s">
        <v>9</v>
      </c>
      <c r="E5" s="9" t="s">
        <v>10</v>
      </c>
      <c r="F5" s="9"/>
      <c r="G5" s="9" t="s">
        <v>11</v>
      </c>
      <c r="H5" s="9" t="s">
        <v>12</v>
      </c>
      <c r="I5" s="9" t="s">
        <v>13</v>
      </c>
      <c r="J5" s="9" t="s">
        <v>14</v>
      </c>
      <c r="K5" s="69"/>
      <c r="L5" s="9"/>
      <c r="M5" s="69"/>
      <c r="N5" s="9" t="s">
        <v>12</v>
      </c>
      <c r="O5" s="9" t="s">
        <v>13</v>
      </c>
      <c r="P5" s="9" t="s">
        <v>14</v>
      </c>
      <c r="T5" s="1" t="s">
        <v>15</v>
      </c>
      <c r="U5" s="1" t="s">
        <v>16</v>
      </c>
    </row>
    <row r="6" spans="2:21" x14ac:dyDescent="0.2">
      <c r="B6" s="6">
        <f>DATE(2023,4,1)</f>
        <v>45017</v>
      </c>
      <c r="C6" s="7" t="s">
        <v>17</v>
      </c>
      <c r="D6" s="8">
        <v>6000</v>
      </c>
      <c r="E6" s="7" t="s">
        <v>18</v>
      </c>
      <c r="F6" s="7"/>
      <c r="G6" s="7" t="s">
        <v>19</v>
      </c>
      <c r="H6" s="7">
        <v>0.21</v>
      </c>
      <c r="I6" s="7">
        <v>2.97</v>
      </c>
      <c r="J6" s="7">
        <v>4.84</v>
      </c>
      <c r="K6" s="7"/>
      <c r="L6" s="7" t="s">
        <v>5</v>
      </c>
      <c r="M6" s="7"/>
      <c r="N6" s="7">
        <f t="shared" ref="N6:N17" si="0">IF($L6="Yes",H6,"")</f>
        <v>0.21</v>
      </c>
      <c r="O6" s="7">
        <f>IF($L$6="Yes",I6,"")</f>
        <v>2.97</v>
      </c>
      <c r="P6" s="7">
        <f>IF($L$6="Yes",J6,"")</f>
        <v>4.84</v>
      </c>
      <c r="Q6" s="7"/>
      <c r="R6" s="7"/>
      <c r="S6" s="7"/>
    </row>
    <row r="7" spans="2:21" x14ac:dyDescent="0.2">
      <c r="B7" s="6">
        <f>DATE(2022,8,15)</f>
        <v>44788</v>
      </c>
      <c r="C7" s="7" t="s">
        <v>20</v>
      </c>
      <c r="D7" s="7">
        <v>257.79000000000002</v>
      </c>
      <c r="E7" s="7" t="s">
        <v>21</v>
      </c>
      <c r="F7" s="7"/>
      <c r="G7" s="7" t="s">
        <v>19</v>
      </c>
      <c r="H7" s="7">
        <v>0.11</v>
      </c>
      <c r="I7" s="7">
        <v>2.2200000000000002</v>
      </c>
      <c r="J7" s="7">
        <v>-5.0599999999999996</v>
      </c>
      <c r="K7" s="7"/>
      <c r="L7" s="7" t="s">
        <v>5</v>
      </c>
      <c r="M7" s="7"/>
      <c r="N7" s="7">
        <f t="shared" si="0"/>
        <v>0.11</v>
      </c>
      <c r="O7" s="7">
        <f t="shared" ref="O7:O17" si="1">IF($L7="Yes",I7,"")</f>
        <v>2.2200000000000002</v>
      </c>
      <c r="P7" s="7">
        <f t="shared" ref="P7:P17" si="2">IF($L7="Yes",J7,"")</f>
        <v>-5.0599999999999996</v>
      </c>
      <c r="Q7" s="7"/>
      <c r="R7" s="7"/>
      <c r="S7" s="7"/>
    </row>
    <row r="8" spans="2:21" x14ac:dyDescent="0.2">
      <c r="B8" s="6">
        <f>DATE(2018,12,6)</f>
        <v>43440</v>
      </c>
      <c r="C8" s="7" t="s">
        <v>22</v>
      </c>
      <c r="D8" s="7">
        <v>920.03</v>
      </c>
      <c r="E8" s="7" t="s">
        <v>23</v>
      </c>
      <c r="F8" s="7"/>
      <c r="G8" s="7" t="s">
        <v>24</v>
      </c>
      <c r="H8" s="7">
        <v>0.28999999999999998</v>
      </c>
      <c r="I8" s="7">
        <v>7.22</v>
      </c>
      <c r="J8" s="7">
        <v>-11.92</v>
      </c>
      <c r="K8" s="7"/>
      <c r="L8" s="7" t="s">
        <v>5</v>
      </c>
      <c r="M8" s="7"/>
      <c r="N8" s="7">
        <f t="shared" si="0"/>
        <v>0.28999999999999998</v>
      </c>
      <c r="O8" s="7">
        <f t="shared" si="1"/>
        <v>7.22</v>
      </c>
      <c r="P8" s="7">
        <f t="shared" si="2"/>
        <v>-11.92</v>
      </c>
      <c r="Q8" s="7"/>
      <c r="R8" s="7"/>
      <c r="S8" s="7"/>
    </row>
    <row r="9" spans="2:21" x14ac:dyDescent="0.2">
      <c r="B9" s="6">
        <f>DATE(2018,9,18)</f>
        <v>43361</v>
      </c>
      <c r="C9" s="7" t="s">
        <v>25</v>
      </c>
      <c r="D9" s="8">
        <v>1760</v>
      </c>
      <c r="E9" s="7" t="s">
        <v>26</v>
      </c>
      <c r="F9" s="7"/>
      <c r="G9" s="7" t="s">
        <v>19</v>
      </c>
      <c r="H9" s="7">
        <v>0.59</v>
      </c>
      <c r="I9" s="7">
        <v>5.91</v>
      </c>
      <c r="J9" s="7"/>
      <c r="K9" s="7"/>
      <c r="L9" s="7" t="s">
        <v>15</v>
      </c>
      <c r="M9" s="7"/>
      <c r="N9" s="7" t="str">
        <f t="shared" si="0"/>
        <v/>
      </c>
      <c r="O9" s="7" t="str">
        <f t="shared" si="1"/>
        <v/>
      </c>
      <c r="P9" s="7" t="str">
        <f t="shared" si="2"/>
        <v/>
      </c>
      <c r="Q9" s="7"/>
      <c r="R9" s="7"/>
      <c r="S9" s="7"/>
    </row>
    <row r="10" spans="2:21" x14ac:dyDescent="0.2">
      <c r="B10" s="6">
        <f>DATE(2021,7,28)</f>
        <v>44405</v>
      </c>
      <c r="C10" s="7" t="s">
        <v>27</v>
      </c>
      <c r="D10" s="8">
        <v>2630</v>
      </c>
      <c r="E10" s="7" t="s">
        <v>28</v>
      </c>
      <c r="F10" s="7"/>
      <c r="G10" s="7" t="s">
        <v>19</v>
      </c>
      <c r="H10" s="7">
        <v>0.91</v>
      </c>
      <c r="I10" s="7">
        <v>5.83</v>
      </c>
      <c r="J10" s="7">
        <v>9.44</v>
      </c>
      <c r="K10" s="7"/>
      <c r="L10" s="7" t="s">
        <v>5</v>
      </c>
      <c r="M10" s="7"/>
      <c r="N10" s="7">
        <f t="shared" si="0"/>
        <v>0.91</v>
      </c>
      <c r="O10" s="7">
        <f t="shared" si="1"/>
        <v>5.83</v>
      </c>
      <c r="P10" s="7">
        <f t="shared" si="2"/>
        <v>9.44</v>
      </c>
      <c r="Q10" s="7"/>
      <c r="R10" s="7"/>
      <c r="S10" s="7"/>
    </row>
    <row r="11" spans="2:21" x14ac:dyDescent="0.2">
      <c r="B11" s="6">
        <f>DATE(2020,12,11)</f>
        <v>44176</v>
      </c>
      <c r="C11" s="7" t="s">
        <v>29</v>
      </c>
      <c r="D11" s="8">
        <v>4520</v>
      </c>
      <c r="E11" s="7" t="s">
        <v>30</v>
      </c>
      <c r="F11" s="7"/>
      <c r="G11" s="7" t="s">
        <v>19</v>
      </c>
      <c r="H11" s="7">
        <v>138.09</v>
      </c>
      <c r="I11" s="7">
        <v>2720.6</v>
      </c>
      <c r="J11" s="7">
        <v>2804.67</v>
      </c>
      <c r="K11" s="7"/>
      <c r="L11" s="7" t="s">
        <v>15</v>
      </c>
      <c r="M11" s="7"/>
      <c r="N11" s="7" t="str">
        <f t="shared" si="0"/>
        <v/>
      </c>
      <c r="O11" s="7" t="str">
        <f t="shared" si="1"/>
        <v/>
      </c>
      <c r="P11" s="7" t="str">
        <f t="shared" si="2"/>
        <v/>
      </c>
      <c r="Q11" s="7"/>
      <c r="R11" s="7"/>
      <c r="S11" s="7"/>
    </row>
    <row r="12" spans="2:21" x14ac:dyDescent="0.2">
      <c r="B12" s="6">
        <f>DATE(2015,4,7)</f>
        <v>42101</v>
      </c>
      <c r="C12" s="7" t="s">
        <v>31</v>
      </c>
      <c r="D12" s="8">
        <v>2700</v>
      </c>
      <c r="E12" s="7" t="s">
        <v>32</v>
      </c>
      <c r="F12" s="7"/>
      <c r="G12" s="7" t="s">
        <v>33</v>
      </c>
      <c r="H12" s="7">
        <v>0.38</v>
      </c>
      <c r="I12" s="7">
        <v>10.34</v>
      </c>
      <c r="J12" s="7">
        <v>10.34</v>
      </c>
      <c r="K12" s="7"/>
      <c r="L12" s="7" t="s">
        <v>15</v>
      </c>
      <c r="M12" s="7"/>
      <c r="N12" s="7" t="str">
        <f t="shared" si="0"/>
        <v/>
      </c>
      <c r="O12" s="7" t="str">
        <f t="shared" si="1"/>
        <v/>
      </c>
      <c r="P12" s="7" t="str">
        <f t="shared" si="2"/>
        <v/>
      </c>
      <c r="Q12" s="7"/>
      <c r="R12" s="7"/>
      <c r="S12" s="7"/>
    </row>
    <row r="13" spans="2:21" x14ac:dyDescent="0.2">
      <c r="B13" s="6">
        <f>DATE(2017,11,2)</f>
        <v>43041</v>
      </c>
      <c r="C13" s="7" t="s">
        <v>34</v>
      </c>
      <c r="D13" s="8">
        <v>1420</v>
      </c>
      <c r="E13" s="7" t="s">
        <v>35</v>
      </c>
      <c r="F13" s="7"/>
      <c r="G13" s="7" t="s">
        <v>33</v>
      </c>
      <c r="H13" s="7">
        <v>0.45</v>
      </c>
      <c r="I13" s="7">
        <v>2.76</v>
      </c>
      <c r="J13" s="7">
        <v>4.03</v>
      </c>
      <c r="K13" s="7"/>
      <c r="L13" s="7" t="s">
        <v>5</v>
      </c>
      <c r="M13" s="7"/>
      <c r="N13" s="7">
        <f t="shared" si="0"/>
        <v>0.45</v>
      </c>
      <c r="O13" s="7">
        <f t="shared" si="1"/>
        <v>2.76</v>
      </c>
      <c r="P13" s="7">
        <f t="shared" si="2"/>
        <v>4.03</v>
      </c>
      <c r="Q13" s="7"/>
      <c r="R13" s="7"/>
      <c r="S13" s="7"/>
    </row>
    <row r="14" spans="2:21" x14ac:dyDescent="0.2">
      <c r="B14" s="6">
        <f>DATE(2019,8,28)</f>
        <v>43705</v>
      </c>
      <c r="C14" s="7" t="s">
        <v>36</v>
      </c>
      <c r="D14" s="7">
        <v>902.48</v>
      </c>
      <c r="E14" s="7" t="s">
        <v>37</v>
      </c>
      <c r="F14" s="7"/>
      <c r="G14" s="7" t="s">
        <v>33</v>
      </c>
      <c r="H14" s="7">
        <v>0.54</v>
      </c>
      <c r="I14" s="7">
        <v>5.84</v>
      </c>
      <c r="J14" s="7">
        <v>10.56</v>
      </c>
      <c r="K14" s="7"/>
      <c r="L14" s="7" t="s">
        <v>15</v>
      </c>
      <c r="M14" s="7"/>
      <c r="N14" s="7" t="str">
        <f t="shared" si="0"/>
        <v/>
      </c>
      <c r="O14" s="7" t="str">
        <f t="shared" si="1"/>
        <v/>
      </c>
      <c r="P14" s="7" t="str">
        <f t="shared" si="2"/>
        <v/>
      </c>
      <c r="Q14" s="7"/>
      <c r="R14" s="7"/>
      <c r="S14" s="7"/>
    </row>
    <row r="15" spans="2:21" x14ac:dyDescent="0.2">
      <c r="B15" s="6">
        <f>DATE(2018,10,8)</f>
        <v>43381</v>
      </c>
      <c r="C15" s="7" t="s">
        <v>38</v>
      </c>
      <c r="D15" s="7">
        <v>309.33</v>
      </c>
      <c r="E15" s="7" t="s">
        <v>37</v>
      </c>
      <c r="F15" s="7" t="s">
        <v>39</v>
      </c>
      <c r="G15" s="7" t="s">
        <v>33</v>
      </c>
      <c r="H15" s="12">
        <v>1</v>
      </c>
      <c r="I15" s="7">
        <v>6.52</v>
      </c>
      <c r="J15" s="7">
        <v>8.6199999999999992</v>
      </c>
      <c r="K15" s="7"/>
      <c r="L15" s="7" t="s">
        <v>15</v>
      </c>
      <c r="M15" s="7"/>
      <c r="N15" s="7" t="str">
        <f t="shared" si="0"/>
        <v/>
      </c>
      <c r="O15" s="7" t="str">
        <f t="shared" si="1"/>
        <v/>
      </c>
      <c r="P15" s="7" t="str">
        <f t="shared" si="2"/>
        <v/>
      </c>
      <c r="Q15" s="7"/>
      <c r="R15" s="7"/>
      <c r="S15" s="7"/>
    </row>
    <row r="16" spans="2:21" x14ac:dyDescent="0.2">
      <c r="B16" s="6">
        <f>DATE(2016,12,12)</f>
        <v>42716</v>
      </c>
      <c r="C16" s="7" t="s">
        <v>40</v>
      </c>
      <c r="D16" s="7">
        <v>357.08</v>
      </c>
      <c r="E16" s="7" t="s">
        <v>41</v>
      </c>
      <c r="F16" s="7"/>
      <c r="G16" s="7" t="s">
        <v>33</v>
      </c>
      <c r="H16" s="7">
        <v>0.52</v>
      </c>
      <c r="I16" s="7">
        <v>4.41</v>
      </c>
      <c r="J16" s="7">
        <v>10.54</v>
      </c>
      <c r="K16" s="7"/>
      <c r="L16" s="7" t="s">
        <v>15</v>
      </c>
      <c r="M16" s="7"/>
      <c r="N16" s="7" t="str">
        <f t="shared" si="0"/>
        <v/>
      </c>
      <c r="O16" s="7" t="str">
        <f t="shared" si="1"/>
        <v/>
      </c>
      <c r="P16" s="7" t="str">
        <f t="shared" si="2"/>
        <v/>
      </c>
      <c r="Q16" s="7"/>
      <c r="R16" s="7"/>
      <c r="S16" s="7"/>
    </row>
    <row r="17" spans="2:19" x14ac:dyDescent="0.2">
      <c r="B17" s="6">
        <f>DATE(2021,5,4)</f>
        <v>44320</v>
      </c>
      <c r="C17" s="7" t="s">
        <v>42</v>
      </c>
      <c r="D17" s="8">
        <v>1380</v>
      </c>
      <c r="E17" s="7" t="s">
        <v>37</v>
      </c>
      <c r="F17" s="7"/>
      <c r="G17" s="7" t="s">
        <v>33</v>
      </c>
      <c r="H17" s="7">
        <v>0.57999999999999996</v>
      </c>
      <c r="I17" s="7">
        <v>4.0999999999999996</v>
      </c>
      <c r="J17" s="7">
        <v>7.74</v>
      </c>
      <c r="K17" s="7"/>
      <c r="L17" s="7" t="s">
        <v>15</v>
      </c>
      <c r="M17" s="7"/>
      <c r="N17" s="7" t="str">
        <f t="shared" si="0"/>
        <v/>
      </c>
      <c r="O17" s="7" t="str">
        <f t="shared" si="1"/>
        <v/>
      </c>
      <c r="P17" s="7" t="str">
        <f t="shared" si="2"/>
        <v/>
      </c>
      <c r="Q17" s="7"/>
      <c r="R17" s="7"/>
      <c r="S17" s="7"/>
    </row>
    <row r="18" spans="2:19" x14ac:dyDescent="0.2">
      <c r="B18" s="7"/>
      <c r="C18" s="7"/>
      <c r="D18" s="7"/>
      <c r="E18" s="7"/>
      <c r="F18" s="7"/>
      <c r="G18" s="7"/>
      <c r="H18" s="7"/>
      <c r="I18" s="7"/>
      <c r="J18" s="7"/>
      <c r="K18" s="7"/>
      <c r="L18" s="7"/>
      <c r="M18" s="7"/>
      <c r="N18" s="7"/>
      <c r="O18" s="7"/>
      <c r="P18" s="7"/>
      <c r="Q18" s="7"/>
      <c r="R18" s="7"/>
      <c r="S18" s="7"/>
    </row>
    <row r="19" spans="2:19" x14ac:dyDescent="0.2">
      <c r="B19" s="7"/>
      <c r="C19" s="7"/>
      <c r="D19" s="7"/>
      <c r="E19" s="7"/>
      <c r="F19" s="7"/>
      <c r="G19" s="7"/>
      <c r="H19" s="7"/>
      <c r="I19" s="7"/>
      <c r="J19" s="7"/>
      <c r="K19" s="7"/>
      <c r="L19" s="7"/>
      <c r="M19" s="7"/>
      <c r="N19" s="7"/>
      <c r="O19" s="7"/>
      <c r="P19" s="7"/>
      <c r="Q19" s="7"/>
      <c r="R19" s="7"/>
      <c r="S19" s="7"/>
    </row>
    <row r="20" spans="2:19" x14ac:dyDescent="0.2">
      <c r="B20" s="7"/>
      <c r="C20" s="7"/>
      <c r="D20" s="7"/>
      <c r="E20" s="7"/>
      <c r="F20" s="7"/>
      <c r="G20" s="7"/>
      <c r="H20" s="7"/>
      <c r="I20" s="7"/>
      <c r="J20" s="7"/>
      <c r="K20" s="7"/>
      <c r="L20" s="7"/>
      <c r="M20" s="7"/>
      <c r="N20" s="7"/>
      <c r="O20" s="7"/>
      <c r="P20" s="7"/>
      <c r="Q20" s="7"/>
      <c r="R20" s="7"/>
      <c r="S20" s="7"/>
    </row>
    <row r="21" spans="2:19" x14ac:dyDescent="0.2">
      <c r="B21" s="7"/>
      <c r="C21" s="7"/>
      <c r="D21" s="7"/>
      <c r="E21" s="7"/>
      <c r="F21" s="7"/>
      <c r="G21" s="7"/>
      <c r="H21" s="7"/>
      <c r="I21" s="7"/>
      <c r="J21" s="7"/>
      <c r="K21" s="7"/>
      <c r="L21" s="7"/>
      <c r="M21" s="7"/>
      <c r="N21" s="7"/>
      <c r="O21" s="7"/>
      <c r="P21" s="7"/>
      <c r="Q21" s="7"/>
      <c r="R21" s="7"/>
      <c r="S21" s="7"/>
    </row>
    <row r="22" spans="2:19" x14ac:dyDescent="0.2">
      <c r="B22" s="72"/>
      <c r="C22" s="7"/>
      <c r="D22" s="7"/>
      <c r="E22" s="7"/>
      <c r="F22" s="7"/>
      <c r="G22" s="7"/>
      <c r="H22" s="7"/>
      <c r="I22" s="7"/>
      <c r="J22" s="7"/>
      <c r="K22" s="7"/>
      <c r="L22" s="7"/>
      <c r="M22" s="7"/>
      <c r="N22" s="7"/>
      <c r="O22" s="7"/>
      <c r="P22" s="7"/>
      <c r="Q22" s="7"/>
      <c r="R22" s="7"/>
      <c r="S22" s="7"/>
    </row>
    <row r="23" spans="2:19" x14ac:dyDescent="0.2">
      <c r="B23" s="73" t="s">
        <v>43</v>
      </c>
      <c r="C23" s="73" t="s">
        <v>12</v>
      </c>
      <c r="D23" s="73" t="s">
        <v>13</v>
      </c>
      <c r="E23" s="73" t="s">
        <v>14</v>
      </c>
      <c r="F23" s="73" t="s">
        <v>12</v>
      </c>
      <c r="G23" s="73"/>
      <c r="H23" s="7"/>
      <c r="I23" s="7"/>
      <c r="J23" s="7"/>
      <c r="K23" s="7"/>
      <c r="L23" s="7"/>
      <c r="M23" s="7"/>
      <c r="N23" s="7"/>
      <c r="O23" s="7"/>
      <c r="P23" s="7"/>
      <c r="Q23" s="7"/>
      <c r="R23" s="7"/>
      <c r="S23" s="7"/>
    </row>
    <row r="24" spans="2:19" x14ac:dyDescent="0.2">
      <c r="B24" s="7"/>
      <c r="C24" s="7"/>
      <c r="D24" s="7"/>
      <c r="E24" s="7"/>
      <c r="F24" s="7"/>
      <c r="G24" s="7"/>
      <c r="H24" s="7"/>
      <c r="I24" s="7"/>
      <c r="J24" s="7"/>
      <c r="K24" s="7"/>
      <c r="L24" s="7"/>
      <c r="M24" s="7"/>
      <c r="N24" s="7"/>
      <c r="O24" s="7"/>
      <c r="P24" s="7"/>
      <c r="Q24" s="7"/>
      <c r="R24" s="7"/>
      <c r="S24" s="7"/>
    </row>
    <row r="25" spans="2:19" x14ac:dyDescent="0.2">
      <c r="B25" s="73" t="s">
        <v>44</v>
      </c>
      <c r="C25" s="73" t="s">
        <v>6</v>
      </c>
      <c r="D25" s="73" t="s">
        <v>6</v>
      </c>
      <c r="E25" s="73" t="s">
        <v>6</v>
      </c>
      <c r="F25" s="73" t="s">
        <v>6</v>
      </c>
      <c r="G25" s="73"/>
      <c r="H25" s="7"/>
      <c r="I25" s="7"/>
      <c r="J25" s="7"/>
      <c r="K25" s="7"/>
      <c r="L25" s="7"/>
      <c r="M25" s="7"/>
      <c r="N25" s="7"/>
      <c r="O25" s="7"/>
      <c r="P25" s="7"/>
      <c r="Q25" s="7"/>
      <c r="R25" s="7"/>
      <c r="S25" s="7"/>
    </row>
    <row r="26" spans="2:19" x14ac:dyDescent="0.2">
      <c r="B26" s="7"/>
      <c r="C26" s="7"/>
      <c r="D26" s="7"/>
      <c r="E26" s="7"/>
      <c r="F26" s="7"/>
      <c r="G26" s="7"/>
      <c r="H26" s="7"/>
      <c r="I26" s="7"/>
      <c r="J26" s="7"/>
      <c r="K26" s="7"/>
      <c r="L26" s="7"/>
      <c r="M26" s="7"/>
      <c r="N26" s="7"/>
      <c r="O26" s="7"/>
      <c r="P26" s="7"/>
      <c r="Q26" s="7"/>
      <c r="R26" s="7"/>
      <c r="S26" s="7"/>
    </row>
    <row r="27" spans="2:19" x14ac:dyDescent="0.2">
      <c r="B27" s="73" t="str">
        <f>C23 &amp; " " &amp; "Using" &amp;  " "  &amp; C25</f>
        <v>Valuation/Sales Using Average</v>
      </c>
      <c r="C27" s="74">
        <f>IF(C25="Average",AVERAGE(INDEX(N6:P17,0,MATCH(C23,N5:P5,0))),MEDIAN(INDEX(N6:P17,0,MATCH(C23,N5:P5,0))))</f>
        <v>0.39400000000000002</v>
      </c>
      <c r="D27" s="7"/>
      <c r="E27" s="7"/>
      <c r="F27" s="7"/>
      <c r="G27" s="7"/>
      <c r="H27" s="7"/>
      <c r="I27" s="7"/>
      <c r="J27" s="7"/>
      <c r="K27" s="7"/>
      <c r="L27" s="7"/>
      <c r="M27" s="7"/>
      <c r="N27" s="7"/>
      <c r="O27" s="7"/>
      <c r="P27" s="7"/>
      <c r="Q27" s="7"/>
      <c r="R27" s="7"/>
      <c r="S27" s="7"/>
    </row>
    <row r="28" spans="2:19" x14ac:dyDescent="0.2">
      <c r="B28" s="7"/>
      <c r="C28" s="7"/>
      <c r="D28" s="7"/>
      <c r="E28" s="7"/>
      <c r="F28" s="7"/>
      <c r="G28" s="7"/>
      <c r="H28" s="7"/>
      <c r="I28" s="7"/>
      <c r="J28" s="7"/>
      <c r="K28" s="7"/>
      <c r="L28" s="7"/>
      <c r="M28" s="7"/>
      <c r="N28" s="7"/>
      <c r="O28" s="7"/>
      <c r="P28" s="7"/>
      <c r="Q28" s="7"/>
      <c r="R28" s="7"/>
      <c r="S28" s="7"/>
    </row>
    <row r="29" spans="2:19" x14ac:dyDescent="0.2">
      <c r="B29" s="7" t="s">
        <v>45</v>
      </c>
      <c r="C29" s="8">
        <v>76694</v>
      </c>
      <c r="D29" s="7"/>
      <c r="E29" s="7"/>
      <c r="F29" s="7"/>
      <c r="G29" s="7"/>
      <c r="H29" s="7"/>
      <c r="I29" s="7"/>
      <c r="J29" s="7"/>
      <c r="K29" s="7"/>
      <c r="L29" s="7"/>
      <c r="M29" s="7"/>
      <c r="N29" s="7"/>
      <c r="O29" s="7"/>
      <c r="P29" s="7"/>
      <c r="Q29" s="7"/>
      <c r="R29" s="7"/>
      <c r="S29" s="7"/>
    </row>
    <row r="30" spans="2:19" x14ac:dyDescent="0.2">
      <c r="B30" s="7" t="s">
        <v>46</v>
      </c>
      <c r="C30" s="7">
        <v>11085</v>
      </c>
      <c r="D30" s="7"/>
      <c r="E30" s="7"/>
      <c r="F30" s="7"/>
      <c r="G30" s="7"/>
      <c r="H30" s="7"/>
      <c r="I30" s="7"/>
      <c r="J30" s="7"/>
      <c r="K30" s="7"/>
      <c r="L30" s="7"/>
      <c r="M30" s="7"/>
      <c r="N30" s="7"/>
      <c r="O30" s="7"/>
      <c r="P30" s="7"/>
      <c r="Q30" s="7"/>
      <c r="R30" s="7"/>
      <c r="S30" s="7"/>
    </row>
    <row r="31" spans="2:19" x14ac:dyDescent="0.2">
      <c r="B31" s="7" t="s">
        <v>47</v>
      </c>
      <c r="C31" s="7">
        <v>9295</v>
      </c>
      <c r="D31" s="7"/>
      <c r="E31" s="7"/>
      <c r="F31" s="7"/>
      <c r="G31" s="7"/>
      <c r="H31" s="7"/>
      <c r="I31" s="7"/>
      <c r="J31" s="7"/>
      <c r="K31" s="7"/>
      <c r="L31" s="7"/>
      <c r="M31" s="7"/>
      <c r="N31" s="7"/>
      <c r="O31" s="7"/>
      <c r="P31" s="7"/>
      <c r="Q31" s="7"/>
      <c r="R31" s="7"/>
      <c r="S31" s="7"/>
    </row>
    <row r="32" spans="2:19" x14ac:dyDescent="0.2">
      <c r="B32" s="7"/>
      <c r="C32" s="7"/>
      <c r="D32" s="7"/>
      <c r="E32" s="7"/>
      <c r="F32" s="7"/>
      <c r="G32" s="7"/>
      <c r="H32" s="7"/>
      <c r="I32" s="7"/>
      <c r="J32" s="7"/>
      <c r="K32" s="7"/>
      <c r="L32" s="7"/>
      <c r="M32" s="7"/>
      <c r="N32" s="7"/>
      <c r="O32" s="7"/>
      <c r="P32" s="7"/>
      <c r="Q32" s="7"/>
      <c r="R32" s="7"/>
      <c r="S32" s="7"/>
    </row>
    <row r="33" spans="2:19" x14ac:dyDescent="0.2">
      <c r="B33" s="73" t="s">
        <v>206</v>
      </c>
      <c r="C33" s="76">
        <f>IF(C23="Valuation/Sales",C27*C29,IF(C23="Valuation/EBITDA",C27*C30,IF(C23="Valuation/EBIT",C27*C31)))</f>
        <v>30217.436000000002</v>
      </c>
      <c r="D33" s="7"/>
      <c r="E33" s="7"/>
      <c r="F33" s="7"/>
      <c r="G33" s="7"/>
      <c r="H33" s="7"/>
      <c r="I33" s="7"/>
      <c r="J33" s="7"/>
      <c r="K33" s="7"/>
      <c r="L33" s="7"/>
      <c r="M33" s="7"/>
      <c r="N33" s="7"/>
      <c r="O33" s="7"/>
      <c r="P33" s="7"/>
      <c r="Q33" s="7"/>
      <c r="R33" s="7"/>
      <c r="S33" s="7"/>
    </row>
    <row r="34" spans="2:19" x14ac:dyDescent="0.2">
      <c r="B34" s="7"/>
      <c r="C34" s="7"/>
      <c r="D34" s="7"/>
      <c r="E34" s="7"/>
      <c r="F34" s="7"/>
      <c r="G34" s="7"/>
      <c r="H34" s="7"/>
      <c r="I34" s="7"/>
      <c r="J34" s="7"/>
      <c r="K34" s="7"/>
      <c r="L34" s="7"/>
      <c r="M34" s="7"/>
      <c r="N34" s="7"/>
      <c r="O34" s="7"/>
      <c r="P34" s="7"/>
      <c r="Q34" s="7"/>
      <c r="R34" s="7"/>
      <c r="S34" s="7"/>
    </row>
    <row r="35" spans="2:19" x14ac:dyDescent="0.2">
      <c r="B35" s="75" t="s">
        <v>49</v>
      </c>
      <c r="C35" s="8">
        <v>-13067</v>
      </c>
      <c r="D35" s="7"/>
      <c r="E35" s="7"/>
      <c r="F35" s="7"/>
      <c r="G35" s="7"/>
      <c r="H35" s="7"/>
      <c r="I35" s="7"/>
      <c r="J35" s="7"/>
      <c r="K35" s="7"/>
      <c r="L35" s="7"/>
      <c r="M35" s="7"/>
      <c r="N35" s="7"/>
      <c r="O35" s="7"/>
      <c r="P35" s="7"/>
      <c r="Q35" s="7"/>
      <c r="R35" s="7"/>
      <c r="S35" s="7"/>
    </row>
    <row r="36" spans="2:19" x14ac:dyDescent="0.2">
      <c r="B36" s="75" t="s">
        <v>50</v>
      </c>
      <c r="C36" s="7">
        <v>0</v>
      </c>
      <c r="D36" s="7"/>
      <c r="E36" s="7"/>
      <c r="F36" s="7"/>
      <c r="G36" s="7"/>
      <c r="H36" s="7"/>
      <c r="I36" s="7"/>
      <c r="J36" s="7"/>
      <c r="K36" s="7"/>
      <c r="L36" s="7"/>
      <c r="M36" s="7"/>
      <c r="N36" s="7"/>
      <c r="O36" s="7"/>
      <c r="P36" s="7"/>
      <c r="Q36" s="7"/>
      <c r="R36" s="7"/>
      <c r="S36" s="7"/>
    </row>
    <row r="37" spans="2:19" x14ac:dyDescent="0.2">
      <c r="B37" s="75" t="s">
        <v>51</v>
      </c>
      <c r="C37" s="7">
        <v>5</v>
      </c>
    </row>
    <row r="38" spans="2:19" x14ac:dyDescent="0.2">
      <c r="B38" s="75"/>
      <c r="C38" s="7"/>
    </row>
    <row r="39" spans="2:19" x14ac:dyDescent="0.2">
      <c r="B39" s="75"/>
      <c r="C39" s="7"/>
    </row>
    <row r="40" spans="2:19" x14ac:dyDescent="0.2">
      <c r="B40" s="73" t="s">
        <v>52</v>
      </c>
      <c r="C40" s="80">
        <f>C33-C35-C36+C37</f>
        <v>43289.436000000002</v>
      </c>
    </row>
    <row r="41" spans="2:19" x14ac:dyDescent="0.2">
      <c r="B41" s="7"/>
      <c r="C41" s="7"/>
    </row>
    <row r="42" spans="2:19" x14ac:dyDescent="0.2">
      <c r="B42" s="73" t="s">
        <v>217</v>
      </c>
      <c r="C42" s="73">
        <v>399.86</v>
      </c>
    </row>
    <row r="43" spans="2:19" x14ac:dyDescent="0.2">
      <c r="B43" s="7"/>
      <c r="C43" s="7"/>
    </row>
    <row r="44" spans="2:19" x14ac:dyDescent="0.2">
      <c r="B44" s="73" t="s">
        <v>54</v>
      </c>
      <c r="C44" s="74">
        <f>C40/C42</f>
        <v>108.26148151853148</v>
      </c>
    </row>
  </sheetData>
  <dataValidations count="3">
    <dataValidation type="list" allowBlank="1" showInputMessage="1" showErrorMessage="1" sqref="L6:L17" xr:uid="{F906ECDF-26C9-9949-8600-67294FBF3B9F}">
      <formula1>$T$4:$T$5</formula1>
    </dataValidation>
    <dataValidation type="list" allowBlank="1" showInputMessage="1" showErrorMessage="1" sqref="C20 C25:G25" xr:uid="{D497C02D-7379-DA4D-8E29-260419AD95F0}">
      <formula1>$U$4:$U$5</formula1>
    </dataValidation>
    <dataValidation type="list" allowBlank="1" showInputMessage="1" showErrorMessage="1" sqref="C23:G23" xr:uid="{032FF505-6584-8440-8C8F-8AD91002819E}">
      <formula1>$H$5:$J$5</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FB49E-B905-4276-BDBD-DEF4069D43F4}">
  <sheetPr codeName="Sheet7"/>
  <dimension ref="A2:AM52"/>
  <sheetViews>
    <sheetView showGridLines="0" zoomScale="55" zoomScaleNormal="74" workbookViewId="0">
      <selection activeCell="D8" sqref="D8"/>
    </sheetView>
  </sheetViews>
  <sheetFormatPr baseColWidth="10" defaultColWidth="8.83203125" defaultRowHeight="16" x14ac:dyDescent="0.2"/>
  <cols>
    <col min="1" max="1" width="48.5" style="1" customWidth="1"/>
    <col min="2" max="2" width="22.1640625" style="1" customWidth="1"/>
    <col min="3" max="3" width="14.1640625" style="1" customWidth="1"/>
    <col min="4" max="5" width="15.5" style="1" bestFit="1" customWidth="1"/>
    <col min="6" max="6" width="4.5" style="1" customWidth="1"/>
    <col min="7" max="7" width="13.6640625" style="1" bestFit="1" customWidth="1"/>
    <col min="8" max="8" width="14.83203125" style="1" bestFit="1" customWidth="1"/>
    <col min="9" max="9" width="12.5" style="1" bestFit="1" customWidth="1"/>
    <col min="10" max="10" width="5.83203125" style="1" customWidth="1"/>
    <col min="11" max="11" width="9.5" style="1" bestFit="1" customWidth="1"/>
    <col min="12" max="12" width="19" style="1" bestFit="1" customWidth="1"/>
    <col min="13" max="13" width="12.5" style="1" bestFit="1" customWidth="1"/>
    <col min="14" max="14" width="12.5" style="1" customWidth="1"/>
    <col min="15" max="15" width="10.6640625" style="1" customWidth="1"/>
    <col min="16" max="16" width="13.5" style="1" customWidth="1"/>
    <col min="17" max="17" width="8.83203125" style="1" customWidth="1"/>
    <col min="18" max="18" width="16.1640625" style="1" customWidth="1"/>
    <col min="19" max="19" width="9.1640625" style="1" bestFit="1" customWidth="1"/>
    <col min="20" max="20" width="21.5" style="1" customWidth="1"/>
    <col min="21" max="21" width="9.1640625" style="1" bestFit="1" customWidth="1"/>
    <col min="22" max="22" width="12.5" style="1" customWidth="1"/>
    <col min="23" max="23" width="12.83203125" style="1" bestFit="1" customWidth="1"/>
    <col min="24" max="24" width="13.5" style="1" customWidth="1"/>
    <col min="25" max="25" width="12.5" style="1" customWidth="1"/>
    <col min="26" max="26" width="11.83203125" style="1" customWidth="1"/>
    <col min="27" max="16384" width="8.83203125" style="1"/>
  </cols>
  <sheetData>
    <row r="2" spans="1:39" x14ac:dyDescent="0.2">
      <c r="A2" s="4" t="s">
        <v>66</v>
      </c>
      <c r="B2" s="69"/>
      <c r="C2" s="2"/>
      <c r="D2" s="2"/>
      <c r="E2" s="2"/>
      <c r="F2" s="2"/>
      <c r="G2" s="2"/>
      <c r="H2" s="2"/>
      <c r="I2" s="2"/>
      <c r="J2" s="2"/>
      <c r="K2" s="2"/>
      <c r="L2" s="69"/>
      <c r="M2" s="69"/>
      <c r="N2" s="69"/>
      <c r="O2" s="69"/>
      <c r="P2" s="69"/>
      <c r="Q2" s="69"/>
      <c r="R2" s="69"/>
      <c r="S2" s="69"/>
      <c r="T2" s="69"/>
      <c r="U2" s="69"/>
      <c r="V2" s="69"/>
      <c r="W2" s="69"/>
    </row>
    <row r="3" spans="1:39" x14ac:dyDescent="0.2">
      <c r="L3" s="1" t="s">
        <v>218</v>
      </c>
      <c r="M3" s="79">
        <v>399858417</v>
      </c>
      <c r="N3" s="79"/>
    </row>
    <row r="4" spans="1:39" ht="15.5" customHeight="1" x14ac:dyDescent="0.2">
      <c r="A4" s="81"/>
      <c r="B4" s="71" t="s">
        <v>67</v>
      </c>
      <c r="C4" s="70"/>
      <c r="D4" s="88" t="s">
        <v>68</v>
      </c>
      <c r="E4" s="70"/>
      <c r="F4" s="81"/>
      <c r="G4" s="70"/>
      <c r="H4" s="88" t="s">
        <v>69</v>
      </c>
      <c r="I4" s="70"/>
      <c r="J4" s="81"/>
      <c r="K4" s="70"/>
      <c r="L4" s="88"/>
      <c r="M4" s="82"/>
      <c r="N4" s="88" t="s">
        <v>2</v>
      </c>
      <c r="O4" s="87"/>
      <c r="P4" s="87"/>
      <c r="Q4" s="87"/>
      <c r="R4" s="69"/>
      <c r="S4" s="281" t="s">
        <v>4</v>
      </c>
      <c r="T4" s="281"/>
      <c r="U4" s="281"/>
      <c r="V4" s="281"/>
      <c r="W4" s="281"/>
      <c r="X4" s="281"/>
      <c r="Y4" s="281"/>
    </row>
    <row r="5" spans="1:39" x14ac:dyDescent="0.2">
      <c r="A5" s="81"/>
      <c r="B5" s="69"/>
      <c r="C5" s="81" t="s">
        <v>70</v>
      </c>
      <c r="D5" s="81" t="s">
        <v>71</v>
      </c>
      <c r="E5" s="81" t="s">
        <v>72</v>
      </c>
      <c r="F5" s="81"/>
      <c r="G5" s="81" t="s">
        <v>73</v>
      </c>
      <c r="H5" s="81" t="s">
        <v>74</v>
      </c>
      <c r="I5" s="81" t="s">
        <v>75</v>
      </c>
      <c r="J5" s="81"/>
      <c r="K5" s="81" t="s">
        <v>76</v>
      </c>
      <c r="L5" s="81" t="s">
        <v>77</v>
      </c>
      <c r="M5" s="81" t="s">
        <v>78</v>
      </c>
      <c r="N5" s="9" t="s">
        <v>219</v>
      </c>
      <c r="O5" s="9" t="s">
        <v>220</v>
      </c>
      <c r="P5" s="9" t="s">
        <v>81</v>
      </c>
      <c r="Q5" s="9" t="s">
        <v>82</v>
      </c>
      <c r="R5" s="102"/>
      <c r="S5" s="81" t="s">
        <v>76</v>
      </c>
      <c r="T5" s="81" t="s">
        <v>77</v>
      </c>
      <c r="U5" s="81" t="s">
        <v>78</v>
      </c>
      <c r="V5" s="9" t="s">
        <v>219</v>
      </c>
      <c r="W5" s="9" t="s">
        <v>220</v>
      </c>
      <c r="X5" s="9" t="s">
        <v>81</v>
      </c>
      <c r="Y5" s="9" t="s">
        <v>82</v>
      </c>
      <c r="AL5" s="1" t="s">
        <v>5</v>
      </c>
      <c r="AM5" s="1" t="s">
        <v>6</v>
      </c>
    </row>
    <row r="6" spans="1:39" x14ac:dyDescent="0.2">
      <c r="A6" s="81" t="s">
        <v>83</v>
      </c>
      <c r="B6" s="69"/>
      <c r="C6" s="83" t="s">
        <v>84</v>
      </c>
      <c r="D6" s="83" t="s">
        <v>85</v>
      </c>
      <c r="E6" s="83" t="s">
        <v>85</v>
      </c>
      <c r="F6" s="83"/>
      <c r="G6" s="83" t="s">
        <v>85</v>
      </c>
      <c r="H6" s="83" t="s">
        <v>85</v>
      </c>
      <c r="I6" s="83" t="s">
        <v>85</v>
      </c>
      <c r="J6" s="83"/>
      <c r="K6" s="83"/>
      <c r="L6" s="83"/>
      <c r="M6" s="83"/>
      <c r="N6" s="83"/>
      <c r="O6" s="69"/>
      <c r="P6" s="69"/>
      <c r="Q6" s="69"/>
      <c r="R6" s="69"/>
      <c r="S6" s="81"/>
      <c r="T6" s="81"/>
      <c r="U6" s="81"/>
      <c r="V6" s="9"/>
      <c r="W6" s="9"/>
      <c r="X6" s="9"/>
      <c r="Y6" s="9"/>
      <c r="AL6" s="1" t="s">
        <v>221</v>
      </c>
      <c r="AM6" s="1" t="s">
        <v>16</v>
      </c>
    </row>
    <row r="7" spans="1:39" x14ac:dyDescent="0.2">
      <c r="A7" s="1" t="s">
        <v>86</v>
      </c>
      <c r="B7" s="7" t="s">
        <v>5</v>
      </c>
      <c r="C7" s="12">
        <v>70.522262999999995</v>
      </c>
      <c r="D7" s="103">
        <v>27478.960738999998</v>
      </c>
      <c r="E7" s="103">
        <v>-4077.0848350000001</v>
      </c>
      <c r="F7" s="103"/>
      <c r="G7" s="103">
        <v>77792.925231000001</v>
      </c>
      <c r="H7" s="103">
        <v>11044.40942</v>
      </c>
      <c r="I7" s="103">
        <v>7175.8</v>
      </c>
      <c r="K7" s="98">
        <f t="shared" ref="K7:K26" si="0">E7/G7</f>
        <v>-5.240945526721634E-2</v>
      </c>
      <c r="L7" s="98">
        <v>-0.36915399999999998</v>
      </c>
      <c r="M7" s="98">
        <v>-0.44157200000000002</v>
      </c>
      <c r="N7" s="98">
        <f>Sheet1!K6</f>
        <v>0.68468700000000005</v>
      </c>
      <c r="O7" s="98">
        <f>Sheet1!L6</f>
        <v>3.8269510000000002</v>
      </c>
      <c r="P7" s="98">
        <f>Sheet1!M6</f>
        <v>5.2349389999999998</v>
      </c>
      <c r="Q7" s="98">
        <f>Sheet1!N6</f>
        <v>0.35175899999999999</v>
      </c>
      <c r="R7" s="98"/>
      <c r="S7" s="98">
        <f t="shared" ref="S7:S26" si="1">IF($B7="Yes",K7,"")</f>
        <v>-5.240945526721634E-2</v>
      </c>
      <c r="T7" s="98">
        <f t="shared" ref="T7:T26" si="2">IF($B7="Yes",L7,"")</f>
        <v>-0.36915399999999998</v>
      </c>
      <c r="U7" s="98">
        <f t="shared" ref="U7:U26" si="3">IF($B7="Yes",M7,"")</f>
        <v>-0.44157200000000002</v>
      </c>
      <c r="V7" s="98">
        <f t="shared" ref="V7:V26" si="4">IF($B7="Yes",N7,"")</f>
        <v>0.68468700000000005</v>
      </c>
      <c r="W7" s="98">
        <f t="shared" ref="W7:W26" si="5">IF($B7="Yes",O7,"")</f>
        <v>3.8269510000000002</v>
      </c>
      <c r="X7" s="98">
        <f t="shared" ref="X7:X26" si="6">IF($B7="Yes",P7,"")</f>
        <v>5.2349389999999998</v>
      </c>
      <c r="Y7" s="98">
        <f t="shared" ref="Y7:Y26" si="7">IF($B7="Yes",Q7,"")</f>
        <v>0.35175899999999999</v>
      </c>
    </row>
    <row r="8" spans="1:39" x14ac:dyDescent="0.2">
      <c r="A8" s="1" t="s">
        <v>87</v>
      </c>
      <c r="B8" s="7" t="s">
        <v>5</v>
      </c>
      <c r="C8" s="12">
        <v>12.843427</v>
      </c>
      <c r="D8" s="103">
        <v>38524.963294000001</v>
      </c>
      <c r="E8" s="103">
        <v>20350.198108000001</v>
      </c>
      <c r="F8" s="103"/>
      <c r="G8" s="103">
        <v>190508.777868</v>
      </c>
      <c r="H8" s="103">
        <v>26413.869640000001</v>
      </c>
      <c r="I8" s="103">
        <v>14377.4</v>
      </c>
      <c r="K8" s="98">
        <f t="shared" si="0"/>
        <v>0.10682026484942481</v>
      </c>
      <c r="L8" s="98">
        <v>0.77043600000000001</v>
      </c>
      <c r="M8" s="98">
        <v>1.1056859999999999</v>
      </c>
      <c r="N8" s="98">
        <f>Sheet1!K7</f>
        <v>0.42960999999999999</v>
      </c>
      <c r="O8" s="98">
        <f>Sheet1!L7</f>
        <v>2.7099730000000002</v>
      </c>
      <c r="P8" s="98">
        <f>Sheet1!M7</f>
        <v>14.131588000000001</v>
      </c>
      <c r="Q8" s="98">
        <f>Sheet1!N7</f>
        <v>0.20307900000000001</v>
      </c>
      <c r="R8" s="98"/>
      <c r="S8" s="98">
        <f t="shared" si="1"/>
        <v>0.10682026484942481</v>
      </c>
      <c r="T8" s="98">
        <f t="shared" si="2"/>
        <v>0.77043600000000001</v>
      </c>
      <c r="U8" s="98">
        <f t="shared" si="3"/>
        <v>1.1056859999999999</v>
      </c>
      <c r="V8" s="98">
        <f t="shared" si="4"/>
        <v>0.42960999999999999</v>
      </c>
      <c r="W8" s="98">
        <f t="shared" si="5"/>
        <v>2.7099730000000002</v>
      </c>
      <c r="X8" s="98">
        <f t="shared" si="6"/>
        <v>14.131588000000001</v>
      </c>
      <c r="Y8" s="98">
        <f t="shared" si="7"/>
        <v>0.20307900000000001</v>
      </c>
    </row>
    <row r="9" spans="1:39" x14ac:dyDescent="0.2">
      <c r="A9" s="1" t="s">
        <v>88</v>
      </c>
      <c r="B9" s="7" t="s">
        <v>5</v>
      </c>
      <c r="C9" s="12">
        <v>4.2629669999999997</v>
      </c>
      <c r="D9" s="103">
        <v>85.419619999999995</v>
      </c>
      <c r="E9" s="103">
        <v>-156.07834600000001</v>
      </c>
      <c r="F9" s="103"/>
      <c r="G9" s="103">
        <v>630.44802600000003</v>
      </c>
      <c r="H9" s="103">
        <v>43.638959999999997</v>
      </c>
      <c r="I9" s="103">
        <v>30.2</v>
      </c>
      <c r="J9" s="86"/>
      <c r="K9" s="98">
        <f t="shared" si="0"/>
        <v>-0.24756734824005938</v>
      </c>
      <c r="L9" s="98">
        <v>-3.5765829999999998</v>
      </c>
      <c r="M9" s="98">
        <v>-5.2752270000000001</v>
      </c>
      <c r="N9" s="98">
        <f>Sheet1!K8</f>
        <v>0.23741000000000001</v>
      </c>
      <c r="O9" s="98">
        <f>Sheet1!L8</f>
        <v>2.8156970000000001</v>
      </c>
      <c r="P9" s="98">
        <f>Sheet1!M8</f>
        <v>1.6692119999999999</v>
      </c>
      <c r="Q9" s="98">
        <f>Sheet1!N8</f>
        <v>0.13508800000000001</v>
      </c>
      <c r="R9" s="98"/>
      <c r="S9" s="98">
        <f t="shared" si="1"/>
        <v>-0.24756734824005938</v>
      </c>
      <c r="T9" s="98">
        <f t="shared" si="2"/>
        <v>-3.5765829999999998</v>
      </c>
      <c r="U9" s="98">
        <f t="shared" si="3"/>
        <v>-5.2752270000000001</v>
      </c>
      <c r="V9" s="98">
        <f t="shared" si="4"/>
        <v>0.23741000000000001</v>
      </c>
      <c r="W9" s="98">
        <f t="shared" si="5"/>
        <v>2.8156970000000001</v>
      </c>
      <c r="X9" s="98">
        <f t="shared" si="6"/>
        <v>1.6692119999999999</v>
      </c>
      <c r="Y9" s="98">
        <f t="shared" si="7"/>
        <v>0.13508800000000001</v>
      </c>
    </row>
    <row r="10" spans="1:39" x14ac:dyDescent="0.2">
      <c r="A10" s="1" t="s">
        <v>89</v>
      </c>
      <c r="B10" s="7" t="s">
        <v>5</v>
      </c>
      <c r="C10" s="12">
        <v>15.980589999999999</v>
      </c>
      <c r="D10" s="103">
        <v>11678.808265</v>
      </c>
      <c r="E10" s="103">
        <v>7971.2488430000003</v>
      </c>
      <c r="F10" s="103"/>
      <c r="G10" s="103">
        <v>31624.287984999999</v>
      </c>
      <c r="H10" s="103">
        <v>4931.4578099999999</v>
      </c>
      <c r="I10" s="103">
        <v>2641.1</v>
      </c>
      <c r="J10" s="86"/>
      <c r="K10" s="98">
        <f t="shared" si="0"/>
        <v>0.25206097436188651</v>
      </c>
      <c r="L10" s="98">
        <v>1.6164080000000001</v>
      </c>
      <c r="M10" s="98">
        <v>2.3048380000000002</v>
      </c>
      <c r="N10" s="98">
        <f>Sheet1!K9</f>
        <v>0.65295700000000001</v>
      </c>
      <c r="O10" s="98">
        <f>Sheet1!L9</f>
        <v>4.4853170000000002</v>
      </c>
      <c r="P10" s="98">
        <f>Sheet1!M9</f>
        <v>3.258839</v>
      </c>
      <c r="Q10" s="98">
        <f>Sheet1!N9</f>
        <v>0.36976399999999998</v>
      </c>
      <c r="R10" s="98"/>
      <c r="S10" s="98">
        <f t="shared" si="1"/>
        <v>0.25206097436188651</v>
      </c>
      <c r="T10" s="98">
        <f t="shared" si="2"/>
        <v>1.6164080000000001</v>
      </c>
      <c r="U10" s="98">
        <f t="shared" si="3"/>
        <v>2.3048380000000002</v>
      </c>
      <c r="V10" s="98">
        <f t="shared" si="4"/>
        <v>0.65295700000000001</v>
      </c>
      <c r="W10" s="98">
        <f t="shared" si="5"/>
        <v>4.4853170000000002</v>
      </c>
      <c r="X10" s="98">
        <f t="shared" si="6"/>
        <v>3.258839</v>
      </c>
      <c r="Y10" s="98">
        <f t="shared" si="7"/>
        <v>0.36976399999999998</v>
      </c>
    </row>
    <row r="11" spans="1:39" x14ac:dyDescent="0.2">
      <c r="A11" s="1" t="s">
        <v>90</v>
      </c>
      <c r="B11" s="7" t="s">
        <v>5</v>
      </c>
      <c r="C11" s="12">
        <v>2.695459</v>
      </c>
      <c r="D11" s="103">
        <v>9322.5366639999993</v>
      </c>
      <c r="E11" s="103">
        <v>54566.909749999999</v>
      </c>
      <c r="F11" s="103"/>
      <c r="G11" s="103">
        <v>83831.750505999997</v>
      </c>
      <c r="H11" s="103">
        <v>6308.6386499999999</v>
      </c>
      <c r="I11" s="103">
        <v>995.2</v>
      </c>
      <c r="J11" s="86"/>
      <c r="K11" s="98">
        <f t="shared" si="0"/>
        <v>0.65090982140584719</v>
      </c>
      <c r="L11" s="98">
        <v>8.6495540000000002</v>
      </c>
      <c r="M11" s="98">
        <v>30.978787000000001</v>
      </c>
      <c r="N11" s="98">
        <f>Sheet1!K10</f>
        <v>0.24192</v>
      </c>
      <c r="O11" s="98">
        <f>Sheet1!L10</f>
        <v>10.078108</v>
      </c>
      <c r="P11" s="98" t="str">
        <f>Sheet1!M10</f>
        <v>-</v>
      </c>
      <c r="Q11" s="98">
        <f>Sheet1!N10</f>
        <v>0.11645999999999999</v>
      </c>
      <c r="R11" s="98"/>
      <c r="S11" s="98">
        <f t="shared" si="1"/>
        <v>0.65090982140584719</v>
      </c>
      <c r="T11" s="98">
        <f t="shared" si="2"/>
        <v>8.6495540000000002</v>
      </c>
      <c r="U11" s="98">
        <f t="shared" si="3"/>
        <v>30.978787000000001</v>
      </c>
      <c r="V11" s="98">
        <f t="shared" si="4"/>
        <v>0.24192</v>
      </c>
      <c r="W11" s="98">
        <f t="shared" si="5"/>
        <v>10.078108</v>
      </c>
      <c r="X11" s="98" t="str">
        <f t="shared" si="6"/>
        <v>-</v>
      </c>
      <c r="Y11" s="98">
        <f t="shared" si="7"/>
        <v>0.11645999999999999</v>
      </c>
    </row>
    <row r="12" spans="1:39" x14ac:dyDescent="0.2">
      <c r="A12" s="1" t="s">
        <v>92</v>
      </c>
      <c r="B12" s="7" t="s">
        <v>5</v>
      </c>
      <c r="C12" s="12">
        <v>10.73</v>
      </c>
      <c r="D12" s="103">
        <v>43510.046602000002</v>
      </c>
      <c r="E12" s="103">
        <v>158157.04610199999</v>
      </c>
      <c r="F12" s="103"/>
      <c r="G12" s="103">
        <v>182743</v>
      </c>
      <c r="H12" s="103">
        <v>9625</v>
      </c>
      <c r="I12" s="103">
        <v>3529</v>
      </c>
      <c r="J12" s="86"/>
      <c r="K12" s="98">
        <f t="shared" si="0"/>
        <v>0.86546158321796185</v>
      </c>
      <c r="L12" s="98">
        <v>16.431901</v>
      </c>
      <c r="M12" s="98">
        <v>45.058987000000002</v>
      </c>
      <c r="N12" s="98">
        <f>Sheet1!K11</f>
        <v>0.96857300000000002</v>
      </c>
      <c r="O12" s="98">
        <f>Sheet1!L11</f>
        <v>12.317518</v>
      </c>
      <c r="P12" s="98">
        <f>Sheet1!M11</f>
        <v>6.7740239999999998</v>
      </c>
      <c r="Q12" s="98">
        <f>Sheet1!N11</f>
        <v>0.23746100000000001</v>
      </c>
      <c r="R12" s="98"/>
      <c r="S12" s="98">
        <f t="shared" si="1"/>
        <v>0.86546158321796185</v>
      </c>
      <c r="T12" s="98">
        <f t="shared" si="2"/>
        <v>16.431901</v>
      </c>
      <c r="U12" s="98">
        <f t="shared" si="3"/>
        <v>45.058987000000002</v>
      </c>
      <c r="V12" s="98">
        <f t="shared" si="4"/>
        <v>0.96857300000000002</v>
      </c>
      <c r="W12" s="98">
        <f t="shared" si="5"/>
        <v>12.317518</v>
      </c>
      <c r="X12" s="98">
        <f t="shared" si="6"/>
        <v>6.7740239999999998</v>
      </c>
      <c r="Y12" s="98">
        <f t="shared" si="7"/>
        <v>0.23746100000000001</v>
      </c>
    </row>
    <row r="13" spans="1:39" x14ac:dyDescent="0.2">
      <c r="A13" s="1" t="s">
        <v>31</v>
      </c>
      <c r="B13" s="7" t="s">
        <v>5</v>
      </c>
      <c r="C13" s="12">
        <v>54.869999</v>
      </c>
      <c r="D13" s="103">
        <v>62524.136741000002</v>
      </c>
      <c r="E13" s="103">
        <v>41995.137140999999</v>
      </c>
      <c r="F13" s="103"/>
      <c r="G13" s="103">
        <v>182718</v>
      </c>
      <c r="H13" s="103">
        <v>24334</v>
      </c>
      <c r="I13" s="103">
        <v>11072</v>
      </c>
      <c r="J13" s="86"/>
      <c r="K13" s="98">
        <f t="shared" si="0"/>
        <v>0.22983579691655995</v>
      </c>
      <c r="L13" s="98">
        <v>1.7257800000000001</v>
      </c>
      <c r="M13" s="98">
        <v>3.4481600000000001</v>
      </c>
      <c r="N13" s="98">
        <f>Sheet1!K12</f>
        <v>0.86343800000000004</v>
      </c>
      <c r="O13" s="98">
        <f>Sheet1!L12</f>
        <v>5.9440189999999999</v>
      </c>
      <c r="P13" s="98" t="str">
        <f>Sheet1!M12</f>
        <v>-</v>
      </c>
      <c r="Q13" s="98">
        <f>Sheet1!N12</f>
        <v>0.34465200000000001</v>
      </c>
      <c r="R13" s="98"/>
      <c r="S13" s="98">
        <f t="shared" si="1"/>
        <v>0.22983579691655995</v>
      </c>
      <c r="T13" s="98">
        <f t="shared" si="2"/>
        <v>1.7257800000000001</v>
      </c>
      <c r="U13" s="98">
        <f t="shared" si="3"/>
        <v>3.4481600000000001</v>
      </c>
      <c r="V13" s="98">
        <f t="shared" si="4"/>
        <v>0.86343800000000004</v>
      </c>
      <c r="W13" s="98">
        <f t="shared" si="5"/>
        <v>5.9440189999999999</v>
      </c>
      <c r="X13" s="98" t="str">
        <f t="shared" si="6"/>
        <v>-</v>
      </c>
      <c r="Y13" s="98">
        <f t="shared" si="7"/>
        <v>0.34465200000000001</v>
      </c>
    </row>
    <row r="14" spans="1:39" x14ac:dyDescent="0.2">
      <c r="A14" s="1" t="s">
        <v>93</v>
      </c>
      <c r="B14" s="7" t="s">
        <v>5</v>
      </c>
      <c r="C14" s="12">
        <v>88.635208000000006</v>
      </c>
      <c r="D14" s="103">
        <v>43892.235225999997</v>
      </c>
      <c r="E14" s="103">
        <v>219041.011</v>
      </c>
      <c r="F14" s="103"/>
      <c r="G14" s="103">
        <v>351702.530799</v>
      </c>
      <c r="H14" s="103">
        <v>58907.951780000003</v>
      </c>
      <c r="I14" s="103">
        <v>13281.8</v>
      </c>
      <c r="J14" s="86"/>
      <c r="K14" s="98">
        <f t="shared" si="0"/>
        <v>0.62280191871915525</v>
      </c>
      <c r="L14" s="98">
        <v>3.7183609999999998</v>
      </c>
      <c r="M14" s="98">
        <v>7.8487650000000002</v>
      </c>
      <c r="N14" s="98">
        <f>Sheet1!K13</f>
        <v>0.241623</v>
      </c>
      <c r="O14" s="98">
        <f>Sheet1!L13</f>
        <v>3.3160099999999999</v>
      </c>
      <c r="P14" s="98" t="str">
        <f>Sheet1!M13</f>
        <v>-</v>
      </c>
      <c r="Q14" s="98">
        <f>Sheet1!N13</f>
        <v>0.125247</v>
      </c>
      <c r="R14" s="98"/>
      <c r="S14" s="98">
        <f t="shared" si="1"/>
        <v>0.62280191871915525</v>
      </c>
      <c r="T14" s="98">
        <f t="shared" si="2"/>
        <v>3.7183609999999998</v>
      </c>
      <c r="U14" s="98">
        <f t="shared" si="3"/>
        <v>7.8487650000000002</v>
      </c>
      <c r="V14" s="98">
        <f t="shared" si="4"/>
        <v>0.241623</v>
      </c>
      <c r="W14" s="98">
        <f t="shared" si="5"/>
        <v>3.3160099999999999</v>
      </c>
      <c r="X14" s="98" t="str">
        <f t="shared" si="6"/>
        <v>-</v>
      </c>
      <c r="Y14" s="98">
        <f t="shared" si="7"/>
        <v>0.125247</v>
      </c>
    </row>
    <row r="15" spans="1:39" x14ac:dyDescent="0.2">
      <c r="A15" s="1" t="s">
        <v>17</v>
      </c>
      <c r="B15" s="7" t="s">
        <v>5</v>
      </c>
      <c r="C15" s="12">
        <v>6.465503</v>
      </c>
      <c r="D15" s="103">
        <v>4075.85385</v>
      </c>
      <c r="E15" s="103">
        <v>1857.208498</v>
      </c>
      <c r="F15" s="103"/>
      <c r="G15" s="103">
        <v>32612.932260000001</v>
      </c>
      <c r="H15" s="103">
        <v>2258.9489600000002</v>
      </c>
      <c r="I15" s="103">
        <v>897</v>
      </c>
      <c r="J15" s="86"/>
      <c r="K15" s="98">
        <f t="shared" si="0"/>
        <v>5.69469952347057E-2</v>
      </c>
      <c r="L15" s="98">
        <v>0.822156</v>
      </c>
      <c r="M15" s="98">
        <v>1.2471479999999999</v>
      </c>
      <c r="N15" s="98">
        <f>Sheet1!K14</f>
        <v>0.343086</v>
      </c>
      <c r="O15" s="98">
        <f>Sheet1!L14</f>
        <v>4.576435</v>
      </c>
      <c r="P15" s="98">
        <f>Sheet1!M14</f>
        <v>2.8295870000000001</v>
      </c>
      <c r="Q15" s="98">
        <f>Sheet1!N14</f>
        <v>0.12593299999999999</v>
      </c>
      <c r="R15" s="98"/>
      <c r="S15" s="98">
        <f t="shared" si="1"/>
        <v>5.69469952347057E-2</v>
      </c>
      <c r="T15" s="98">
        <f t="shared" si="2"/>
        <v>0.822156</v>
      </c>
      <c r="U15" s="98">
        <f t="shared" si="3"/>
        <v>1.2471479999999999</v>
      </c>
      <c r="V15" s="98">
        <f t="shared" si="4"/>
        <v>0.343086</v>
      </c>
      <c r="W15" s="98">
        <f t="shared" si="5"/>
        <v>4.576435</v>
      </c>
      <c r="X15" s="98">
        <f t="shared" si="6"/>
        <v>2.8295870000000001</v>
      </c>
      <c r="Y15" s="98">
        <f t="shared" si="7"/>
        <v>0.12593299999999999</v>
      </c>
    </row>
    <row r="16" spans="1:39" x14ac:dyDescent="0.2">
      <c r="A16" s="1" t="s">
        <v>40</v>
      </c>
      <c r="B16" s="7" t="s">
        <v>5</v>
      </c>
      <c r="C16" s="12">
        <v>9.2802039999999995</v>
      </c>
      <c r="D16" s="103">
        <v>34188.410653999999</v>
      </c>
      <c r="E16" s="103">
        <v>40226.876672999999</v>
      </c>
      <c r="F16" s="103"/>
      <c r="G16" s="103">
        <v>52778.378338000002</v>
      </c>
      <c r="H16" s="103">
        <v>7136.8734999999997</v>
      </c>
      <c r="I16" s="103">
        <v>3998.8</v>
      </c>
      <c r="J16" s="86"/>
      <c r="K16" s="98">
        <f t="shared" si="0"/>
        <v>0.76218477982369104</v>
      </c>
      <c r="L16" s="98">
        <v>5.6364840000000003</v>
      </c>
      <c r="M16" s="98">
        <v>10.186389</v>
      </c>
      <c r="N16" s="98">
        <f>Sheet1!K15</f>
        <v>2.929065</v>
      </c>
      <c r="O16" s="98">
        <f>Sheet1!L15</f>
        <v>8.8334499999999991</v>
      </c>
      <c r="P16" s="98" t="str">
        <f>Sheet1!M15</f>
        <v>-</v>
      </c>
      <c r="Q16" s="98">
        <f>Sheet1!N15</f>
        <v>0.66928399999999999</v>
      </c>
      <c r="R16" s="98"/>
      <c r="S16" s="98">
        <f t="shared" si="1"/>
        <v>0.76218477982369104</v>
      </c>
      <c r="T16" s="98">
        <f t="shared" si="2"/>
        <v>5.6364840000000003</v>
      </c>
      <c r="U16" s="98">
        <f t="shared" si="3"/>
        <v>10.186389</v>
      </c>
      <c r="V16" s="98">
        <f t="shared" si="4"/>
        <v>2.929065</v>
      </c>
      <c r="W16" s="98">
        <f t="shared" si="5"/>
        <v>8.8334499999999991</v>
      </c>
      <c r="X16" s="98" t="str">
        <f t="shared" si="6"/>
        <v>-</v>
      </c>
      <c r="Y16" s="98">
        <f t="shared" si="7"/>
        <v>0.66928399999999999</v>
      </c>
    </row>
    <row r="17" spans="1:25" x14ac:dyDescent="0.2">
      <c r="A17" s="1" t="s">
        <v>94</v>
      </c>
      <c r="B17" s="7" t="s">
        <v>5</v>
      </c>
      <c r="C17" s="12">
        <v>17.343101999999998</v>
      </c>
      <c r="D17" s="103">
        <v>233613.113515</v>
      </c>
      <c r="E17" s="103">
        <v>405363.93115399999</v>
      </c>
      <c r="F17" s="103"/>
      <c r="G17" s="103">
        <v>308526.803617</v>
      </c>
      <c r="H17" s="103">
        <v>49560.741730000002</v>
      </c>
      <c r="I17" s="103">
        <v>28345.7</v>
      </c>
      <c r="K17" s="98">
        <f t="shared" si="0"/>
        <v>1.3138694155636863</v>
      </c>
      <c r="L17" s="98">
        <v>8.1791339999999995</v>
      </c>
      <c r="M17" s="98">
        <v>11.593786</v>
      </c>
      <c r="N17" s="98">
        <f>Sheet1!K16</f>
        <v>0.948465</v>
      </c>
      <c r="O17" s="98">
        <f>Sheet1!L16</f>
        <v>8.2266729999999999</v>
      </c>
      <c r="P17" s="98" t="str">
        <f>Sheet1!M16</f>
        <v>-</v>
      </c>
      <c r="Q17" s="98">
        <f>Sheet1!N16</f>
        <v>0.74675499999999995</v>
      </c>
      <c r="R17" s="98"/>
      <c r="S17" s="98">
        <f t="shared" si="1"/>
        <v>1.3138694155636863</v>
      </c>
      <c r="T17" s="98">
        <f t="shared" si="2"/>
        <v>8.1791339999999995</v>
      </c>
      <c r="U17" s="98">
        <f t="shared" si="3"/>
        <v>11.593786</v>
      </c>
      <c r="V17" s="98">
        <f t="shared" si="4"/>
        <v>0.948465</v>
      </c>
      <c r="W17" s="98">
        <f t="shared" si="5"/>
        <v>8.2266729999999999</v>
      </c>
      <c r="X17" s="98" t="str">
        <f t="shared" si="6"/>
        <v>-</v>
      </c>
      <c r="Y17" s="98">
        <f t="shared" si="7"/>
        <v>0.74675499999999995</v>
      </c>
    </row>
    <row r="18" spans="1:25" x14ac:dyDescent="0.2">
      <c r="A18" s="1" t="s">
        <v>95</v>
      </c>
      <c r="B18" s="7" t="s">
        <v>5</v>
      </c>
      <c r="C18" s="12">
        <v>8.7695620000000005</v>
      </c>
      <c r="D18" s="103">
        <v>42288.086186</v>
      </c>
      <c r="E18" s="103">
        <v>77479.882830999995</v>
      </c>
      <c r="F18" s="103"/>
      <c r="G18" s="103">
        <v>143749.636902</v>
      </c>
      <c r="H18" s="103">
        <v>19953.022870000001</v>
      </c>
      <c r="I18" s="103">
        <v>6553.8</v>
      </c>
      <c r="K18" s="98">
        <f t="shared" si="0"/>
        <v>0.53899185069817734</v>
      </c>
      <c r="L18" s="98">
        <v>3.8831150000000001</v>
      </c>
      <c r="M18" s="98">
        <v>8.1591749999999994</v>
      </c>
      <c r="N18" s="98">
        <f>Sheet1!K17</f>
        <v>0.47126699999999999</v>
      </c>
      <c r="O18" s="98">
        <f>Sheet1!L17</f>
        <v>6.4187690000000002</v>
      </c>
      <c r="P18" s="98">
        <f>Sheet1!M17</f>
        <v>916.59004100000004</v>
      </c>
      <c r="Q18" s="98">
        <f>Sheet1!N17</f>
        <v>0.28400399999999998</v>
      </c>
      <c r="R18" s="98"/>
      <c r="S18" s="98">
        <f t="shared" si="1"/>
        <v>0.53899185069817734</v>
      </c>
      <c r="T18" s="98">
        <f t="shared" si="2"/>
        <v>3.8831150000000001</v>
      </c>
      <c r="U18" s="98">
        <f t="shared" si="3"/>
        <v>8.1591749999999994</v>
      </c>
      <c r="V18" s="98">
        <f t="shared" si="4"/>
        <v>0.47126699999999999</v>
      </c>
      <c r="W18" s="98">
        <f t="shared" si="5"/>
        <v>6.4187690000000002</v>
      </c>
      <c r="X18" s="98">
        <f t="shared" si="6"/>
        <v>916.59004100000004</v>
      </c>
      <c r="Y18" s="98">
        <f t="shared" si="7"/>
        <v>0.28400399999999998</v>
      </c>
    </row>
    <row r="19" spans="1:25" x14ac:dyDescent="0.2">
      <c r="A19" s="1" t="s">
        <v>96</v>
      </c>
      <c r="B19" s="7" t="s">
        <v>5</v>
      </c>
      <c r="C19" s="12">
        <v>2.8734860000000002</v>
      </c>
      <c r="D19" s="103">
        <v>4275.5541439999997</v>
      </c>
      <c r="E19" s="103">
        <v>3218.7905139999998</v>
      </c>
      <c r="F19" s="103"/>
      <c r="G19" s="103">
        <v>18394.467782</v>
      </c>
      <c r="H19" s="103">
        <v>1660.26432</v>
      </c>
      <c r="I19" s="103">
        <v>832.4</v>
      </c>
      <c r="K19" s="98">
        <f t="shared" si="0"/>
        <v>0.17498687932410656</v>
      </c>
      <c r="L19" s="98">
        <v>1.9387220000000001</v>
      </c>
      <c r="M19" s="98">
        <v>2.7266819999999998</v>
      </c>
      <c r="N19" s="98">
        <f>Sheet1!K18</f>
        <v>1.0505469999999999</v>
      </c>
      <c r="O19" s="98">
        <f>Sheet1!L18</f>
        <v>9.446631</v>
      </c>
      <c r="P19" s="98">
        <f>Sheet1!M18</f>
        <v>9.4178759999999997</v>
      </c>
      <c r="Q19" s="98">
        <f>Sheet1!N18</f>
        <v>0.53625</v>
      </c>
      <c r="R19" s="98"/>
      <c r="S19" s="98">
        <f t="shared" si="1"/>
        <v>0.17498687932410656</v>
      </c>
      <c r="T19" s="98">
        <f t="shared" si="2"/>
        <v>1.9387220000000001</v>
      </c>
      <c r="U19" s="98">
        <f t="shared" si="3"/>
        <v>2.7266819999999998</v>
      </c>
      <c r="V19" s="98">
        <f t="shared" si="4"/>
        <v>1.0505469999999999</v>
      </c>
      <c r="W19" s="98">
        <f t="shared" si="5"/>
        <v>9.446631</v>
      </c>
      <c r="X19" s="98">
        <f t="shared" si="6"/>
        <v>9.4178759999999997</v>
      </c>
      <c r="Y19" s="98">
        <f t="shared" si="7"/>
        <v>0.53625</v>
      </c>
    </row>
    <row r="20" spans="1:25" x14ac:dyDescent="0.2">
      <c r="A20" s="1" t="s">
        <v>97</v>
      </c>
      <c r="B20" s="7" t="s">
        <v>221</v>
      </c>
      <c r="C20" s="12">
        <v>342.02999899999998</v>
      </c>
      <c r="D20" s="103">
        <v>1236918.622128</v>
      </c>
      <c r="E20" s="103">
        <v>1211262.622128</v>
      </c>
      <c r="F20" s="103"/>
      <c r="G20" s="103">
        <v>97150</v>
      </c>
      <c r="H20" s="103">
        <v>13338</v>
      </c>
      <c r="I20" s="103">
        <v>12743</v>
      </c>
      <c r="K20" s="98">
        <f t="shared" si="0"/>
        <v>12.467963171672672</v>
      </c>
      <c r="L20" s="98">
        <v>90.812911999999997</v>
      </c>
      <c r="M20" s="98">
        <v>147.105006</v>
      </c>
      <c r="N20" s="98">
        <f>Sheet1!K19</f>
        <v>15.575715000000001</v>
      </c>
      <c r="O20" s="98">
        <f>Sheet1!L19</f>
        <v>93.041858000000005</v>
      </c>
      <c r="P20" s="98">
        <f>Sheet1!M19</f>
        <v>329.00860899999998</v>
      </c>
      <c r="Q20" s="98">
        <f>Sheet1!N19</f>
        <v>12.225642000000001</v>
      </c>
      <c r="R20" s="98"/>
      <c r="S20" s="98" t="str">
        <f t="shared" si="1"/>
        <v/>
      </c>
      <c r="T20" s="98" t="str">
        <f t="shared" si="2"/>
        <v/>
      </c>
      <c r="U20" s="98" t="str">
        <f t="shared" si="3"/>
        <v/>
      </c>
      <c r="V20" s="98" t="str">
        <f t="shared" si="4"/>
        <v/>
      </c>
      <c r="W20" s="98" t="str">
        <f t="shared" si="5"/>
        <v/>
      </c>
      <c r="X20" s="98" t="str">
        <f t="shared" si="6"/>
        <v/>
      </c>
      <c r="Y20" s="98" t="str">
        <f t="shared" si="7"/>
        <v/>
      </c>
    </row>
    <row r="21" spans="1:25" x14ac:dyDescent="0.2">
      <c r="A21" s="1" t="s">
        <v>36</v>
      </c>
      <c r="B21" s="7" t="s">
        <v>5</v>
      </c>
      <c r="C21" s="12">
        <v>10.646229</v>
      </c>
      <c r="D21" s="103">
        <v>20857.120122</v>
      </c>
      <c r="E21" s="103">
        <v>23665.867876</v>
      </c>
      <c r="F21" s="103"/>
      <c r="G21" s="103">
        <v>37670.351247999999</v>
      </c>
      <c r="H21" s="103">
        <v>5269.6085800000001</v>
      </c>
      <c r="I21" s="103">
        <v>2366.1999999999998</v>
      </c>
      <c r="K21" s="98">
        <f t="shared" si="0"/>
        <v>0.628235922733969</v>
      </c>
      <c r="L21" s="98">
        <v>4.4910110000000003</v>
      </c>
      <c r="M21" s="98">
        <v>6.2843730000000004</v>
      </c>
      <c r="N21" s="98">
        <f>Sheet1!K20</f>
        <v>1.0790709999999999</v>
      </c>
      <c r="O21" s="98">
        <f>Sheet1!L20</f>
        <v>8.8546250000000004</v>
      </c>
      <c r="P21" s="98">
        <f>Sheet1!M20</f>
        <v>12.816037</v>
      </c>
      <c r="Q21" s="98">
        <f>Sheet1!N20</f>
        <v>0.55623900000000004</v>
      </c>
      <c r="R21" s="98"/>
      <c r="S21" s="98">
        <f t="shared" si="1"/>
        <v>0.628235922733969</v>
      </c>
      <c r="T21" s="98">
        <f t="shared" si="2"/>
        <v>4.4910110000000003</v>
      </c>
      <c r="U21" s="98">
        <f t="shared" si="3"/>
        <v>6.2843730000000004</v>
      </c>
      <c r="V21" s="98">
        <f t="shared" si="4"/>
        <v>1.0790709999999999</v>
      </c>
      <c r="W21" s="98">
        <f t="shared" si="5"/>
        <v>8.8546250000000004</v>
      </c>
      <c r="X21" s="98">
        <f t="shared" si="6"/>
        <v>12.816037</v>
      </c>
      <c r="Y21" s="98">
        <f t="shared" si="7"/>
        <v>0.55623900000000004</v>
      </c>
    </row>
    <row r="22" spans="1:25" x14ac:dyDescent="0.2">
      <c r="A22" s="1" t="s">
        <v>98</v>
      </c>
      <c r="B22" s="7" t="s">
        <v>5</v>
      </c>
      <c r="C22" s="12">
        <v>42.744788999999997</v>
      </c>
      <c r="D22" s="103">
        <v>12479.822166</v>
      </c>
      <c r="E22" s="103">
        <v>46590.503663000003</v>
      </c>
      <c r="F22" s="103"/>
      <c r="G22" s="103">
        <v>56749.435031000001</v>
      </c>
      <c r="H22" s="103">
        <v>7634.7101199999997</v>
      </c>
      <c r="I22" s="103">
        <v>1511.6</v>
      </c>
      <c r="K22" s="98">
        <f t="shared" si="0"/>
        <v>0.82098621136138938</v>
      </c>
      <c r="L22" s="98">
        <v>6.1024589999999996</v>
      </c>
      <c r="M22" s="98">
        <v>10.133927999999999</v>
      </c>
      <c r="N22" s="98">
        <f>Sheet1!K21</f>
        <v>0.37651499999999999</v>
      </c>
      <c r="O22" s="98">
        <f>Sheet1!L21</f>
        <v>7.7215350000000003</v>
      </c>
      <c r="P22" s="98">
        <f>Sheet1!M21</f>
        <v>2.1800799999999998</v>
      </c>
      <c r="Q22" s="98">
        <f>Sheet1!N21</f>
        <v>0.20814299999999999</v>
      </c>
      <c r="R22" s="98"/>
      <c r="S22" s="98">
        <f t="shared" si="1"/>
        <v>0.82098621136138938</v>
      </c>
      <c r="T22" s="98">
        <f t="shared" si="2"/>
        <v>6.1024589999999996</v>
      </c>
      <c r="U22" s="98">
        <f t="shared" si="3"/>
        <v>10.133927999999999</v>
      </c>
      <c r="V22" s="98">
        <f t="shared" si="4"/>
        <v>0.37651499999999999</v>
      </c>
      <c r="W22" s="98">
        <f t="shared" si="5"/>
        <v>7.7215350000000003</v>
      </c>
      <c r="X22" s="98">
        <f t="shared" si="6"/>
        <v>2.1800799999999998</v>
      </c>
      <c r="Y22" s="98">
        <f t="shared" si="7"/>
        <v>0.20814299999999999</v>
      </c>
    </row>
    <row r="23" spans="1:25" x14ac:dyDescent="0.2">
      <c r="A23" s="1" t="s">
        <v>99</v>
      </c>
      <c r="B23" s="7" t="s">
        <v>5</v>
      </c>
      <c r="C23" s="12">
        <v>72.065421999999998</v>
      </c>
      <c r="D23" s="103">
        <v>45066.272809000002</v>
      </c>
      <c r="E23" s="103">
        <v>104199.42656599999</v>
      </c>
      <c r="F23" s="103"/>
      <c r="G23" s="103">
        <v>161436.72969499999</v>
      </c>
      <c r="H23" s="103">
        <v>24600.53299</v>
      </c>
      <c r="I23" s="103">
        <v>8867.9</v>
      </c>
      <c r="K23" s="98">
        <f t="shared" si="0"/>
        <v>0.6454505536804569</v>
      </c>
      <c r="L23" s="98">
        <v>4.2356569999999998</v>
      </c>
      <c r="M23" s="98">
        <v>6.8864710000000002</v>
      </c>
      <c r="N23" s="98">
        <f>Sheet1!K22</f>
        <v>0.43895299999999998</v>
      </c>
      <c r="O23" s="98">
        <f>Sheet1!L22</f>
        <v>5.1122310000000004</v>
      </c>
      <c r="P23" s="98" t="str">
        <f>Sheet1!M22</f>
        <v>-</v>
      </c>
      <c r="Q23" s="98">
        <f>Sheet1!N22</f>
        <v>0.27531</v>
      </c>
      <c r="R23" s="98"/>
      <c r="S23" s="98">
        <f t="shared" si="1"/>
        <v>0.6454505536804569</v>
      </c>
      <c r="T23" s="98">
        <f t="shared" si="2"/>
        <v>4.2356569999999998</v>
      </c>
      <c r="U23" s="98">
        <f t="shared" si="3"/>
        <v>6.8864710000000002</v>
      </c>
      <c r="V23" s="98">
        <f t="shared" si="4"/>
        <v>0.43895299999999998</v>
      </c>
      <c r="W23" s="98">
        <f t="shared" si="5"/>
        <v>5.1122310000000004</v>
      </c>
      <c r="X23" s="98" t="str">
        <f t="shared" si="6"/>
        <v>-</v>
      </c>
      <c r="Y23" s="98">
        <f t="shared" si="7"/>
        <v>0.27531</v>
      </c>
    </row>
    <row r="24" spans="1:25" x14ac:dyDescent="0.2">
      <c r="A24" s="1" t="s">
        <v>100</v>
      </c>
      <c r="B24" s="7" t="s">
        <v>5</v>
      </c>
      <c r="C24" s="12">
        <v>61.376598000000001</v>
      </c>
      <c r="D24" s="103">
        <v>55796.524621999997</v>
      </c>
      <c r="E24" s="103">
        <v>65040.693539</v>
      </c>
      <c r="F24" s="103"/>
      <c r="G24" s="103">
        <v>42233.353896000001</v>
      </c>
      <c r="H24" s="103">
        <v>10291.141670000001</v>
      </c>
      <c r="I24" s="103">
        <v>4316.3</v>
      </c>
      <c r="K24" s="98">
        <f t="shared" si="0"/>
        <v>1.5400314571076517</v>
      </c>
      <c r="L24" s="98">
        <v>6.3200659999999997</v>
      </c>
      <c r="M24" s="98">
        <v>10.872025000000001</v>
      </c>
      <c r="N24" s="98">
        <f>Sheet1!K23</f>
        <v>2.1924239999999999</v>
      </c>
      <c r="O24" s="98">
        <f>Sheet1!L23</f>
        <v>12.647239000000001</v>
      </c>
      <c r="P24" s="98">
        <f>Sheet1!M23</f>
        <v>32.35257</v>
      </c>
      <c r="Q24" s="98">
        <f>Sheet1!N23</f>
        <v>1.294535</v>
      </c>
      <c r="R24" s="98"/>
      <c r="S24" s="98">
        <f t="shared" si="1"/>
        <v>1.5400314571076517</v>
      </c>
      <c r="T24" s="98">
        <f t="shared" si="2"/>
        <v>6.3200659999999997</v>
      </c>
      <c r="U24" s="98">
        <f t="shared" si="3"/>
        <v>10.872025000000001</v>
      </c>
      <c r="V24" s="98">
        <f t="shared" si="4"/>
        <v>2.1924239999999999</v>
      </c>
      <c r="W24" s="98">
        <f t="shared" si="5"/>
        <v>12.647239000000001</v>
      </c>
      <c r="X24" s="98">
        <f t="shared" si="6"/>
        <v>32.35257</v>
      </c>
      <c r="Y24" s="98">
        <f t="shared" si="7"/>
        <v>1.294535</v>
      </c>
    </row>
    <row r="25" spans="1:25" x14ac:dyDescent="0.2">
      <c r="A25" s="1" t="s">
        <v>222</v>
      </c>
      <c r="B25" s="7" t="s">
        <v>5</v>
      </c>
      <c r="C25" s="12">
        <v>2.5879729999999999</v>
      </c>
      <c r="D25" s="103">
        <v>125.76212099999999</v>
      </c>
      <c r="E25" s="103">
        <v>53.150286999999999</v>
      </c>
      <c r="F25" s="103"/>
      <c r="G25" s="103">
        <v>141.78989300000001</v>
      </c>
      <c r="H25" s="103">
        <v>4.3262099999999997</v>
      </c>
      <c r="I25" s="103">
        <v>5.9</v>
      </c>
      <c r="K25" s="98">
        <f t="shared" si="0"/>
        <v>0.37485243747239444</v>
      </c>
      <c r="L25" s="98">
        <v>12.285647000000001</v>
      </c>
      <c r="M25" s="98">
        <v>19.577254</v>
      </c>
      <c r="N25" s="98">
        <f>Sheet1!K24</f>
        <v>0.49732900000000002</v>
      </c>
      <c r="O25" s="98">
        <f>Sheet1!L24</f>
        <v>7.2567839999999997</v>
      </c>
      <c r="P25" s="98">
        <f>Sheet1!M24</f>
        <v>6.1836739999999999</v>
      </c>
      <c r="Q25" s="98">
        <f>Sheet1!N24</f>
        <v>0.50759799999999999</v>
      </c>
      <c r="R25" s="98"/>
      <c r="S25" s="98">
        <f t="shared" si="1"/>
        <v>0.37485243747239444</v>
      </c>
      <c r="T25" s="98">
        <f t="shared" si="2"/>
        <v>12.285647000000001</v>
      </c>
      <c r="U25" s="98">
        <f t="shared" si="3"/>
        <v>19.577254</v>
      </c>
      <c r="V25" s="98">
        <f t="shared" si="4"/>
        <v>0.49732900000000002</v>
      </c>
      <c r="W25" s="98">
        <f t="shared" si="5"/>
        <v>7.2567839999999997</v>
      </c>
      <c r="X25" s="98">
        <f t="shared" si="6"/>
        <v>6.1836739999999999</v>
      </c>
      <c r="Y25" s="98">
        <f t="shared" si="7"/>
        <v>0.50759799999999999</v>
      </c>
    </row>
    <row r="26" spans="1:25" x14ac:dyDescent="0.2">
      <c r="A26" s="1" t="s">
        <v>101</v>
      </c>
      <c r="B26" s="7" t="s">
        <v>5</v>
      </c>
      <c r="C26" s="12">
        <v>30.696235999999999</v>
      </c>
      <c r="D26" s="103">
        <v>426.96493600000002</v>
      </c>
      <c r="E26" s="103">
        <v>101.096761</v>
      </c>
      <c r="F26" s="103"/>
      <c r="G26" s="103">
        <v>719.62454700000001</v>
      </c>
      <c r="H26" s="103">
        <v>97.143870000000007</v>
      </c>
      <c r="I26" s="103">
        <v>52.1</v>
      </c>
      <c r="K26" s="98">
        <f t="shared" si="0"/>
        <v>0.14048542593697821</v>
      </c>
      <c r="L26" s="98">
        <v>1.040691</v>
      </c>
      <c r="M26" s="98">
        <v>1.3399589999999999</v>
      </c>
      <c r="N26" s="98">
        <f>Sheet1!K25</f>
        <v>1.7377180000000001</v>
      </c>
      <c r="O26" s="98">
        <f>Sheet1!L25</f>
        <v>12.784357</v>
      </c>
      <c r="P26" s="98">
        <f>Sheet1!M25</f>
        <v>97.242739</v>
      </c>
      <c r="Q26" s="98">
        <f>Sheet1!N25</f>
        <v>1.099834</v>
      </c>
      <c r="R26" s="98"/>
      <c r="S26" s="98">
        <f t="shared" si="1"/>
        <v>0.14048542593697821</v>
      </c>
      <c r="T26" s="98">
        <f t="shared" si="2"/>
        <v>1.040691</v>
      </c>
      <c r="U26" s="98">
        <f t="shared" si="3"/>
        <v>1.3399589999999999</v>
      </c>
      <c r="V26" s="98">
        <f t="shared" si="4"/>
        <v>1.7377180000000001</v>
      </c>
      <c r="W26" s="98">
        <f t="shared" si="5"/>
        <v>12.784357</v>
      </c>
      <c r="X26" s="98">
        <f t="shared" si="6"/>
        <v>97.242739</v>
      </c>
      <c r="Y26" s="98">
        <f t="shared" si="7"/>
        <v>1.099834</v>
      </c>
    </row>
    <row r="27" spans="1:25" x14ac:dyDescent="0.2">
      <c r="B27" s="7"/>
      <c r="C27" s="84"/>
      <c r="D27" s="99"/>
      <c r="E27" s="99"/>
      <c r="F27" s="99"/>
      <c r="G27" s="99"/>
      <c r="H27" s="99"/>
      <c r="I27" s="99"/>
      <c r="K27" s="85"/>
      <c r="L27" s="85"/>
      <c r="M27" s="85"/>
      <c r="N27" s="85"/>
      <c r="O27" s="85"/>
      <c r="P27" s="85"/>
      <c r="Q27" s="85"/>
      <c r="R27" s="85"/>
      <c r="S27" s="98"/>
      <c r="T27" s="98"/>
      <c r="U27" s="98"/>
      <c r="V27" s="98"/>
      <c r="W27" s="98"/>
      <c r="X27" s="98"/>
      <c r="Y27" s="98"/>
    </row>
    <row r="28" spans="1:25" x14ac:dyDescent="0.2">
      <c r="A28" s="108" t="s">
        <v>16</v>
      </c>
      <c r="B28" s="101"/>
      <c r="C28" s="100"/>
      <c r="D28" s="100"/>
      <c r="E28" s="100"/>
      <c r="F28" s="100"/>
      <c r="G28" s="100"/>
      <c r="H28" s="100"/>
      <c r="I28" s="100"/>
      <c r="J28" s="100"/>
      <c r="K28" s="109">
        <f t="shared" ref="K28:Q28" si="8">MEDIAN(K7:K26)</f>
        <v>0.58089688470866629</v>
      </c>
      <c r="L28" s="109">
        <f t="shared" si="8"/>
        <v>4.0593859999999999</v>
      </c>
      <c r="M28" s="109">
        <f t="shared" si="8"/>
        <v>7.3676180000000002</v>
      </c>
      <c r="N28" s="109">
        <f t="shared" si="8"/>
        <v>0.66882200000000003</v>
      </c>
      <c r="O28" s="109">
        <f t="shared" si="8"/>
        <v>7.4891594999999995</v>
      </c>
      <c r="P28" s="109">
        <f t="shared" si="8"/>
        <v>8.0959500000000002</v>
      </c>
      <c r="Q28" s="109">
        <f t="shared" si="8"/>
        <v>0.3482055</v>
      </c>
      <c r="R28" s="109"/>
      <c r="S28" s="109">
        <f t="shared" ref="S28:Y28" si="9">MEDIAN(S7:S26)</f>
        <v>0.53899185069817734</v>
      </c>
      <c r="T28" s="109">
        <f t="shared" si="9"/>
        <v>3.8831150000000001</v>
      </c>
      <c r="U28" s="109">
        <f t="shared" si="9"/>
        <v>6.8864710000000002</v>
      </c>
      <c r="V28" s="109">
        <f t="shared" si="9"/>
        <v>0.65295700000000001</v>
      </c>
      <c r="W28" s="109">
        <f t="shared" si="9"/>
        <v>7.2567839999999997</v>
      </c>
      <c r="X28" s="109">
        <f t="shared" si="9"/>
        <v>6.7740239999999998</v>
      </c>
      <c r="Y28" s="109">
        <f t="shared" si="9"/>
        <v>0.34465200000000001</v>
      </c>
    </row>
    <row r="29" spans="1:25" x14ac:dyDescent="0.2">
      <c r="A29" s="108" t="s">
        <v>6</v>
      </c>
      <c r="B29" s="101"/>
      <c r="C29" s="100"/>
      <c r="D29" s="100"/>
      <c r="E29" s="100"/>
      <c r="F29" s="100"/>
      <c r="G29" s="100"/>
      <c r="H29" s="100"/>
      <c r="I29" s="100"/>
      <c r="J29" s="100"/>
      <c r="K29" s="109">
        <f t="shared" ref="K29:Q29" si="10">AVERAGE(K7:K26)</f>
        <v>1.094644932828672</v>
      </c>
      <c r="L29" s="109">
        <f t="shared" si="10"/>
        <v>8.7357378500000014</v>
      </c>
      <c r="M29" s="109">
        <f t="shared" si="10"/>
        <v>16.057031000000002</v>
      </c>
      <c r="N29" s="109">
        <f t="shared" si="10"/>
        <v>1.59801865</v>
      </c>
      <c r="O29" s="109">
        <f t="shared" si="10"/>
        <v>11.520709</v>
      </c>
      <c r="P29" s="109">
        <f t="shared" si="10"/>
        <v>102.83498678571429</v>
      </c>
      <c r="Q29" s="109">
        <f t="shared" si="10"/>
        <v>1.0206518500000004</v>
      </c>
      <c r="R29" s="109"/>
      <c r="S29" s="109">
        <f t="shared" ref="S29:Y29" si="11">AVERAGE(S7:S26)</f>
        <v>0.49604923604740875</v>
      </c>
      <c r="T29" s="109">
        <f t="shared" si="11"/>
        <v>4.4158865789473678</v>
      </c>
      <c r="U29" s="109">
        <f t="shared" si="11"/>
        <v>9.159769157894738</v>
      </c>
      <c r="V29" s="109">
        <f t="shared" si="11"/>
        <v>0.86235042105263149</v>
      </c>
      <c r="W29" s="109">
        <f t="shared" si="11"/>
        <v>7.2301222105263152</v>
      </c>
      <c r="X29" s="109">
        <f t="shared" si="11"/>
        <v>85.437015846153841</v>
      </c>
      <c r="Y29" s="109">
        <f t="shared" si="11"/>
        <v>0.43091552631578939</v>
      </c>
    </row>
    <row r="30" spans="1:25" x14ac:dyDescent="0.2">
      <c r="B30"/>
      <c r="S30" s="7"/>
      <c r="T30" s="7"/>
      <c r="U30" s="7"/>
      <c r="V30" s="7"/>
      <c r="W30" s="7"/>
      <c r="X30" s="7"/>
      <c r="Y30" s="7"/>
    </row>
    <row r="31" spans="1:25" x14ac:dyDescent="0.2">
      <c r="A31" s="73" t="s">
        <v>43</v>
      </c>
      <c r="B31" s="73" t="s">
        <v>220</v>
      </c>
      <c r="I31" s="85"/>
      <c r="K31" s="85"/>
      <c r="L31" s="85"/>
      <c r="M31" s="85"/>
      <c r="N31" s="85"/>
    </row>
    <row r="32" spans="1:25" x14ac:dyDescent="0.2">
      <c r="A32" s="7"/>
      <c r="B32" s="7"/>
      <c r="K32" s="85"/>
      <c r="L32" s="85"/>
      <c r="M32" s="85"/>
      <c r="N32" s="85"/>
    </row>
    <row r="33" spans="1:2" x14ac:dyDescent="0.2">
      <c r="A33" s="73" t="s">
        <v>44</v>
      </c>
      <c r="B33" s="73" t="s">
        <v>16</v>
      </c>
    </row>
    <row r="34" spans="1:2" x14ac:dyDescent="0.2">
      <c r="A34" s="7"/>
      <c r="B34" s="7"/>
    </row>
    <row r="35" spans="1:2" x14ac:dyDescent="0.2">
      <c r="A35" s="73" t="str">
        <f>B31 &amp; " " &amp; "Using" &amp;  " "  &amp; B33</f>
        <v>P/E Using Median</v>
      </c>
      <c r="B35" s="74">
        <f>IF(B33="Average",AVERAGE(INDEX(S6:Y26,0,MATCH(B31,S5:Y5,0))),MEDIAN(INDEX(S6:Y26,0,MATCH(B31,S5:Y5,0))))</f>
        <v>7.2567839999999997</v>
      </c>
    </row>
    <row r="36" spans="1:2" x14ac:dyDescent="0.2">
      <c r="A36" s="7"/>
      <c r="B36" s="7"/>
    </row>
    <row r="37" spans="1:2" x14ac:dyDescent="0.2">
      <c r="A37" s="7" t="s">
        <v>45</v>
      </c>
      <c r="B37" s="104">
        <v>76694</v>
      </c>
    </row>
    <row r="38" spans="1:2" x14ac:dyDescent="0.2">
      <c r="A38" s="7" t="s">
        <v>46</v>
      </c>
      <c r="B38" s="104">
        <v>11085</v>
      </c>
    </row>
    <row r="39" spans="1:2" x14ac:dyDescent="0.2">
      <c r="A39" s="7" t="s">
        <v>47</v>
      </c>
      <c r="B39" s="104">
        <v>9295</v>
      </c>
    </row>
    <row r="40" spans="1:2" x14ac:dyDescent="0.2">
      <c r="A40" s="7"/>
      <c r="B40" s="7"/>
    </row>
    <row r="41" spans="1:2" x14ac:dyDescent="0.2">
      <c r="A41" s="73" t="s">
        <v>206</v>
      </c>
      <c r="B41" s="76" t="b">
        <f>IF(B31="EV/Sales",B35*B37,IF(B31="EV/EBITDA",B35*B38,IF(B31="EV/EBIT",B35*B39)))</f>
        <v>0</v>
      </c>
    </row>
    <row r="42" spans="1:2" x14ac:dyDescent="0.2">
      <c r="A42" s="7"/>
      <c r="B42" s="7"/>
    </row>
    <row r="43" spans="1:2" x14ac:dyDescent="0.2">
      <c r="A43" s="75" t="s">
        <v>49</v>
      </c>
      <c r="B43" s="8">
        <v>-13067</v>
      </c>
    </row>
    <row r="44" spans="1:2" x14ac:dyDescent="0.2">
      <c r="A44" s="75" t="s">
        <v>50</v>
      </c>
      <c r="B44" s="7">
        <v>0</v>
      </c>
    </row>
    <row r="45" spans="1:2" x14ac:dyDescent="0.2">
      <c r="A45" s="75" t="s">
        <v>51</v>
      </c>
      <c r="B45" s="7">
        <v>5</v>
      </c>
    </row>
    <row r="46" spans="1:2" x14ac:dyDescent="0.2">
      <c r="A46" s="75"/>
      <c r="B46" s="7"/>
    </row>
    <row r="47" spans="1:2" x14ac:dyDescent="0.2">
      <c r="A47" s="75"/>
      <c r="B47" s="7"/>
    </row>
    <row r="48" spans="1:2" x14ac:dyDescent="0.2">
      <c r="A48" s="73" t="s">
        <v>52</v>
      </c>
      <c r="B48" s="110">
        <f>B41-B43-B44+B45</f>
        <v>13072</v>
      </c>
    </row>
    <row r="49" spans="1:2" x14ac:dyDescent="0.2">
      <c r="A49" s="7"/>
      <c r="B49" s="7"/>
    </row>
    <row r="50" spans="1:2" x14ac:dyDescent="0.2">
      <c r="A50" s="73" t="s">
        <v>217</v>
      </c>
      <c r="B50" s="73">
        <v>399.86</v>
      </c>
    </row>
    <row r="51" spans="1:2" x14ac:dyDescent="0.2">
      <c r="A51" s="7"/>
      <c r="B51" s="7"/>
    </row>
    <row r="52" spans="1:2" x14ac:dyDescent="0.2">
      <c r="A52" s="105" t="s">
        <v>54</v>
      </c>
      <c r="B52" s="106">
        <f>B48/B50</f>
        <v>32.691442004701642</v>
      </c>
    </row>
  </sheetData>
  <mergeCells count="1">
    <mergeCell ref="S4:Y4"/>
  </mergeCells>
  <dataValidations count="4">
    <dataValidation type="list" allowBlank="1" showInputMessage="1" showErrorMessage="1" sqref="B7:B26" xr:uid="{9CC9D534-2E28-4489-B94D-A1B2878A1FA7}">
      <formula1>$AL$5:$AL$6</formula1>
    </dataValidation>
    <dataValidation type="list" allowBlank="1" showInputMessage="1" showErrorMessage="1" sqref="B33" xr:uid="{CEC482E3-B66F-44E9-981E-FC125B082725}">
      <formula1>$AM$5:$AM$6</formula1>
    </dataValidation>
    <dataValidation type="list" allowBlank="1" showInputMessage="1" showErrorMessage="1" sqref="B31" xr:uid="{36F68073-A3D4-4B25-9ACB-E00421EF3C7E}">
      <formula1>$K$5:$Q$5</formula1>
    </dataValidation>
    <dataValidation type="list" allowBlank="1" showInputMessage="1" showErrorMessage="1" sqref="B27" xr:uid="{814525AF-41B1-4E72-B16B-639273AF56B0}">
      <formula1>$AC$4:$AC$5</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ED880-17CF-CF44-ADBA-45C8DADC8CD3}">
  <sheetPr codeName="Sheet8"/>
  <dimension ref="A2:AM52"/>
  <sheetViews>
    <sheetView showGridLines="0" topLeftCell="A11" zoomScale="55" zoomScaleNormal="74" workbookViewId="0">
      <selection activeCell="I45" sqref="I45"/>
    </sheetView>
  </sheetViews>
  <sheetFormatPr baseColWidth="10" defaultColWidth="8.83203125" defaultRowHeight="16" x14ac:dyDescent="0.2"/>
  <cols>
    <col min="1" max="1" width="48.5" style="1" customWidth="1"/>
    <col min="2" max="2" width="22.1640625" customWidth="1"/>
    <col min="3" max="3" width="14.1640625" style="1" customWidth="1"/>
    <col min="4" max="4" width="14.6640625" style="1" bestFit="1" customWidth="1"/>
    <col min="5" max="5" width="14.83203125" style="1" bestFit="1" customWidth="1"/>
    <col min="6" max="6" width="4.5" style="1" customWidth="1"/>
    <col min="7" max="7" width="14" style="1" bestFit="1" customWidth="1"/>
    <col min="8" max="8" width="14.83203125" style="1" bestFit="1" customWidth="1"/>
    <col min="9" max="9" width="12.83203125" style="1" bestFit="1" customWidth="1"/>
    <col min="10" max="10" width="5.5" style="1" customWidth="1"/>
    <col min="11" max="11" width="9.5" style="1" bestFit="1" customWidth="1"/>
    <col min="12" max="12" width="21.5" style="1" bestFit="1" customWidth="1"/>
    <col min="13" max="13" width="12.5" style="1" bestFit="1" customWidth="1"/>
    <col min="14" max="14" width="12.5" style="1" customWidth="1"/>
    <col min="15" max="15" width="10.6640625" style="1" customWidth="1"/>
    <col min="16" max="16" width="13.5" style="1" customWidth="1"/>
    <col min="17" max="18" width="8.83203125" style="1" customWidth="1"/>
    <col min="19" max="19" width="8.83203125" style="1"/>
    <col min="20" max="20" width="21.5" style="1" customWidth="1"/>
    <col min="21" max="21" width="8.83203125" style="1"/>
    <col min="22" max="22" width="12.5" style="1" customWidth="1"/>
    <col min="23" max="23" width="12.83203125" style="1" bestFit="1" customWidth="1"/>
    <col min="24" max="24" width="13.5" style="1" customWidth="1"/>
    <col min="25" max="25" width="12.5" style="1" customWidth="1"/>
    <col min="26" max="26" width="11.83203125" style="1" customWidth="1"/>
    <col min="27" max="16384" width="8.83203125" style="1"/>
  </cols>
  <sheetData>
    <row r="2" spans="1:39" x14ac:dyDescent="0.2">
      <c r="A2" s="4" t="s">
        <v>66</v>
      </c>
      <c r="B2" s="69"/>
      <c r="C2" s="2"/>
      <c r="D2" s="2"/>
      <c r="E2" s="2"/>
      <c r="F2" s="2"/>
      <c r="G2" s="2"/>
      <c r="H2" s="2"/>
      <c r="I2" s="2"/>
      <c r="J2" s="2"/>
      <c r="K2" s="2"/>
      <c r="L2" s="69"/>
      <c r="M2" s="69"/>
      <c r="N2" s="69"/>
      <c r="O2" s="69"/>
      <c r="P2" s="69"/>
      <c r="Q2" s="69"/>
      <c r="R2" s="69"/>
      <c r="S2" s="69"/>
      <c r="T2" s="69"/>
      <c r="U2" s="69"/>
      <c r="V2" s="69"/>
      <c r="W2" s="69"/>
    </row>
    <row r="3" spans="1:39" x14ac:dyDescent="0.2">
      <c r="B3" s="1"/>
      <c r="L3" s="1" t="s">
        <v>218</v>
      </c>
      <c r="M3" s="79">
        <v>399858417</v>
      </c>
      <c r="N3" s="79"/>
    </row>
    <row r="4" spans="1:39" x14ac:dyDescent="0.2">
      <c r="A4" s="81"/>
      <c r="B4" s="71" t="s">
        <v>67</v>
      </c>
      <c r="C4" s="70"/>
      <c r="D4" s="88" t="s">
        <v>68</v>
      </c>
      <c r="E4" s="70"/>
      <c r="F4" s="81"/>
      <c r="G4" s="70"/>
      <c r="H4" s="88" t="s">
        <v>69</v>
      </c>
      <c r="I4" s="70"/>
      <c r="J4" s="81"/>
      <c r="K4" s="70"/>
      <c r="L4" s="88"/>
      <c r="M4" s="82"/>
      <c r="N4" s="88" t="s">
        <v>2</v>
      </c>
      <c r="O4" s="87"/>
      <c r="P4" s="87"/>
      <c r="Q4" s="87"/>
      <c r="R4" s="69"/>
      <c r="S4" s="281" t="s">
        <v>4</v>
      </c>
      <c r="T4" s="281"/>
      <c r="U4" s="281"/>
      <c r="V4" s="281"/>
      <c r="W4" s="281"/>
      <c r="X4" s="281"/>
      <c r="Y4" s="281"/>
    </row>
    <row r="5" spans="1:39" x14ac:dyDescent="0.2">
      <c r="A5" s="81"/>
      <c r="B5" s="69"/>
      <c r="C5" s="81" t="s">
        <v>70</v>
      </c>
      <c r="D5" s="81" t="s">
        <v>71</v>
      </c>
      <c r="E5" s="81" t="s">
        <v>72</v>
      </c>
      <c r="F5" s="81"/>
      <c r="G5" s="81" t="s">
        <v>73</v>
      </c>
      <c r="H5" s="81" t="s">
        <v>74</v>
      </c>
      <c r="I5" s="81" t="s">
        <v>75</v>
      </c>
      <c r="J5" s="81"/>
      <c r="K5" s="81" t="s">
        <v>76</v>
      </c>
      <c r="L5" s="81" t="s">
        <v>77</v>
      </c>
      <c r="M5" s="81" t="s">
        <v>78</v>
      </c>
      <c r="N5" s="9" t="s">
        <v>219</v>
      </c>
      <c r="O5" s="9" t="s">
        <v>220</v>
      </c>
      <c r="P5" s="9" t="s">
        <v>81</v>
      </c>
      <c r="Q5" s="9" t="s">
        <v>82</v>
      </c>
      <c r="R5" s="102"/>
      <c r="S5" s="81" t="s">
        <v>76</v>
      </c>
      <c r="T5" s="81" t="s">
        <v>77</v>
      </c>
      <c r="U5" s="81" t="s">
        <v>78</v>
      </c>
      <c r="V5" s="9" t="s">
        <v>219</v>
      </c>
      <c r="W5" s="9" t="s">
        <v>220</v>
      </c>
      <c r="X5" s="9" t="s">
        <v>81</v>
      </c>
      <c r="Y5" s="9" t="s">
        <v>82</v>
      </c>
      <c r="AL5" s="1" t="s">
        <v>5</v>
      </c>
      <c r="AM5" s="1" t="s">
        <v>6</v>
      </c>
    </row>
    <row r="6" spans="1:39" x14ac:dyDescent="0.2">
      <c r="A6" s="81" t="s">
        <v>83</v>
      </c>
      <c r="B6" s="69"/>
      <c r="C6" s="83" t="s">
        <v>84</v>
      </c>
      <c r="D6" s="83" t="s">
        <v>85</v>
      </c>
      <c r="E6" s="83" t="s">
        <v>85</v>
      </c>
      <c r="F6" s="83"/>
      <c r="G6" s="83" t="s">
        <v>85</v>
      </c>
      <c r="H6" s="83" t="s">
        <v>85</v>
      </c>
      <c r="I6" s="83" t="s">
        <v>85</v>
      </c>
      <c r="J6" s="83"/>
      <c r="K6" s="83"/>
      <c r="L6" s="83"/>
      <c r="M6" s="83"/>
      <c r="N6" s="83"/>
      <c r="O6" s="69"/>
      <c r="P6" s="69"/>
      <c r="Q6" s="69"/>
      <c r="R6" s="69"/>
      <c r="S6" s="81"/>
      <c r="T6" s="81"/>
      <c r="U6" s="81"/>
      <c r="V6" s="9"/>
      <c r="W6" s="9"/>
      <c r="X6" s="9"/>
      <c r="Y6" s="9"/>
      <c r="AL6" s="1" t="s">
        <v>221</v>
      </c>
      <c r="AM6" s="1" t="s">
        <v>16</v>
      </c>
    </row>
    <row r="7" spans="1:39" x14ac:dyDescent="0.2">
      <c r="A7" s="1" t="s">
        <v>86</v>
      </c>
      <c r="B7" s="7" t="s">
        <v>5</v>
      </c>
      <c r="C7" s="12">
        <v>70.522262999999995</v>
      </c>
      <c r="D7" s="103">
        <v>27478.960738999998</v>
      </c>
      <c r="E7" s="103">
        <v>-4077.0848350000001</v>
      </c>
      <c r="F7" s="103"/>
      <c r="G7" s="103">
        <v>77792.925231000001</v>
      </c>
      <c r="H7" s="103">
        <v>11044.40942</v>
      </c>
      <c r="I7" s="103">
        <v>7175.8</v>
      </c>
      <c r="K7" s="98">
        <f>E7/G7</f>
        <v>-5.240945526721634E-2</v>
      </c>
      <c r="L7" s="98">
        <v>-0.36915399999999998</v>
      </c>
      <c r="M7" s="98">
        <v>-0.44157200000000002</v>
      </c>
      <c r="N7" s="98">
        <f>Sheet1!K6</f>
        <v>0.68468700000000005</v>
      </c>
      <c r="O7" s="98">
        <f>Sheet1!L6</f>
        <v>3.8269510000000002</v>
      </c>
      <c r="P7" s="98">
        <f>Sheet1!M6</f>
        <v>5.2349389999999998</v>
      </c>
      <c r="Q7" s="98">
        <f>Sheet1!N6</f>
        <v>0.35175899999999999</v>
      </c>
      <c r="R7" s="98"/>
      <c r="S7" s="98">
        <f t="shared" ref="S7:S26" si="0">IF($B7="Yes",K7,"")</f>
        <v>-5.240945526721634E-2</v>
      </c>
      <c r="T7" s="98">
        <f>IF($B7="Yes",L7,"")</f>
        <v>-0.36915399999999998</v>
      </c>
      <c r="U7" s="98">
        <f t="shared" ref="U7:U26" si="1">IF($B7="Yes",M7,"")</f>
        <v>-0.44157200000000002</v>
      </c>
      <c r="V7" s="98">
        <f>IF($B7="Yes",N7,"")</f>
        <v>0.68468700000000005</v>
      </c>
      <c r="W7" s="98">
        <f t="shared" ref="W7:W26" si="2">IF($B7="Yes",O7,"")</f>
        <v>3.8269510000000002</v>
      </c>
      <c r="X7" s="98">
        <f t="shared" ref="X7:X26" si="3">IF($B7="Yes",P7,"")</f>
        <v>5.2349389999999998</v>
      </c>
      <c r="Y7" s="98">
        <f t="shared" ref="Y7:Y26" si="4">IF($B7="Yes",Q7,"")</f>
        <v>0.35175899999999999</v>
      </c>
    </row>
    <row r="8" spans="1:39" x14ac:dyDescent="0.2">
      <c r="A8" s="1" t="s">
        <v>87</v>
      </c>
      <c r="B8" s="7" t="s">
        <v>5</v>
      </c>
      <c r="C8" s="12">
        <v>12.843427</v>
      </c>
      <c r="D8" s="103">
        <v>38524.963294000001</v>
      </c>
      <c r="E8" s="103">
        <v>20350.198108000001</v>
      </c>
      <c r="F8" s="103"/>
      <c r="G8" s="103">
        <v>190508.777868</v>
      </c>
      <c r="H8" s="103">
        <v>26413.869640000001</v>
      </c>
      <c r="I8" s="103">
        <v>14377.4</v>
      </c>
      <c r="K8" s="98">
        <f>E8/G8</f>
        <v>0.10682026484942481</v>
      </c>
      <c r="L8" s="98">
        <v>0.77043600000000001</v>
      </c>
      <c r="M8" s="98">
        <v>1.1056859999999999</v>
      </c>
      <c r="N8" s="98">
        <f>Sheet1!K7</f>
        <v>0.42960999999999999</v>
      </c>
      <c r="O8" s="98">
        <f>Sheet1!L7</f>
        <v>2.7099730000000002</v>
      </c>
      <c r="P8" s="98">
        <f>Sheet1!M7</f>
        <v>14.131588000000001</v>
      </c>
      <c r="Q8" s="98">
        <f>Sheet1!N7</f>
        <v>0.20307900000000001</v>
      </c>
      <c r="R8" s="98"/>
      <c r="S8" s="98">
        <f t="shared" si="0"/>
        <v>0.10682026484942481</v>
      </c>
      <c r="T8" s="98">
        <f t="shared" ref="T8:T26" si="5">IF($B8="Yes",L8,"")</f>
        <v>0.77043600000000001</v>
      </c>
      <c r="U8" s="98">
        <f t="shared" si="1"/>
        <v>1.1056859999999999</v>
      </c>
      <c r="V8" s="98">
        <f t="shared" ref="V8:V26" si="6">IF($B8="Yes",N8,"")</f>
        <v>0.42960999999999999</v>
      </c>
      <c r="W8" s="98">
        <f t="shared" si="2"/>
        <v>2.7099730000000002</v>
      </c>
      <c r="X8" s="98">
        <f t="shared" si="3"/>
        <v>14.131588000000001</v>
      </c>
      <c r="Y8" s="98">
        <f t="shared" si="4"/>
        <v>0.20307900000000001</v>
      </c>
    </row>
    <row r="9" spans="1:39" x14ac:dyDescent="0.2">
      <c r="A9" s="1" t="s">
        <v>88</v>
      </c>
      <c r="B9" s="7" t="s">
        <v>5</v>
      </c>
      <c r="C9" s="12">
        <v>4.2629669999999997</v>
      </c>
      <c r="D9" s="103">
        <v>85.419619999999995</v>
      </c>
      <c r="E9" s="103">
        <v>-156.07834600000001</v>
      </c>
      <c r="F9" s="103"/>
      <c r="G9" s="103">
        <v>630.44802600000003</v>
      </c>
      <c r="H9" s="103">
        <v>43.638959999999997</v>
      </c>
      <c r="I9" s="103">
        <v>30.2</v>
      </c>
      <c r="J9" s="86"/>
      <c r="K9" s="98">
        <f t="shared" ref="K9:K26" si="7">E9/G9</f>
        <v>-0.24756734824005938</v>
      </c>
      <c r="L9" s="98">
        <v>-3.5765829999999998</v>
      </c>
      <c r="M9" s="98">
        <v>-5.2752270000000001</v>
      </c>
      <c r="N9" s="98">
        <f>Sheet1!K8</f>
        <v>0.23741000000000001</v>
      </c>
      <c r="O9" s="98">
        <f>Sheet1!L8</f>
        <v>2.8156970000000001</v>
      </c>
      <c r="P9" s="98">
        <f>Sheet1!M8</f>
        <v>1.6692119999999999</v>
      </c>
      <c r="Q9" s="98">
        <f>Sheet1!N8</f>
        <v>0.13508800000000001</v>
      </c>
      <c r="R9" s="98"/>
      <c r="S9" s="98">
        <f t="shared" si="0"/>
        <v>-0.24756734824005938</v>
      </c>
      <c r="T9" s="98">
        <f t="shared" si="5"/>
        <v>-3.5765829999999998</v>
      </c>
      <c r="U9" s="98">
        <f t="shared" si="1"/>
        <v>-5.2752270000000001</v>
      </c>
      <c r="V9" s="98">
        <f t="shared" si="6"/>
        <v>0.23741000000000001</v>
      </c>
      <c r="W9" s="98">
        <f t="shared" si="2"/>
        <v>2.8156970000000001</v>
      </c>
      <c r="X9" s="98">
        <f t="shared" si="3"/>
        <v>1.6692119999999999</v>
      </c>
      <c r="Y9" s="98">
        <f t="shared" si="4"/>
        <v>0.13508800000000001</v>
      </c>
    </row>
    <row r="10" spans="1:39" x14ac:dyDescent="0.2">
      <c r="A10" s="1" t="s">
        <v>89</v>
      </c>
      <c r="B10" s="7" t="s">
        <v>5</v>
      </c>
      <c r="C10" s="12">
        <v>15.980589999999999</v>
      </c>
      <c r="D10" s="103">
        <v>11678.808265</v>
      </c>
      <c r="E10" s="103">
        <v>7971.2488430000003</v>
      </c>
      <c r="F10" s="103"/>
      <c r="G10" s="103">
        <v>31624.287984999999</v>
      </c>
      <c r="H10" s="103">
        <v>4931.4578099999999</v>
      </c>
      <c r="I10" s="103">
        <v>2641.1</v>
      </c>
      <c r="J10" s="86"/>
      <c r="K10" s="98">
        <f t="shared" si="7"/>
        <v>0.25206097436188651</v>
      </c>
      <c r="L10" s="98">
        <v>1.6164080000000001</v>
      </c>
      <c r="M10" s="98">
        <v>2.3048380000000002</v>
      </c>
      <c r="N10" s="98">
        <f>Sheet1!K9</f>
        <v>0.65295700000000001</v>
      </c>
      <c r="O10" s="98">
        <f>Sheet1!L9</f>
        <v>4.4853170000000002</v>
      </c>
      <c r="P10" s="98">
        <f>Sheet1!M9</f>
        <v>3.258839</v>
      </c>
      <c r="Q10" s="98">
        <f>Sheet1!N9</f>
        <v>0.36976399999999998</v>
      </c>
      <c r="R10" s="98"/>
      <c r="S10" s="98">
        <f t="shared" si="0"/>
        <v>0.25206097436188651</v>
      </c>
      <c r="T10" s="98">
        <f t="shared" si="5"/>
        <v>1.6164080000000001</v>
      </c>
      <c r="U10" s="98">
        <f t="shared" si="1"/>
        <v>2.3048380000000002</v>
      </c>
      <c r="V10" s="98">
        <f t="shared" si="6"/>
        <v>0.65295700000000001</v>
      </c>
      <c r="W10" s="98">
        <f t="shared" si="2"/>
        <v>4.4853170000000002</v>
      </c>
      <c r="X10" s="98">
        <f t="shared" si="3"/>
        <v>3.258839</v>
      </c>
      <c r="Y10" s="98">
        <f t="shared" si="4"/>
        <v>0.36976399999999998</v>
      </c>
    </row>
    <row r="11" spans="1:39" x14ac:dyDescent="0.2">
      <c r="A11" s="1" t="s">
        <v>90</v>
      </c>
      <c r="B11" s="7" t="s">
        <v>5</v>
      </c>
      <c r="C11" s="12">
        <v>2.695459</v>
      </c>
      <c r="D11" s="103">
        <v>9322.5366639999993</v>
      </c>
      <c r="E11" s="103">
        <v>54566.909749999999</v>
      </c>
      <c r="F11" s="103"/>
      <c r="G11" s="103">
        <v>83831.750505999997</v>
      </c>
      <c r="H11" s="103">
        <v>6308.6386499999999</v>
      </c>
      <c r="I11" s="103">
        <v>995.2</v>
      </c>
      <c r="J11" s="86"/>
      <c r="K11" s="98">
        <f t="shared" si="7"/>
        <v>0.65090982140584719</v>
      </c>
      <c r="L11" s="98">
        <v>8.6495540000000002</v>
      </c>
      <c r="M11" s="98">
        <v>30.978787000000001</v>
      </c>
      <c r="N11" s="98">
        <f>Sheet1!K10</f>
        <v>0.24192</v>
      </c>
      <c r="O11" s="98">
        <f>Sheet1!L10</f>
        <v>10.078108</v>
      </c>
      <c r="P11" s="98" t="str">
        <f>Sheet1!M10</f>
        <v>-</v>
      </c>
      <c r="Q11" s="98">
        <f>Sheet1!N10</f>
        <v>0.11645999999999999</v>
      </c>
      <c r="R11" s="98"/>
      <c r="S11" s="98">
        <f t="shared" si="0"/>
        <v>0.65090982140584719</v>
      </c>
      <c r="T11" s="98">
        <f t="shared" si="5"/>
        <v>8.6495540000000002</v>
      </c>
      <c r="U11" s="98">
        <f t="shared" si="1"/>
        <v>30.978787000000001</v>
      </c>
      <c r="V11" s="98">
        <f t="shared" si="6"/>
        <v>0.24192</v>
      </c>
      <c r="W11" s="98">
        <f t="shared" si="2"/>
        <v>10.078108</v>
      </c>
      <c r="X11" s="98" t="str">
        <f t="shared" si="3"/>
        <v>-</v>
      </c>
      <c r="Y11" s="98">
        <f t="shared" si="4"/>
        <v>0.11645999999999999</v>
      </c>
    </row>
    <row r="12" spans="1:39" x14ac:dyDescent="0.2">
      <c r="A12" s="1" t="s">
        <v>92</v>
      </c>
      <c r="B12" s="7" t="s">
        <v>5</v>
      </c>
      <c r="C12" s="12">
        <v>10.73</v>
      </c>
      <c r="D12" s="103">
        <v>43510.046602000002</v>
      </c>
      <c r="E12" s="103">
        <v>158157.04610199999</v>
      </c>
      <c r="F12" s="103"/>
      <c r="G12" s="103">
        <v>182743</v>
      </c>
      <c r="H12" s="103">
        <v>9625</v>
      </c>
      <c r="I12" s="103">
        <v>3529</v>
      </c>
      <c r="J12" s="86"/>
      <c r="K12" s="98">
        <f>E12/G12</f>
        <v>0.86546158321796185</v>
      </c>
      <c r="L12" s="98">
        <v>16.431901</v>
      </c>
      <c r="M12" s="98">
        <v>45.058987000000002</v>
      </c>
      <c r="N12" s="98">
        <f>Sheet1!K11</f>
        <v>0.96857300000000002</v>
      </c>
      <c r="O12" s="98">
        <f>Sheet1!L11</f>
        <v>12.317518</v>
      </c>
      <c r="P12" s="98">
        <f>Sheet1!M11</f>
        <v>6.7740239999999998</v>
      </c>
      <c r="Q12" s="98">
        <f>Sheet1!N11</f>
        <v>0.23746100000000001</v>
      </c>
      <c r="R12" s="98"/>
      <c r="S12" s="98">
        <f t="shared" si="0"/>
        <v>0.86546158321796185</v>
      </c>
      <c r="T12" s="98">
        <f t="shared" si="5"/>
        <v>16.431901</v>
      </c>
      <c r="U12" s="98">
        <f t="shared" si="1"/>
        <v>45.058987000000002</v>
      </c>
      <c r="V12" s="98">
        <f t="shared" si="6"/>
        <v>0.96857300000000002</v>
      </c>
      <c r="W12" s="98">
        <f t="shared" si="2"/>
        <v>12.317518</v>
      </c>
      <c r="X12" s="98">
        <f t="shared" si="3"/>
        <v>6.7740239999999998</v>
      </c>
      <c r="Y12" s="98">
        <f t="shared" si="4"/>
        <v>0.23746100000000001</v>
      </c>
    </row>
    <row r="13" spans="1:39" x14ac:dyDescent="0.2">
      <c r="A13" s="1" t="s">
        <v>31</v>
      </c>
      <c r="B13" s="7" t="s">
        <v>5</v>
      </c>
      <c r="C13" s="12">
        <v>54.869999</v>
      </c>
      <c r="D13" s="103">
        <v>62524.136741000002</v>
      </c>
      <c r="E13" s="103">
        <v>41995.137140999999</v>
      </c>
      <c r="F13" s="103"/>
      <c r="G13" s="103">
        <v>182718</v>
      </c>
      <c r="H13" s="103">
        <v>24334</v>
      </c>
      <c r="I13" s="103">
        <v>11072</v>
      </c>
      <c r="J13" s="86"/>
      <c r="K13" s="98">
        <f t="shared" si="7"/>
        <v>0.22983579691655995</v>
      </c>
      <c r="L13" s="98">
        <v>1.7257800000000001</v>
      </c>
      <c r="M13" s="98">
        <v>3.4481600000000001</v>
      </c>
      <c r="N13" s="98">
        <f>Sheet1!K12</f>
        <v>0.86343800000000004</v>
      </c>
      <c r="O13" s="98">
        <f>Sheet1!L12</f>
        <v>5.9440189999999999</v>
      </c>
      <c r="P13" s="98" t="str">
        <f>Sheet1!M12</f>
        <v>-</v>
      </c>
      <c r="Q13" s="98">
        <f>Sheet1!N12</f>
        <v>0.34465200000000001</v>
      </c>
      <c r="R13" s="98"/>
      <c r="S13" s="98">
        <f t="shared" si="0"/>
        <v>0.22983579691655995</v>
      </c>
      <c r="T13" s="98">
        <f t="shared" si="5"/>
        <v>1.7257800000000001</v>
      </c>
      <c r="U13" s="98">
        <f t="shared" si="1"/>
        <v>3.4481600000000001</v>
      </c>
      <c r="V13" s="98">
        <f t="shared" si="6"/>
        <v>0.86343800000000004</v>
      </c>
      <c r="W13" s="98">
        <f t="shared" si="2"/>
        <v>5.9440189999999999</v>
      </c>
      <c r="X13" s="98" t="str">
        <f t="shared" si="3"/>
        <v>-</v>
      </c>
      <c r="Y13" s="98">
        <f t="shared" si="4"/>
        <v>0.34465200000000001</v>
      </c>
    </row>
    <row r="14" spans="1:39" x14ac:dyDescent="0.2">
      <c r="A14" s="1" t="s">
        <v>93</v>
      </c>
      <c r="B14" s="7" t="s">
        <v>5</v>
      </c>
      <c r="C14" s="12">
        <v>88.635208000000006</v>
      </c>
      <c r="D14" s="103">
        <v>43892.235225999997</v>
      </c>
      <c r="E14" s="103">
        <v>219041.011</v>
      </c>
      <c r="F14" s="103"/>
      <c r="G14" s="103">
        <v>351702.530799</v>
      </c>
      <c r="H14" s="103">
        <v>58907.951780000003</v>
      </c>
      <c r="I14" s="103">
        <v>13281.8</v>
      </c>
      <c r="J14" s="86"/>
      <c r="K14" s="98">
        <f t="shared" si="7"/>
        <v>0.62280191871915525</v>
      </c>
      <c r="L14" s="98">
        <v>3.7183609999999998</v>
      </c>
      <c r="M14" s="98">
        <v>7.8487650000000002</v>
      </c>
      <c r="N14" s="98">
        <f>Sheet1!K13</f>
        <v>0.241623</v>
      </c>
      <c r="O14" s="98">
        <f>Sheet1!L13</f>
        <v>3.3160099999999999</v>
      </c>
      <c r="P14" s="98" t="str">
        <f>Sheet1!M13</f>
        <v>-</v>
      </c>
      <c r="Q14" s="98">
        <f>Sheet1!N13</f>
        <v>0.125247</v>
      </c>
      <c r="R14" s="98"/>
      <c r="S14" s="98">
        <f t="shared" si="0"/>
        <v>0.62280191871915525</v>
      </c>
      <c r="T14" s="98">
        <f t="shared" si="5"/>
        <v>3.7183609999999998</v>
      </c>
      <c r="U14" s="98">
        <f t="shared" si="1"/>
        <v>7.8487650000000002</v>
      </c>
      <c r="V14" s="98">
        <f t="shared" si="6"/>
        <v>0.241623</v>
      </c>
      <c r="W14" s="98">
        <f t="shared" si="2"/>
        <v>3.3160099999999999</v>
      </c>
      <c r="X14" s="98" t="str">
        <f t="shared" si="3"/>
        <v>-</v>
      </c>
      <c r="Y14" s="98">
        <f t="shared" si="4"/>
        <v>0.125247</v>
      </c>
    </row>
    <row r="15" spans="1:39" x14ac:dyDescent="0.2">
      <c r="A15" s="1" t="s">
        <v>17</v>
      </c>
      <c r="B15" s="7" t="s">
        <v>5</v>
      </c>
      <c r="C15" s="12">
        <v>6.465503</v>
      </c>
      <c r="D15" s="103">
        <v>4075.85385</v>
      </c>
      <c r="E15" s="103">
        <v>1857.208498</v>
      </c>
      <c r="F15" s="103"/>
      <c r="G15" s="103">
        <v>32612.932260000001</v>
      </c>
      <c r="H15" s="103">
        <v>2258.9489600000002</v>
      </c>
      <c r="I15" s="103">
        <v>897</v>
      </c>
      <c r="J15" s="86"/>
      <c r="K15" s="98">
        <f t="shared" si="7"/>
        <v>5.69469952347057E-2</v>
      </c>
      <c r="L15" s="98">
        <v>0.822156</v>
      </c>
      <c r="M15" s="98">
        <v>1.2471479999999999</v>
      </c>
      <c r="N15" s="98">
        <f>Sheet1!K14</f>
        <v>0.343086</v>
      </c>
      <c r="O15" s="98">
        <f>Sheet1!L14</f>
        <v>4.576435</v>
      </c>
      <c r="P15" s="98">
        <f>Sheet1!M14</f>
        <v>2.8295870000000001</v>
      </c>
      <c r="Q15" s="98">
        <f>Sheet1!N14</f>
        <v>0.12593299999999999</v>
      </c>
      <c r="R15" s="98"/>
      <c r="S15" s="98">
        <f t="shared" si="0"/>
        <v>5.69469952347057E-2</v>
      </c>
      <c r="T15" s="98">
        <f t="shared" si="5"/>
        <v>0.822156</v>
      </c>
      <c r="U15" s="98">
        <f t="shared" si="1"/>
        <v>1.2471479999999999</v>
      </c>
      <c r="V15" s="98">
        <f t="shared" si="6"/>
        <v>0.343086</v>
      </c>
      <c r="W15" s="98">
        <f t="shared" si="2"/>
        <v>4.576435</v>
      </c>
      <c r="X15" s="98">
        <f t="shared" si="3"/>
        <v>2.8295870000000001</v>
      </c>
      <c r="Y15" s="98">
        <f t="shared" si="4"/>
        <v>0.12593299999999999</v>
      </c>
    </row>
    <row r="16" spans="1:39" x14ac:dyDescent="0.2">
      <c r="A16" s="1" t="s">
        <v>40</v>
      </c>
      <c r="B16" s="7" t="s">
        <v>5</v>
      </c>
      <c r="C16" s="12">
        <v>9.2802039999999995</v>
      </c>
      <c r="D16" s="103">
        <v>34188.410653999999</v>
      </c>
      <c r="E16" s="103">
        <v>40226.876672999999</v>
      </c>
      <c r="F16" s="103"/>
      <c r="G16" s="103">
        <v>52778.378338000002</v>
      </c>
      <c r="H16" s="103">
        <v>7136.8734999999997</v>
      </c>
      <c r="I16" s="103">
        <v>3998.8</v>
      </c>
      <c r="J16" s="86"/>
      <c r="K16" s="98">
        <f t="shared" si="7"/>
        <v>0.76218477982369104</v>
      </c>
      <c r="L16" s="98">
        <v>5.6364840000000003</v>
      </c>
      <c r="M16" s="98">
        <v>10.186389</v>
      </c>
      <c r="N16" s="98">
        <f>Sheet1!K15</f>
        <v>2.929065</v>
      </c>
      <c r="O16" s="98">
        <f>Sheet1!L15</f>
        <v>8.8334499999999991</v>
      </c>
      <c r="P16" s="98" t="str">
        <f>Sheet1!M15</f>
        <v>-</v>
      </c>
      <c r="Q16" s="98">
        <f>Sheet1!N15</f>
        <v>0.66928399999999999</v>
      </c>
      <c r="R16" s="98"/>
      <c r="S16" s="98">
        <f t="shared" si="0"/>
        <v>0.76218477982369104</v>
      </c>
      <c r="T16" s="98">
        <f t="shared" si="5"/>
        <v>5.6364840000000003</v>
      </c>
      <c r="U16" s="98">
        <f t="shared" si="1"/>
        <v>10.186389</v>
      </c>
      <c r="V16" s="98">
        <f t="shared" si="6"/>
        <v>2.929065</v>
      </c>
      <c r="W16" s="98">
        <f t="shared" si="2"/>
        <v>8.8334499999999991</v>
      </c>
      <c r="X16" s="98" t="str">
        <f t="shared" si="3"/>
        <v>-</v>
      </c>
      <c r="Y16" s="98">
        <f t="shared" si="4"/>
        <v>0.66928399999999999</v>
      </c>
    </row>
    <row r="17" spans="1:25" x14ac:dyDescent="0.2">
      <c r="A17" s="1" t="s">
        <v>94</v>
      </c>
      <c r="B17" s="7" t="s">
        <v>5</v>
      </c>
      <c r="C17" s="12">
        <v>17.343101999999998</v>
      </c>
      <c r="D17" s="103">
        <v>233613.113515</v>
      </c>
      <c r="E17" s="103">
        <v>405363.93115399999</v>
      </c>
      <c r="F17" s="103"/>
      <c r="G17" s="103">
        <v>308526.803617</v>
      </c>
      <c r="H17" s="103">
        <v>49560.741730000002</v>
      </c>
      <c r="I17" s="103">
        <v>28345.7</v>
      </c>
      <c r="K17" s="98">
        <f t="shared" si="7"/>
        <v>1.3138694155636863</v>
      </c>
      <c r="L17" s="98">
        <v>8.1791339999999995</v>
      </c>
      <c r="M17" s="98">
        <v>11.593786</v>
      </c>
      <c r="N17" s="98">
        <f>Sheet1!K16</f>
        <v>0.948465</v>
      </c>
      <c r="O17" s="98">
        <f>Sheet1!L16</f>
        <v>8.2266729999999999</v>
      </c>
      <c r="P17" s="98" t="str">
        <f>Sheet1!M16</f>
        <v>-</v>
      </c>
      <c r="Q17" s="98">
        <f>Sheet1!N16</f>
        <v>0.74675499999999995</v>
      </c>
      <c r="R17" s="98"/>
      <c r="S17" s="98">
        <f t="shared" si="0"/>
        <v>1.3138694155636863</v>
      </c>
      <c r="T17" s="98">
        <f t="shared" si="5"/>
        <v>8.1791339999999995</v>
      </c>
      <c r="U17" s="98">
        <f t="shared" si="1"/>
        <v>11.593786</v>
      </c>
      <c r="V17" s="98">
        <f t="shared" si="6"/>
        <v>0.948465</v>
      </c>
      <c r="W17" s="98">
        <f t="shared" si="2"/>
        <v>8.2266729999999999</v>
      </c>
      <c r="X17" s="98" t="str">
        <f t="shared" si="3"/>
        <v>-</v>
      </c>
      <c r="Y17" s="98">
        <f t="shared" si="4"/>
        <v>0.74675499999999995</v>
      </c>
    </row>
    <row r="18" spans="1:25" x14ac:dyDescent="0.2">
      <c r="A18" s="1" t="s">
        <v>95</v>
      </c>
      <c r="B18" s="7" t="s">
        <v>5</v>
      </c>
      <c r="C18" s="12">
        <v>8.7695620000000005</v>
      </c>
      <c r="D18" s="103">
        <v>42288.086186</v>
      </c>
      <c r="E18" s="103">
        <v>77479.882830999995</v>
      </c>
      <c r="F18" s="103"/>
      <c r="G18" s="103">
        <v>143749.636902</v>
      </c>
      <c r="H18" s="103">
        <v>19953.022870000001</v>
      </c>
      <c r="I18" s="103">
        <v>6553.8</v>
      </c>
      <c r="K18" s="98">
        <f t="shared" si="7"/>
        <v>0.53899185069817734</v>
      </c>
      <c r="L18" s="98">
        <v>3.8831150000000001</v>
      </c>
      <c r="M18" s="98">
        <v>8.1591749999999994</v>
      </c>
      <c r="N18" s="98">
        <f>Sheet1!K17</f>
        <v>0.47126699999999999</v>
      </c>
      <c r="O18" s="98">
        <f>Sheet1!L17</f>
        <v>6.4187690000000002</v>
      </c>
      <c r="P18" s="98">
        <f>Sheet1!M17</f>
        <v>916.59004100000004</v>
      </c>
      <c r="Q18" s="98">
        <f>Sheet1!N17</f>
        <v>0.28400399999999998</v>
      </c>
      <c r="R18" s="98"/>
      <c r="S18" s="98">
        <f t="shared" si="0"/>
        <v>0.53899185069817734</v>
      </c>
      <c r="T18" s="98">
        <f t="shared" si="5"/>
        <v>3.8831150000000001</v>
      </c>
      <c r="U18" s="98">
        <f t="shared" si="1"/>
        <v>8.1591749999999994</v>
      </c>
      <c r="V18" s="98">
        <f t="shared" si="6"/>
        <v>0.47126699999999999</v>
      </c>
      <c r="W18" s="98">
        <f t="shared" si="2"/>
        <v>6.4187690000000002</v>
      </c>
      <c r="X18" s="98">
        <f t="shared" si="3"/>
        <v>916.59004100000004</v>
      </c>
      <c r="Y18" s="98">
        <f t="shared" si="4"/>
        <v>0.28400399999999998</v>
      </c>
    </row>
    <row r="19" spans="1:25" x14ac:dyDescent="0.2">
      <c r="A19" s="1" t="s">
        <v>96</v>
      </c>
      <c r="B19" s="7" t="s">
        <v>5</v>
      </c>
      <c r="C19" s="12">
        <v>2.8734860000000002</v>
      </c>
      <c r="D19" s="103">
        <v>4275.5541439999997</v>
      </c>
      <c r="E19" s="103">
        <v>3218.7905139999998</v>
      </c>
      <c r="F19" s="103"/>
      <c r="G19" s="103">
        <v>18394.467782</v>
      </c>
      <c r="H19" s="103">
        <v>1660.26432</v>
      </c>
      <c r="I19" s="103">
        <v>832.4</v>
      </c>
      <c r="K19" s="98">
        <f t="shared" si="7"/>
        <v>0.17498687932410656</v>
      </c>
      <c r="L19" s="98">
        <v>1.9387220000000001</v>
      </c>
      <c r="M19" s="98">
        <v>2.7266819999999998</v>
      </c>
      <c r="N19" s="98">
        <f>Sheet1!K18</f>
        <v>1.0505469999999999</v>
      </c>
      <c r="O19" s="98">
        <f>Sheet1!L18</f>
        <v>9.446631</v>
      </c>
      <c r="P19" s="98">
        <f>Sheet1!M18</f>
        <v>9.4178759999999997</v>
      </c>
      <c r="Q19" s="98">
        <f>Sheet1!N18</f>
        <v>0.53625</v>
      </c>
      <c r="R19" s="98"/>
      <c r="S19" s="98">
        <f t="shared" si="0"/>
        <v>0.17498687932410656</v>
      </c>
      <c r="T19" s="98">
        <f t="shared" si="5"/>
        <v>1.9387220000000001</v>
      </c>
      <c r="U19" s="98">
        <f t="shared" si="1"/>
        <v>2.7266819999999998</v>
      </c>
      <c r="V19" s="98">
        <f t="shared" si="6"/>
        <v>1.0505469999999999</v>
      </c>
      <c r="W19" s="98">
        <f t="shared" si="2"/>
        <v>9.446631</v>
      </c>
      <c r="X19" s="98">
        <f t="shared" si="3"/>
        <v>9.4178759999999997</v>
      </c>
      <c r="Y19" s="98">
        <f t="shared" si="4"/>
        <v>0.53625</v>
      </c>
    </row>
    <row r="20" spans="1:25" x14ac:dyDescent="0.2">
      <c r="A20" s="1" t="s">
        <v>97</v>
      </c>
      <c r="B20" s="7" t="s">
        <v>221</v>
      </c>
      <c r="C20" s="12">
        <v>342.02999899999998</v>
      </c>
      <c r="D20" s="103">
        <v>1236918.622128</v>
      </c>
      <c r="E20" s="103">
        <v>1211262.622128</v>
      </c>
      <c r="F20" s="103"/>
      <c r="G20" s="103">
        <v>97150</v>
      </c>
      <c r="H20" s="103">
        <v>13338</v>
      </c>
      <c r="I20" s="103">
        <v>12743</v>
      </c>
      <c r="K20" s="98">
        <f t="shared" si="7"/>
        <v>12.467963171672672</v>
      </c>
      <c r="L20" s="98">
        <v>90.812911999999997</v>
      </c>
      <c r="M20" s="98">
        <v>147.105006</v>
      </c>
      <c r="N20" s="98">
        <f>Sheet1!K19</f>
        <v>15.575715000000001</v>
      </c>
      <c r="O20" s="98">
        <f>Sheet1!L19</f>
        <v>93.041858000000005</v>
      </c>
      <c r="P20" s="98">
        <f>Sheet1!M19</f>
        <v>329.00860899999998</v>
      </c>
      <c r="Q20" s="98">
        <f>Sheet1!N19</f>
        <v>12.225642000000001</v>
      </c>
      <c r="R20" s="98"/>
      <c r="S20" s="98" t="str">
        <f t="shared" si="0"/>
        <v/>
      </c>
      <c r="T20" s="98" t="str">
        <f t="shared" si="5"/>
        <v/>
      </c>
      <c r="U20" s="98" t="str">
        <f t="shared" si="1"/>
        <v/>
      </c>
      <c r="V20" s="98" t="str">
        <f t="shared" si="6"/>
        <v/>
      </c>
      <c r="W20" s="98" t="str">
        <f t="shared" si="2"/>
        <v/>
      </c>
      <c r="X20" s="98" t="str">
        <f t="shared" si="3"/>
        <v/>
      </c>
      <c r="Y20" s="98" t="str">
        <f t="shared" si="4"/>
        <v/>
      </c>
    </row>
    <row r="21" spans="1:25" x14ac:dyDescent="0.2">
      <c r="A21" s="1" t="s">
        <v>36</v>
      </c>
      <c r="B21" s="7" t="s">
        <v>5</v>
      </c>
      <c r="C21" s="12">
        <v>10.646229</v>
      </c>
      <c r="D21" s="103">
        <v>20857.120122</v>
      </c>
      <c r="E21" s="103">
        <v>23665.867876</v>
      </c>
      <c r="F21" s="103"/>
      <c r="G21" s="103">
        <v>37670.351247999999</v>
      </c>
      <c r="H21" s="103">
        <v>5269.6085800000001</v>
      </c>
      <c r="I21" s="103">
        <v>2366.1999999999998</v>
      </c>
      <c r="K21" s="98">
        <f t="shared" si="7"/>
        <v>0.628235922733969</v>
      </c>
      <c r="L21" s="98">
        <v>4.4910110000000003</v>
      </c>
      <c r="M21" s="98">
        <v>6.2843730000000004</v>
      </c>
      <c r="N21" s="98">
        <f>Sheet1!K20</f>
        <v>1.0790709999999999</v>
      </c>
      <c r="O21" s="98">
        <f>Sheet1!L20</f>
        <v>8.8546250000000004</v>
      </c>
      <c r="P21" s="98">
        <f>Sheet1!M20</f>
        <v>12.816037</v>
      </c>
      <c r="Q21" s="98">
        <f>Sheet1!N20</f>
        <v>0.55623900000000004</v>
      </c>
      <c r="R21" s="98"/>
      <c r="S21" s="98">
        <f t="shared" si="0"/>
        <v>0.628235922733969</v>
      </c>
      <c r="T21" s="98">
        <f t="shared" si="5"/>
        <v>4.4910110000000003</v>
      </c>
      <c r="U21" s="98">
        <f t="shared" si="1"/>
        <v>6.2843730000000004</v>
      </c>
      <c r="V21" s="98">
        <f t="shared" si="6"/>
        <v>1.0790709999999999</v>
      </c>
      <c r="W21" s="98">
        <f t="shared" si="2"/>
        <v>8.8546250000000004</v>
      </c>
      <c r="X21" s="98">
        <f t="shared" si="3"/>
        <v>12.816037</v>
      </c>
      <c r="Y21" s="98">
        <f t="shared" si="4"/>
        <v>0.55623900000000004</v>
      </c>
    </row>
    <row r="22" spans="1:25" x14ac:dyDescent="0.2">
      <c r="A22" s="1" t="s">
        <v>98</v>
      </c>
      <c r="B22" s="7" t="s">
        <v>5</v>
      </c>
      <c r="C22" s="12">
        <v>42.744788999999997</v>
      </c>
      <c r="D22" s="103">
        <v>12479.822166</v>
      </c>
      <c r="E22" s="103">
        <v>46590.503663000003</v>
      </c>
      <c r="F22" s="103"/>
      <c r="G22" s="103">
        <v>56749.435031000001</v>
      </c>
      <c r="H22" s="103">
        <v>7634.7101199999997</v>
      </c>
      <c r="I22" s="103">
        <v>1511.6</v>
      </c>
      <c r="K22" s="98">
        <f t="shared" si="7"/>
        <v>0.82098621136138938</v>
      </c>
      <c r="L22" s="98">
        <v>6.1024589999999996</v>
      </c>
      <c r="M22" s="98">
        <v>10.133927999999999</v>
      </c>
      <c r="N22" s="98">
        <f>Sheet1!K21</f>
        <v>0.37651499999999999</v>
      </c>
      <c r="O22" s="98">
        <f>Sheet1!L21</f>
        <v>7.7215350000000003</v>
      </c>
      <c r="P22" s="98">
        <f>Sheet1!M21</f>
        <v>2.1800799999999998</v>
      </c>
      <c r="Q22" s="98">
        <f>Sheet1!N21</f>
        <v>0.20814299999999999</v>
      </c>
      <c r="R22" s="98"/>
      <c r="S22" s="98">
        <f t="shared" si="0"/>
        <v>0.82098621136138938</v>
      </c>
      <c r="T22" s="98">
        <f t="shared" si="5"/>
        <v>6.1024589999999996</v>
      </c>
      <c r="U22" s="98">
        <f t="shared" si="1"/>
        <v>10.133927999999999</v>
      </c>
      <c r="V22" s="98">
        <f t="shared" si="6"/>
        <v>0.37651499999999999</v>
      </c>
      <c r="W22" s="98">
        <f t="shared" si="2"/>
        <v>7.7215350000000003</v>
      </c>
      <c r="X22" s="98">
        <f t="shared" si="3"/>
        <v>2.1800799999999998</v>
      </c>
      <c r="Y22" s="98">
        <f t="shared" si="4"/>
        <v>0.20814299999999999</v>
      </c>
    </row>
    <row r="23" spans="1:25" x14ac:dyDescent="0.2">
      <c r="A23" s="1" t="s">
        <v>99</v>
      </c>
      <c r="B23" s="7" t="s">
        <v>5</v>
      </c>
      <c r="C23" s="12">
        <v>72.065421999999998</v>
      </c>
      <c r="D23" s="103">
        <v>45066.272809000002</v>
      </c>
      <c r="E23" s="103">
        <v>104199.42656599999</v>
      </c>
      <c r="F23" s="103"/>
      <c r="G23" s="103">
        <v>161436.72969499999</v>
      </c>
      <c r="H23" s="103">
        <v>24600.53299</v>
      </c>
      <c r="I23" s="103">
        <v>8867.9</v>
      </c>
      <c r="K23" s="98">
        <f t="shared" si="7"/>
        <v>0.6454505536804569</v>
      </c>
      <c r="L23" s="98">
        <v>4.2356569999999998</v>
      </c>
      <c r="M23" s="98">
        <v>6.8864710000000002</v>
      </c>
      <c r="N23" s="98">
        <f>Sheet1!K22</f>
        <v>0.43895299999999998</v>
      </c>
      <c r="O23" s="98">
        <f>Sheet1!L22</f>
        <v>5.1122310000000004</v>
      </c>
      <c r="P23" s="98" t="str">
        <f>Sheet1!M22</f>
        <v>-</v>
      </c>
      <c r="Q23" s="98">
        <f>Sheet1!N22</f>
        <v>0.27531</v>
      </c>
      <c r="R23" s="98"/>
      <c r="S23" s="98">
        <f t="shared" si="0"/>
        <v>0.6454505536804569</v>
      </c>
      <c r="T23" s="98">
        <f t="shared" si="5"/>
        <v>4.2356569999999998</v>
      </c>
      <c r="U23" s="98">
        <f t="shared" si="1"/>
        <v>6.8864710000000002</v>
      </c>
      <c r="V23" s="98">
        <f t="shared" si="6"/>
        <v>0.43895299999999998</v>
      </c>
      <c r="W23" s="98">
        <f t="shared" si="2"/>
        <v>5.1122310000000004</v>
      </c>
      <c r="X23" s="98" t="str">
        <f t="shared" si="3"/>
        <v>-</v>
      </c>
      <c r="Y23" s="98">
        <f t="shared" si="4"/>
        <v>0.27531</v>
      </c>
    </row>
    <row r="24" spans="1:25" x14ac:dyDescent="0.2">
      <c r="A24" s="1" t="s">
        <v>100</v>
      </c>
      <c r="B24" s="7" t="s">
        <v>5</v>
      </c>
      <c r="C24" s="12">
        <v>61.376598000000001</v>
      </c>
      <c r="D24" s="103">
        <v>55796.524621999997</v>
      </c>
      <c r="E24" s="103">
        <v>65040.693539</v>
      </c>
      <c r="F24" s="103"/>
      <c r="G24" s="103">
        <v>42233.353896000001</v>
      </c>
      <c r="H24" s="103">
        <v>10291.141670000001</v>
      </c>
      <c r="I24" s="103">
        <v>4316.3</v>
      </c>
      <c r="K24" s="98">
        <f t="shared" si="7"/>
        <v>1.5400314571076517</v>
      </c>
      <c r="L24" s="98">
        <v>6.3200659999999997</v>
      </c>
      <c r="M24" s="98">
        <v>10.872025000000001</v>
      </c>
      <c r="N24" s="98">
        <f>Sheet1!K23</f>
        <v>2.1924239999999999</v>
      </c>
      <c r="O24" s="98">
        <f>Sheet1!L23</f>
        <v>12.647239000000001</v>
      </c>
      <c r="P24" s="98">
        <f>Sheet1!M23</f>
        <v>32.35257</v>
      </c>
      <c r="Q24" s="98">
        <f>Sheet1!N23</f>
        <v>1.294535</v>
      </c>
      <c r="R24" s="98"/>
      <c r="S24" s="98">
        <f t="shared" si="0"/>
        <v>1.5400314571076517</v>
      </c>
      <c r="T24" s="98">
        <f t="shared" si="5"/>
        <v>6.3200659999999997</v>
      </c>
      <c r="U24" s="98">
        <f t="shared" si="1"/>
        <v>10.872025000000001</v>
      </c>
      <c r="V24" s="98">
        <f t="shared" si="6"/>
        <v>2.1924239999999999</v>
      </c>
      <c r="W24" s="98">
        <f t="shared" si="2"/>
        <v>12.647239000000001</v>
      </c>
      <c r="X24" s="98">
        <f t="shared" si="3"/>
        <v>32.35257</v>
      </c>
      <c r="Y24" s="98">
        <f t="shared" si="4"/>
        <v>1.294535</v>
      </c>
    </row>
    <row r="25" spans="1:25" x14ac:dyDescent="0.2">
      <c r="A25" s="1" t="s">
        <v>222</v>
      </c>
      <c r="B25" s="7" t="s">
        <v>5</v>
      </c>
      <c r="C25" s="12">
        <v>2.5879729999999999</v>
      </c>
      <c r="D25" s="103">
        <v>125.76212099999999</v>
      </c>
      <c r="E25" s="103">
        <v>53.150286999999999</v>
      </c>
      <c r="F25" s="103"/>
      <c r="G25" s="103">
        <v>141.78989300000001</v>
      </c>
      <c r="H25" s="103">
        <v>4.3262099999999997</v>
      </c>
      <c r="I25" s="103">
        <v>5.9</v>
      </c>
      <c r="K25" s="98">
        <f t="shared" si="7"/>
        <v>0.37485243747239444</v>
      </c>
      <c r="L25" s="98">
        <v>12.285647000000001</v>
      </c>
      <c r="M25" s="98">
        <v>19.577254</v>
      </c>
      <c r="N25" s="98">
        <f>Sheet1!K24</f>
        <v>0.49732900000000002</v>
      </c>
      <c r="O25" s="98">
        <f>Sheet1!L24</f>
        <v>7.2567839999999997</v>
      </c>
      <c r="P25" s="98">
        <f>Sheet1!M24</f>
        <v>6.1836739999999999</v>
      </c>
      <c r="Q25" s="98">
        <f>Sheet1!N24</f>
        <v>0.50759799999999999</v>
      </c>
      <c r="R25" s="98"/>
      <c r="S25" s="98">
        <f t="shared" si="0"/>
        <v>0.37485243747239444</v>
      </c>
      <c r="T25" s="98">
        <f t="shared" si="5"/>
        <v>12.285647000000001</v>
      </c>
      <c r="U25" s="98">
        <f t="shared" si="1"/>
        <v>19.577254</v>
      </c>
      <c r="V25" s="98">
        <f t="shared" si="6"/>
        <v>0.49732900000000002</v>
      </c>
      <c r="W25" s="98">
        <f t="shared" si="2"/>
        <v>7.2567839999999997</v>
      </c>
      <c r="X25" s="98">
        <f t="shared" si="3"/>
        <v>6.1836739999999999</v>
      </c>
      <c r="Y25" s="98">
        <f t="shared" si="4"/>
        <v>0.50759799999999999</v>
      </c>
    </row>
    <row r="26" spans="1:25" x14ac:dyDescent="0.2">
      <c r="A26" s="1" t="s">
        <v>101</v>
      </c>
      <c r="B26" s="7" t="s">
        <v>5</v>
      </c>
      <c r="C26" s="12">
        <v>30.696235999999999</v>
      </c>
      <c r="D26" s="103">
        <v>426.96493600000002</v>
      </c>
      <c r="E26" s="103">
        <v>101.096761</v>
      </c>
      <c r="F26" s="103"/>
      <c r="G26" s="103">
        <v>719.62454700000001</v>
      </c>
      <c r="H26" s="103">
        <v>97.143870000000007</v>
      </c>
      <c r="I26" s="103">
        <v>52.1</v>
      </c>
      <c r="K26" s="98">
        <f t="shared" si="7"/>
        <v>0.14048542593697821</v>
      </c>
      <c r="L26" s="98">
        <v>1.040691</v>
      </c>
      <c r="M26" s="98">
        <v>1.3399589999999999</v>
      </c>
      <c r="N26" s="98">
        <f>Sheet1!K25</f>
        <v>1.7377180000000001</v>
      </c>
      <c r="O26" s="98">
        <f>Sheet1!L25</f>
        <v>12.784357</v>
      </c>
      <c r="P26" s="98">
        <f>Sheet1!M25</f>
        <v>97.242739</v>
      </c>
      <c r="Q26" s="98">
        <f>Sheet1!N25</f>
        <v>1.099834</v>
      </c>
      <c r="R26" s="98"/>
      <c r="S26" s="98">
        <f t="shared" si="0"/>
        <v>0.14048542593697821</v>
      </c>
      <c r="T26" s="98">
        <f t="shared" si="5"/>
        <v>1.040691</v>
      </c>
      <c r="U26" s="98">
        <f t="shared" si="1"/>
        <v>1.3399589999999999</v>
      </c>
      <c r="V26" s="98">
        <f t="shared" si="6"/>
        <v>1.7377180000000001</v>
      </c>
      <c r="W26" s="98">
        <f t="shared" si="2"/>
        <v>12.784357</v>
      </c>
      <c r="X26" s="98">
        <f t="shared" si="3"/>
        <v>97.242739</v>
      </c>
      <c r="Y26" s="98">
        <f t="shared" si="4"/>
        <v>1.099834</v>
      </c>
    </row>
    <row r="27" spans="1:25" x14ac:dyDescent="0.2">
      <c r="B27" s="7"/>
      <c r="C27" s="84"/>
      <c r="D27" s="99"/>
      <c r="E27" s="99"/>
      <c r="F27" s="99"/>
      <c r="G27" s="99"/>
      <c r="H27" s="99"/>
      <c r="I27" s="99"/>
      <c r="K27" s="85"/>
      <c r="L27" s="85"/>
      <c r="M27" s="85"/>
      <c r="N27" s="85"/>
      <c r="O27" s="85"/>
      <c r="P27" s="85"/>
      <c r="Q27" s="85"/>
      <c r="R27" s="85"/>
      <c r="S27" s="98"/>
      <c r="T27" s="98"/>
      <c r="U27" s="98"/>
      <c r="V27" s="98"/>
      <c r="W27" s="98"/>
      <c r="X27" s="98"/>
      <c r="Y27" s="98"/>
    </row>
    <row r="28" spans="1:25" x14ac:dyDescent="0.2">
      <c r="A28" s="108" t="s">
        <v>16</v>
      </c>
      <c r="B28" s="101"/>
      <c r="C28" s="100"/>
      <c r="D28" s="100"/>
      <c r="E28" s="100"/>
      <c r="F28" s="100"/>
      <c r="G28" s="100"/>
      <c r="H28" s="100"/>
      <c r="I28" s="100"/>
      <c r="J28" s="100"/>
      <c r="K28" s="109">
        <f>MEDIAN(K7:K26)</f>
        <v>0.58089688470866629</v>
      </c>
      <c r="L28" s="109">
        <f t="shared" ref="L28:Y28" si="8">MEDIAN(L7:L26)</f>
        <v>4.0593859999999999</v>
      </c>
      <c r="M28" s="109">
        <f t="shared" si="8"/>
        <v>7.3676180000000002</v>
      </c>
      <c r="N28" s="109">
        <f t="shared" si="8"/>
        <v>0.66882200000000003</v>
      </c>
      <c r="O28" s="109">
        <f t="shared" si="8"/>
        <v>7.4891594999999995</v>
      </c>
      <c r="P28" s="109">
        <f t="shared" si="8"/>
        <v>8.0959500000000002</v>
      </c>
      <c r="Q28" s="109">
        <f t="shared" si="8"/>
        <v>0.3482055</v>
      </c>
      <c r="R28" s="109"/>
      <c r="S28" s="109">
        <f t="shared" si="8"/>
        <v>0.53899185069817734</v>
      </c>
      <c r="T28" s="109">
        <f t="shared" si="8"/>
        <v>3.8831150000000001</v>
      </c>
      <c r="U28" s="109">
        <f t="shared" si="8"/>
        <v>6.8864710000000002</v>
      </c>
      <c r="V28" s="109">
        <f t="shared" si="8"/>
        <v>0.65295700000000001</v>
      </c>
      <c r="W28" s="109">
        <f t="shared" si="8"/>
        <v>7.2567839999999997</v>
      </c>
      <c r="X28" s="109">
        <f t="shared" si="8"/>
        <v>6.7740239999999998</v>
      </c>
      <c r="Y28" s="109">
        <f t="shared" si="8"/>
        <v>0.34465200000000001</v>
      </c>
    </row>
    <row r="29" spans="1:25" x14ac:dyDescent="0.2">
      <c r="A29" s="108" t="s">
        <v>6</v>
      </c>
      <c r="B29" s="101"/>
      <c r="C29" s="100"/>
      <c r="D29" s="100"/>
      <c r="E29" s="100"/>
      <c r="F29" s="100"/>
      <c r="G29" s="100"/>
      <c r="H29" s="100"/>
      <c r="I29" s="100"/>
      <c r="J29" s="100"/>
      <c r="K29" s="109">
        <f>AVERAGE(K7:K26)</f>
        <v>1.094644932828672</v>
      </c>
      <c r="L29" s="109">
        <f t="shared" ref="L29:Y29" si="9">AVERAGE(L7:L26)</f>
        <v>8.7357378500000014</v>
      </c>
      <c r="M29" s="109">
        <f t="shared" si="9"/>
        <v>16.057031000000002</v>
      </c>
      <c r="N29" s="109">
        <f t="shared" si="9"/>
        <v>1.59801865</v>
      </c>
      <c r="O29" s="109">
        <f t="shared" si="9"/>
        <v>11.520709</v>
      </c>
      <c r="P29" s="109">
        <f t="shared" si="9"/>
        <v>102.83498678571429</v>
      </c>
      <c r="Q29" s="109">
        <f t="shared" si="9"/>
        <v>1.0206518500000004</v>
      </c>
      <c r="R29" s="109"/>
      <c r="S29" s="109">
        <f t="shared" si="9"/>
        <v>0.49604923604740875</v>
      </c>
      <c r="T29" s="109">
        <f t="shared" si="9"/>
        <v>4.4158865789473678</v>
      </c>
      <c r="U29" s="109">
        <f t="shared" si="9"/>
        <v>9.159769157894738</v>
      </c>
      <c r="V29" s="109">
        <f t="shared" si="9"/>
        <v>0.86235042105263149</v>
      </c>
      <c r="W29" s="109">
        <f t="shared" si="9"/>
        <v>7.2301222105263152</v>
      </c>
      <c r="X29" s="109">
        <f t="shared" si="9"/>
        <v>85.437015846153841</v>
      </c>
      <c r="Y29" s="109">
        <f t="shared" si="9"/>
        <v>0.43091552631578939</v>
      </c>
    </row>
    <row r="30" spans="1:25" x14ac:dyDescent="0.2">
      <c r="S30" s="7"/>
      <c r="T30" s="7"/>
      <c r="U30" s="7"/>
      <c r="V30" s="7"/>
      <c r="W30" s="7"/>
      <c r="X30" s="7"/>
      <c r="Y30" s="7"/>
    </row>
    <row r="31" spans="1:25" x14ac:dyDescent="0.2">
      <c r="A31" s="73" t="s">
        <v>43</v>
      </c>
      <c r="B31" s="73" t="s">
        <v>220</v>
      </c>
      <c r="I31" s="85"/>
      <c r="K31" s="85"/>
      <c r="L31" s="85"/>
      <c r="M31" s="85"/>
      <c r="N31" s="85"/>
    </row>
    <row r="32" spans="1:25" x14ac:dyDescent="0.2">
      <c r="A32" s="7"/>
      <c r="B32" s="7"/>
      <c r="K32" s="85"/>
      <c r="L32" s="85"/>
      <c r="M32" s="85"/>
      <c r="N32" s="85"/>
    </row>
    <row r="33" spans="1:2" x14ac:dyDescent="0.2">
      <c r="A33" s="73" t="s">
        <v>44</v>
      </c>
      <c r="B33" s="73" t="s">
        <v>16</v>
      </c>
    </row>
    <row r="34" spans="1:2" x14ac:dyDescent="0.2">
      <c r="A34" s="7"/>
      <c r="B34" s="7"/>
    </row>
    <row r="35" spans="1:2" x14ac:dyDescent="0.2">
      <c r="A35" s="73" t="str">
        <f>B31 &amp; " " &amp; "Using" &amp;  " "  &amp; B33</f>
        <v>P/E Using Median</v>
      </c>
      <c r="B35" s="74">
        <f>IF(B33="Average",AVERAGE(INDEX(S6:Y26,0,MATCH(B31,S5:Y5,0))),MEDIAN(INDEX(S6:Y26,0,MATCH(B31,S5:Y5,0))))</f>
        <v>7.2567839999999997</v>
      </c>
    </row>
    <row r="36" spans="1:2" x14ac:dyDescent="0.2">
      <c r="A36" s="7"/>
      <c r="B36" s="7"/>
    </row>
    <row r="37" spans="1:2" x14ac:dyDescent="0.2">
      <c r="A37" s="7" t="s">
        <v>45</v>
      </c>
      <c r="B37" s="104">
        <v>76694</v>
      </c>
    </row>
    <row r="38" spans="1:2" x14ac:dyDescent="0.2">
      <c r="A38" s="7" t="s">
        <v>46</v>
      </c>
      <c r="B38" s="104">
        <v>11085</v>
      </c>
    </row>
    <row r="39" spans="1:2" x14ac:dyDescent="0.2">
      <c r="A39" s="7" t="s">
        <v>47</v>
      </c>
      <c r="B39" s="104">
        <v>9295</v>
      </c>
    </row>
    <row r="40" spans="1:2" x14ac:dyDescent="0.2">
      <c r="A40" s="7"/>
      <c r="B40" s="7"/>
    </row>
    <row r="41" spans="1:2" x14ac:dyDescent="0.2">
      <c r="A41" s="73" t="s">
        <v>206</v>
      </c>
      <c r="B41" s="76" t="b">
        <f>IF(B31="EV/Sales",B35*B37,IF(B31="EV/EBITDA",B35*B38,IF(B31="EV/EBIT",B35*B39)))</f>
        <v>0</v>
      </c>
    </row>
    <row r="42" spans="1:2" x14ac:dyDescent="0.2">
      <c r="A42" s="7"/>
      <c r="B42" s="7"/>
    </row>
    <row r="43" spans="1:2" x14ac:dyDescent="0.2">
      <c r="A43" s="75" t="s">
        <v>49</v>
      </c>
      <c r="B43" s="8">
        <v>-13067</v>
      </c>
    </row>
    <row r="44" spans="1:2" x14ac:dyDescent="0.2">
      <c r="A44" s="75" t="s">
        <v>50</v>
      </c>
      <c r="B44" s="7">
        <v>0</v>
      </c>
    </row>
    <row r="45" spans="1:2" x14ac:dyDescent="0.2">
      <c r="A45" s="75" t="s">
        <v>51</v>
      </c>
      <c r="B45" s="7">
        <v>5</v>
      </c>
    </row>
    <row r="46" spans="1:2" x14ac:dyDescent="0.2">
      <c r="A46" s="75"/>
      <c r="B46" s="7"/>
    </row>
    <row r="47" spans="1:2" x14ac:dyDescent="0.2">
      <c r="A47" s="75"/>
      <c r="B47" s="7"/>
    </row>
    <row r="48" spans="1:2" x14ac:dyDescent="0.2">
      <c r="A48" s="73" t="s">
        <v>52</v>
      </c>
      <c r="B48" s="107">
        <f>B41-B43-B44+B45</f>
        <v>13072</v>
      </c>
    </row>
    <row r="49" spans="1:2" x14ac:dyDescent="0.2">
      <c r="A49" s="7"/>
      <c r="B49" s="7"/>
    </row>
    <row r="50" spans="1:2" x14ac:dyDescent="0.2">
      <c r="A50" s="73" t="s">
        <v>217</v>
      </c>
      <c r="B50" s="73">
        <v>399.86</v>
      </c>
    </row>
    <row r="51" spans="1:2" x14ac:dyDescent="0.2">
      <c r="A51" s="7"/>
      <c r="B51" s="7"/>
    </row>
    <row r="52" spans="1:2" x14ac:dyDescent="0.2">
      <c r="A52" s="105" t="s">
        <v>54</v>
      </c>
      <c r="B52" s="106">
        <f>B48/B50</f>
        <v>32.691442004701642</v>
      </c>
    </row>
  </sheetData>
  <mergeCells count="1">
    <mergeCell ref="S4:Y4"/>
  </mergeCells>
  <dataValidations count="4">
    <dataValidation type="list" allowBlank="1" showInputMessage="1" showErrorMessage="1" sqref="B27" xr:uid="{F54BEA16-EDEF-4DA3-9866-FBF3E63D6EAA}">
      <formula1>$AC$4:$AC$5</formula1>
    </dataValidation>
    <dataValidation type="list" allowBlank="1" showInputMessage="1" showErrorMessage="1" sqref="B31" xr:uid="{E8F8FC37-CABA-4C2E-9599-7CB9D69C703F}">
      <formula1>$K$5:$Q$5</formula1>
    </dataValidation>
    <dataValidation type="list" allowBlank="1" showInputMessage="1" showErrorMessage="1" sqref="B33" xr:uid="{CD486363-5E1E-467A-AB8B-80CE3414C2EE}">
      <formula1>$AM$5:$AM$6</formula1>
    </dataValidation>
    <dataValidation type="list" allowBlank="1" showInputMessage="1" showErrorMessage="1" sqref="B7:B26" xr:uid="{5BBEF604-36A7-4018-BAA6-5333B0803D87}">
      <formula1>$AL$5:$AL$6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6F21F-1715-4029-8C45-30436BCD908C}">
  <sheetPr codeName="Sheet10"/>
  <dimension ref="B2:M398"/>
  <sheetViews>
    <sheetView showGridLines="0" workbookViewId="0">
      <selection activeCell="R5" sqref="R5"/>
    </sheetView>
  </sheetViews>
  <sheetFormatPr baseColWidth="10" defaultColWidth="8.83203125" defaultRowHeight="15" x14ac:dyDescent="0.2"/>
  <cols>
    <col min="2" max="2" width="15.33203125" customWidth="1"/>
    <col min="3" max="3" width="11.1640625" customWidth="1"/>
    <col min="8" max="8" width="22.5" customWidth="1"/>
    <col min="13" max="13" width="10.5" bestFit="1" customWidth="1"/>
  </cols>
  <sheetData>
    <row r="2" spans="2:13" x14ac:dyDescent="0.2">
      <c r="B2" t="s">
        <v>223</v>
      </c>
      <c r="F2" t="s">
        <v>151</v>
      </c>
      <c r="H2" t="s">
        <v>160</v>
      </c>
      <c r="K2" t="s">
        <v>133</v>
      </c>
      <c r="M2" t="s">
        <v>166</v>
      </c>
    </row>
    <row r="3" spans="2:13" x14ac:dyDescent="0.2">
      <c r="B3" s="11">
        <f>-1</f>
        <v>-1</v>
      </c>
      <c r="F3" s="168">
        <v>0</v>
      </c>
      <c r="K3" s="168">
        <v>0</v>
      </c>
    </row>
    <row r="4" spans="2:13" x14ac:dyDescent="0.2">
      <c r="B4" s="39">
        <f t="shared" ref="B4:B35" si="0">B3+0.01</f>
        <v>-0.99</v>
      </c>
      <c r="C4" s="275"/>
      <c r="F4" s="168">
        <f t="shared" ref="F4:F23" si="1">F3+5%</f>
        <v>0.05</v>
      </c>
      <c r="H4" s="172">
        <v>-100</v>
      </c>
      <c r="K4" s="33">
        <v>2.5000000000000001E-3</v>
      </c>
      <c r="M4">
        <v>-5</v>
      </c>
    </row>
    <row r="5" spans="2:13" x14ac:dyDescent="0.2">
      <c r="B5" s="39">
        <f t="shared" si="0"/>
        <v>-0.98</v>
      </c>
      <c r="F5" s="39">
        <f t="shared" si="1"/>
        <v>0.1</v>
      </c>
      <c r="H5" s="172">
        <f t="shared" ref="H5:H36" si="2">H4+1</f>
        <v>-99</v>
      </c>
      <c r="K5" s="33">
        <f t="shared" ref="K5:K36" si="3">K4+0.25%</f>
        <v>5.0000000000000001E-3</v>
      </c>
      <c r="M5">
        <f t="shared" ref="M5:M36" si="4">M4+0.1</f>
        <v>-4.9000000000000004</v>
      </c>
    </row>
    <row r="6" spans="2:13" x14ac:dyDescent="0.2">
      <c r="B6" s="39">
        <f t="shared" si="0"/>
        <v>-0.97</v>
      </c>
      <c r="F6" s="39">
        <f t="shared" si="1"/>
        <v>0.15000000000000002</v>
      </c>
      <c r="H6" s="172">
        <f t="shared" si="2"/>
        <v>-98</v>
      </c>
      <c r="K6" s="33">
        <f t="shared" si="3"/>
        <v>7.4999999999999997E-3</v>
      </c>
      <c r="M6">
        <f t="shared" si="4"/>
        <v>-4.8000000000000007</v>
      </c>
    </row>
    <row r="7" spans="2:13" x14ac:dyDescent="0.2">
      <c r="B7" s="39">
        <f t="shared" si="0"/>
        <v>-0.96</v>
      </c>
      <c r="F7" s="39">
        <f t="shared" si="1"/>
        <v>0.2</v>
      </c>
      <c r="H7" s="172">
        <f t="shared" si="2"/>
        <v>-97</v>
      </c>
      <c r="K7" s="33">
        <f t="shared" si="3"/>
        <v>0.01</v>
      </c>
      <c r="M7">
        <f t="shared" si="4"/>
        <v>-4.7000000000000011</v>
      </c>
    </row>
    <row r="8" spans="2:13" x14ac:dyDescent="0.2">
      <c r="B8" s="39">
        <f t="shared" si="0"/>
        <v>-0.95</v>
      </c>
      <c r="F8" s="39">
        <f t="shared" si="1"/>
        <v>0.25</v>
      </c>
      <c r="H8" s="172">
        <f t="shared" si="2"/>
        <v>-96</v>
      </c>
      <c r="K8" s="33">
        <f t="shared" si="3"/>
        <v>1.2500000000000001E-2</v>
      </c>
      <c r="M8">
        <f t="shared" si="4"/>
        <v>-4.6000000000000014</v>
      </c>
    </row>
    <row r="9" spans="2:13" x14ac:dyDescent="0.2">
      <c r="B9" s="39">
        <f t="shared" si="0"/>
        <v>-0.94</v>
      </c>
      <c r="C9" s="277"/>
      <c r="F9" s="39">
        <f t="shared" si="1"/>
        <v>0.3</v>
      </c>
      <c r="H9" s="172">
        <f t="shared" si="2"/>
        <v>-95</v>
      </c>
      <c r="K9" s="33">
        <f t="shared" si="3"/>
        <v>1.5000000000000001E-2</v>
      </c>
      <c r="M9">
        <f t="shared" si="4"/>
        <v>-4.5000000000000018</v>
      </c>
    </row>
    <row r="10" spans="2:13" x14ac:dyDescent="0.2">
      <c r="B10" s="39">
        <f t="shared" si="0"/>
        <v>-0.92999999999999994</v>
      </c>
      <c r="F10" s="39">
        <f t="shared" si="1"/>
        <v>0.35</v>
      </c>
      <c r="H10" s="172">
        <f t="shared" si="2"/>
        <v>-94</v>
      </c>
      <c r="K10" s="33">
        <f t="shared" si="3"/>
        <v>1.7500000000000002E-2</v>
      </c>
      <c r="M10">
        <f t="shared" si="4"/>
        <v>-4.4000000000000021</v>
      </c>
    </row>
    <row r="11" spans="2:13" x14ac:dyDescent="0.2">
      <c r="B11" s="39">
        <f t="shared" si="0"/>
        <v>-0.91999999999999993</v>
      </c>
      <c r="F11" s="39">
        <f t="shared" si="1"/>
        <v>0.39999999999999997</v>
      </c>
      <c r="H11" s="172">
        <f t="shared" si="2"/>
        <v>-93</v>
      </c>
      <c r="K11" s="33">
        <f t="shared" si="3"/>
        <v>0.02</v>
      </c>
      <c r="M11">
        <f t="shared" si="4"/>
        <v>-4.3000000000000025</v>
      </c>
    </row>
    <row r="12" spans="2:13" x14ac:dyDescent="0.2">
      <c r="B12" s="39">
        <f t="shared" si="0"/>
        <v>-0.90999999999999992</v>
      </c>
      <c r="F12" s="39">
        <f t="shared" si="1"/>
        <v>0.44999999999999996</v>
      </c>
      <c r="H12" s="172">
        <f t="shared" si="2"/>
        <v>-92</v>
      </c>
      <c r="K12" s="33">
        <f t="shared" si="3"/>
        <v>2.2499999999999999E-2</v>
      </c>
      <c r="M12">
        <f t="shared" si="4"/>
        <v>-4.2000000000000028</v>
      </c>
    </row>
    <row r="13" spans="2:13" x14ac:dyDescent="0.2">
      <c r="B13" s="39">
        <f t="shared" si="0"/>
        <v>-0.89999999999999991</v>
      </c>
      <c r="F13" s="39">
        <f t="shared" si="1"/>
        <v>0.49999999999999994</v>
      </c>
      <c r="H13" s="172">
        <f t="shared" si="2"/>
        <v>-91</v>
      </c>
      <c r="K13" s="33">
        <f t="shared" si="3"/>
        <v>2.4999999999999998E-2</v>
      </c>
      <c r="M13">
        <f t="shared" si="4"/>
        <v>-4.1000000000000032</v>
      </c>
    </row>
    <row r="14" spans="2:13" x14ac:dyDescent="0.2">
      <c r="B14" s="39">
        <f t="shared" si="0"/>
        <v>-0.8899999999999999</v>
      </c>
      <c r="F14" s="39">
        <f t="shared" si="1"/>
        <v>0.54999999999999993</v>
      </c>
      <c r="H14" s="172">
        <f t="shared" si="2"/>
        <v>-90</v>
      </c>
      <c r="K14" s="33">
        <f t="shared" si="3"/>
        <v>2.7499999999999997E-2</v>
      </c>
      <c r="M14">
        <f t="shared" si="4"/>
        <v>-4.0000000000000036</v>
      </c>
    </row>
    <row r="15" spans="2:13" x14ac:dyDescent="0.2">
      <c r="B15" s="39">
        <f t="shared" si="0"/>
        <v>-0.87999999999999989</v>
      </c>
      <c r="F15" s="39">
        <f t="shared" si="1"/>
        <v>0.6</v>
      </c>
      <c r="H15" s="172">
        <f t="shared" si="2"/>
        <v>-89</v>
      </c>
      <c r="K15" s="33">
        <f t="shared" si="3"/>
        <v>2.9999999999999995E-2</v>
      </c>
      <c r="M15">
        <f t="shared" si="4"/>
        <v>-3.9000000000000035</v>
      </c>
    </row>
    <row r="16" spans="2:13" x14ac:dyDescent="0.2">
      <c r="B16" s="39">
        <f t="shared" si="0"/>
        <v>-0.86999999999999988</v>
      </c>
      <c r="F16" s="39">
        <f t="shared" si="1"/>
        <v>0.65</v>
      </c>
      <c r="H16" s="172">
        <f t="shared" si="2"/>
        <v>-88</v>
      </c>
      <c r="K16" s="33">
        <f t="shared" si="3"/>
        <v>3.2499999999999994E-2</v>
      </c>
      <c r="M16">
        <f t="shared" si="4"/>
        <v>-3.8000000000000034</v>
      </c>
    </row>
    <row r="17" spans="2:13" x14ac:dyDescent="0.2">
      <c r="B17" s="39">
        <f t="shared" si="0"/>
        <v>-0.85999999999999988</v>
      </c>
      <c r="F17" s="39">
        <f t="shared" si="1"/>
        <v>0.70000000000000007</v>
      </c>
      <c r="H17" s="172">
        <f t="shared" si="2"/>
        <v>-87</v>
      </c>
      <c r="K17" s="33">
        <f t="shared" si="3"/>
        <v>3.4999999999999996E-2</v>
      </c>
      <c r="M17">
        <f t="shared" si="4"/>
        <v>-3.7000000000000033</v>
      </c>
    </row>
    <row r="18" spans="2:13" x14ac:dyDescent="0.2">
      <c r="B18" s="39">
        <f t="shared" si="0"/>
        <v>-0.84999999999999987</v>
      </c>
      <c r="F18" s="39">
        <f t="shared" si="1"/>
        <v>0.75000000000000011</v>
      </c>
      <c r="H18" s="172">
        <f t="shared" si="2"/>
        <v>-86</v>
      </c>
      <c r="K18" s="33">
        <f t="shared" si="3"/>
        <v>3.7499999999999999E-2</v>
      </c>
      <c r="M18">
        <f t="shared" si="4"/>
        <v>-3.6000000000000032</v>
      </c>
    </row>
    <row r="19" spans="2:13" x14ac:dyDescent="0.2">
      <c r="B19" s="39">
        <f t="shared" si="0"/>
        <v>-0.83999999999999986</v>
      </c>
      <c r="F19" s="39">
        <f t="shared" si="1"/>
        <v>0.80000000000000016</v>
      </c>
      <c r="H19" s="172">
        <f t="shared" si="2"/>
        <v>-85</v>
      </c>
      <c r="K19" s="33">
        <f t="shared" si="3"/>
        <v>0.04</v>
      </c>
      <c r="M19">
        <f t="shared" si="4"/>
        <v>-3.5000000000000031</v>
      </c>
    </row>
    <row r="20" spans="2:13" x14ac:dyDescent="0.2">
      <c r="B20" s="39">
        <f t="shared" si="0"/>
        <v>-0.82999999999999985</v>
      </c>
      <c r="F20" s="39">
        <f t="shared" si="1"/>
        <v>0.8500000000000002</v>
      </c>
      <c r="H20" s="172">
        <f t="shared" si="2"/>
        <v>-84</v>
      </c>
      <c r="K20" s="33">
        <f t="shared" si="3"/>
        <v>4.2500000000000003E-2</v>
      </c>
      <c r="M20">
        <f t="shared" si="4"/>
        <v>-3.400000000000003</v>
      </c>
    </row>
    <row r="21" spans="2:13" x14ac:dyDescent="0.2">
      <c r="B21" s="39">
        <f t="shared" si="0"/>
        <v>-0.81999999999999984</v>
      </c>
      <c r="F21" s="39">
        <f t="shared" si="1"/>
        <v>0.90000000000000024</v>
      </c>
      <c r="H21" s="172">
        <f t="shared" si="2"/>
        <v>-83</v>
      </c>
      <c r="K21" s="33">
        <f t="shared" si="3"/>
        <v>4.5000000000000005E-2</v>
      </c>
      <c r="M21">
        <f t="shared" si="4"/>
        <v>-3.3000000000000029</v>
      </c>
    </row>
    <row r="22" spans="2:13" x14ac:dyDescent="0.2">
      <c r="B22" s="39">
        <f t="shared" si="0"/>
        <v>-0.80999999999999983</v>
      </c>
      <c r="F22" s="39">
        <f t="shared" si="1"/>
        <v>0.95000000000000029</v>
      </c>
      <c r="H22" s="172">
        <f t="shared" si="2"/>
        <v>-82</v>
      </c>
      <c r="K22" s="33">
        <f t="shared" si="3"/>
        <v>4.7500000000000007E-2</v>
      </c>
      <c r="M22">
        <f t="shared" si="4"/>
        <v>-3.2000000000000028</v>
      </c>
    </row>
    <row r="23" spans="2:13" x14ac:dyDescent="0.2">
      <c r="B23" s="39">
        <f t="shared" si="0"/>
        <v>-0.79999999999999982</v>
      </c>
      <c r="F23" s="39">
        <f t="shared" si="1"/>
        <v>1.0000000000000002</v>
      </c>
      <c r="H23" s="172">
        <f t="shared" si="2"/>
        <v>-81</v>
      </c>
      <c r="K23" s="33">
        <f t="shared" si="3"/>
        <v>5.000000000000001E-2</v>
      </c>
      <c r="M23">
        <f t="shared" si="4"/>
        <v>-3.1000000000000028</v>
      </c>
    </row>
    <row r="24" spans="2:13" x14ac:dyDescent="0.2">
      <c r="B24" s="39">
        <f t="shared" si="0"/>
        <v>-0.78999999999999981</v>
      </c>
      <c r="F24" s="39"/>
      <c r="H24" s="172">
        <f t="shared" si="2"/>
        <v>-80</v>
      </c>
      <c r="K24" s="33">
        <f t="shared" si="3"/>
        <v>5.2500000000000012E-2</v>
      </c>
      <c r="M24">
        <f t="shared" si="4"/>
        <v>-3.0000000000000027</v>
      </c>
    </row>
    <row r="25" spans="2:13" x14ac:dyDescent="0.2">
      <c r="B25" s="39">
        <f t="shared" si="0"/>
        <v>-0.7799999999999998</v>
      </c>
      <c r="H25" s="172">
        <f t="shared" si="2"/>
        <v>-79</v>
      </c>
      <c r="K25" s="33">
        <f t="shared" si="3"/>
        <v>5.5000000000000014E-2</v>
      </c>
      <c r="M25">
        <f t="shared" si="4"/>
        <v>-2.9000000000000026</v>
      </c>
    </row>
    <row r="26" spans="2:13" x14ac:dyDescent="0.2">
      <c r="B26" s="39">
        <f t="shared" si="0"/>
        <v>-0.7699999999999998</v>
      </c>
      <c r="H26" s="172">
        <f t="shared" si="2"/>
        <v>-78</v>
      </c>
      <c r="K26" s="33">
        <f t="shared" si="3"/>
        <v>5.7500000000000016E-2</v>
      </c>
      <c r="M26">
        <f t="shared" si="4"/>
        <v>-2.8000000000000025</v>
      </c>
    </row>
    <row r="27" spans="2:13" x14ac:dyDescent="0.2">
      <c r="B27" s="39">
        <f t="shared" si="0"/>
        <v>-0.75999999999999979</v>
      </c>
      <c r="H27" s="172">
        <f t="shared" si="2"/>
        <v>-77</v>
      </c>
      <c r="K27" s="33">
        <f t="shared" si="3"/>
        <v>6.0000000000000019E-2</v>
      </c>
      <c r="M27">
        <f t="shared" si="4"/>
        <v>-2.7000000000000024</v>
      </c>
    </row>
    <row r="28" spans="2:13" x14ac:dyDescent="0.2">
      <c r="B28" s="39">
        <f t="shared" si="0"/>
        <v>-0.74999999999999978</v>
      </c>
      <c r="H28" s="172">
        <f t="shared" si="2"/>
        <v>-76</v>
      </c>
      <c r="K28" s="33">
        <f t="shared" si="3"/>
        <v>6.2500000000000014E-2</v>
      </c>
      <c r="M28">
        <f t="shared" si="4"/>
        <v>-2.6000000000000023</v>
      </c>
    </row>
    <row r="29" spans="2:13" x14ac:dyDescent="0.2">
      <c r="B29" s="39">
        <f t="shared" si="0"/>
        <v>-0.73999999999999977</v>
      </c>
      <c r="H29" s="172">
        <f t="shared" si="2"/>
        <v>-75</v>
      </c>
      <c r="K29" s="33">
        <f t="shared" si="3"/>
        <v>6.5000000000000016E-2</v>
      </c>
      <c r="M29">
        <f t="shared" si="4"/>
        <v>-2.5000000000000022</v>
      </c>
    </row>
    <row r="30" spans="2:13" x14ac:dyDescent="0.2">
      <c r="B30" s="39">
        <f t="shared" si="0"/>
        <v>-0.72999999999999976</v>
      </c>
      <c r="H30" s="172">
        <f t="shared" si="2"/>
        <v>-74</v>
      </c>
      <c r="K30" s="33">
        <f t="shared" si="3"/>
        <v>6.7500000000000018E-2</v>
      </c>
      <c r="M30">
        <f t="shared" si="4"/>
        <v>-2.4000000000000021</v>
      </c>
    </row>
    <row r="31" spans="2:13" x14ac:dyDescent="0.2">
      <c r="B31" s="39">
        <f t="shared" si="0"/>
        <v>-0.71999999999999975</v>
      </c>
      <c r="H31" s="172">
        <f t="shared" si="2"/>
        <v>-73</v>
      </c>
      <c r="K31" s="33">
        <f t="shared" si="3"/>
        <v>7.0000000000000021E-2</v>
      </c>
      <c r="M31">
        <f t="shared" si="4"/>
        <v>-2.300000000000002</v>
      </c>
    </row>
    <row r="32" spans="2:13" x14ac:dyDescent="0.2">
      <c r="B32" s="39">
        <f t="shared" si="0"/>
        <v>-0.70999999999999974</v>
      </c>
      <c r="H32" s="172">
        <f t="shared" si="2"/>
        <v>-72</v>
      </c>
      <c r="K32" s="33">
        <f t="shared" si="3"/>
        <v>7.2500000000000023E-2</v>
      </c>
      <c r="M32">
        <f t="shared" si="4"/>
        <v>-2.200000000000002</v>
      </c>
    </row>
    <row r="33" spans="2:13" x14ac:dyDescent="0.2">
      <c r="B33" s="39">
        <f t="shared" si="0"/>
        <v>-0.69999999999999973</v>
      </c>
      <c r="H33" s="172">
        <f t="shared" si="2"/>
        <v>-71</v>
      </c>
      <c r="K33" s="33">
        <f t="shared" si="3"/>
        <v>7.5000000000000025E-2</v>
      </c>
      <c r="M33">
        <f t="shared" si="4"/>
        <v>-2.1000000000000019</v>
      </c>
    </row>
    <row r="34" spans="2:13" x14ac:dyDescent="0.2">
      <c r="B34" s="39">
        <f t="shared" si="0"/>
        <v>-0.68999999999999972</v>
      </c>
      <c r="H34" s="172">
        <f t="shared" si="2"/>
        <v>-70</v>
      </c>
      <c r="K34" s="33">
        <f t="shared" si="3"/>
        <v>7.7500000000000027E-2</v>
      </c>
      <c r="M34">
        <f t="shared" si="4"/>
        <v>-2.0000000000000018</v>
      </c>
    </row>
    <row r="35" spans="2:13" x14ac:dyDescent="0.2">
      <c r="B35" s="39">
        <f t="shared" si="0"/>
        <v>-0.67999999999999972</v>
      </c>
      <c r="H35" s="172">
        <f t="shared" si="2"/>
        <v>-69</v>
      </c>
      <c r="K35" s="33">
        <f t="shared" si="3"/>
        <v>8.0000000000000029E-2</v>
      </c>
      <c r="M35">
        <f t="shared" si="4"/>
        <v>-1.9000000000000017</v>
      </c>
    </row>
    <row r="36" spans="2:13" x14ac:dyDescent="0.2">
      <c r="B36" s="39">
        <f t="shared" ref="B36:B67" si="5">B35+0.01</f>
        <v>-0.66999999999999971</v>
      </c>
      <c r="H36" s="172">
        <f t="shared" si="2"/>
        <v>-68</v>
      </c>
      <c r="K36" s="33">
        <f t="shared" si="3"/>
        <v>8.2500000000000032E-2</v>
      </c>
      <c r="M36">
        <f t="shared" si="4"/>
        <v>-1.8000000000000016</v>
      </c>
    </row>
    <row r="37" spans="2:13" x14ac:dyDescent="0.2">
      <c r="B37" s="39">
        <f t="shared" si="5"/>
        <v>-0.6599999999999997</v>
      </c>
      <c r="H37" s="172">
        <f t="shared" ref="H37:H68" si="6">H36+1</f>
        <v>-67</v>
      </c>
      <c r="K37" s="33">
        <f t="shared" ref="K37:K68" si="7">K36+0.25%</f>
        <v>8.5000000000000034E-2</v>
      </c>
      <c r="M37">
        <f t="shared" ref="M37:M68" si="8">M36+0.1</f>
        <v>-1.7000000000000015</v>
      </c>
    </row>
    <row r="38" spans="2:13" x14ac:dyDescent="0.2">
      <c r="B38" s="39">
        <f t="shared" si="5"/>
        <v>-0.64999999999999969</v>
      </c>
      <c r="H38" s="172">
        <f t="shared" si="6"/>
        <v>-66</v>
      </c>
      <c r="K38" s="33">
        <f t="shared" si="7"/>
        <v>8.7500000000000036E-2</v>
      </c>
      <c r="M38">
        <f t="shared" si="8"/>
        <v>-1.6000000000000014</v>
      </c>
    </row>
    <row r="39" spans="2:13" x14ac:dyDescent="0.2">
      <c r="B39" s="39">
        <f t="shared" si="5"/>
        <v>-0.63999999999999968</v>
      </c>
      <c r="H39" s="172">
        <f t="shared" si="6"/>
        <v>-65</v>
      </c>
      <c r="K39" s="33">
        <f t="shared" si="7"/>
        <v>9.0000000000000038E-2</v>
      </c>
      <c r="M39">
        <f t="shared" si="8"/>
        <v>-1.5000000000000013</v>
      </c>
    </row>
    <row r="40" spans="2:13" x14ac:dyDescent="0.2">
      <c r="B40" s="39">
        <f t="shared" si="5"/>
        <v>-0.62999999999999967</v>
      </c>
      <c r="H40" s="172">
        <f t="shared" si="6"/>
        <v>-64</v>
      </c>
      <c r="K40" s="33">
        <f t="shared" si="7"/>
        <v>9.2500000000000041E-2</v>
      </c>
      <c r="M40">
        <f t="shared" si="8"/>
        <v>-1.4000000000000012</v>
      </c>
    </row>
    <row r="41" spans="2:13" x14ac:dyDescent="0.2">
      <c r="B41" s="39">
        <f t="shared" si="5"/>
        <v>-0.61999999999999966</v>
      </c>
      <c r="H41" s="172">
        <f t="shared" si="6"/>
        <v>-63</v>
      </c>
      <c r="K41" s="33">
        <f t="shared" si="7"/>
        <v>9.5000000000000043E-2</v>
      </c>
      <c r="M41">
        <f t="shared" si="8"/>
        <v>-1.3000000000000012</v>
      </c>
    </row>
    <row r="42" spans="2:13" x14ac:dyDescent="0.2">
      <c r="B42" s="39">
        <f t="shared" si="5"/>
        <v>-0.60999999999999965</v>
      </c>
      <c r="H42" s="172">
        <f t="shared" si="6"/>
        <v>-62</v>
      </c>
      <c r="K42" s="33">
        <f t="shared" si="7"/>
        <v>9.7500000000000045E-2</v>
      </c>
      <c r="M42">
        <f t="shared" si="8"/>
        <v>-1.2000000000000011</v>
      </c>
    </row>
    <row r="43" spans="2:13" x14ac:dyDescent="0.2">
      <c r="B43" s="39">
        <f t="shared" si="5"/>
        <v>-0.59999999999999964</v>
      </c>
      <c r="H43" s="172">
        <f t="shared" si="6"/>
        <v>-61</v>
      </c>
      <c r="K43" s="33">
        <f t="shared" si="7"/>
        <v>0.10000000000000005</v>
      </c>
      <c r="M43">
        <f t="shared" si="8"/>
        <v>-1.100000000000001</v>
      </c>
    </row>
    <row r="44" spans="2:13" x14ac:dyDescent="0.2">
      <c r="B44" s="39">
        <f t="shared" si="5"/>
        <v>-0.58999999999999964</v>
      </c>
      <c r="H44" s="172">
        <f t="shared" si="6"/>
        <v>-60</v>
      </c>
      <c r="K44" s="33">
        <f t="shared" si="7"/>
        <v>0.10250000000000005</v>
      </c>
      <c r="M44">
        <f t="shared" si="8"/>
        <v>-1.0000000000000009</v>
      </c>
    </row>
    <row r="45" spans="2:13" x14ac:dyDescent="0.2">
      <c r="B45" s="39">
        <f t="shared" si="5"/>
        <v>-0.57999999999999963</v>
      </c>
      <c r="H45" s="172">
        <f t="shared" si="6"/>
        <v>-59</v>
      </c>
      <c r="K45" s="33">
        <f t="shared" si="7"/>
        <v>0.10500000000000005</v>
      </c>
      <c r="M45">
        <f t="shared" si="8"/>
        <v>-0.90000000000000091</v>
      </c>
    </row>
    <row r="46" spans="2:13" x14ac:dyDescent="0.2">
      <c r="B46" s="39">
        <f t="shared" si="5"/>
        <v>-0.56999999999999962</v>
      </c>
      <c r="H46" s="172">
        <f t="shared" si="6"/>
        <v>-58</v>
      </c>
      <c r="K46" s="33">
        <f t="shared" si="7"/>
        <v>0.10750000000000005</v>
      </c>
      <c r="M46">
        <f t="shared" si="8"/>
        <v>-0.80000000000000093</v>
      </c>
    </row>
    <row r="47" spans="2:13" x14ac:dyDescent="0.2">
      <c r="B47" s="39">
        <f t="shared" si="5"/>
        <v>-0.55999999999999961</v>
      </c>
      <c r="H47" s="172">
        <f t="shared" si="6"/>
        <v>-57</v>
      </c>
      <c r="K47" s="33">
        <f t="shared" si="7"/>
        <v>0.11000000000000006</v>
      </c>
      <c r="M47">
        <f t="shared" si="8"/>
        <v>-0.70000000000000095</v>
      </c>
    </row>
    <row r="48" spans="2:13" x14ac:dyDescent="0.2">
      <c r="B48" s="39">
        <f t="shared" si="5"/>
        <v>-0.5499999999999996</v>
      </c>
      <c r="H48" s="172">
        <f t="shared" si="6"/>
        <v>-56</v>
      </c>
      <c r="K48" s="33">
        <f t="shared" si="7"/>
        <v>0.11250000000000006</v>
      </c>
      <c r="M48">
        <f t="shared" si="8"/>
        <v>-0.60000000000000098</v>
      </c>
    </row>
    <row r="49" spans="2:13" x14ac:dyDescent="0.2">
      <c r="B49" s="39">
        <f t="shared" si="5"/>
        <v>-0.53999999999999959</v>
      </c>
      <c r="H49" s="172">
        <f t="shared" si="6"/>
        <v>-55</v>
      </c>
      <c r="K49" s="33">
        <f t="shared" si="7"/>
        <v>0.11500000000000006</v>
      </c>
      <c r="M49">
        <f t="shared" si="8"/>
        <v>-0.500000000000001</v>
      </c>
    </row>
    <row r="50" spans="2:13" x14ac:dyDescent="0.2">
      <c r="B50" s="39">
        <f t="shared" si="5"/>
        <v>-0.52999999999999958</v>
      </c>
      <c r="H50" s="172">
        <f t="shared" si="6"/>
        <v>-54</v>
      </c>
      <c r="K50" s="33">
        <f t="shared" si="7"/>
        <v>0.11750000000000006</v>
      </c>
      <c r="M50">
        <f t="shared" si="8"/>
        <v>-0.40000000000000102</v>
      </c>
    </row>
    <row r="51" spans="2:13" x14ac:dyDescent="0.2">
      <c r="B51" s="39">
        <f t="shared" si="5"/>
        <v>-0.51999999999999957</v>
      </c>
      <c r="H51" s="172">
        <f t="shared" si="6"/>
        <v>-53</v>
      </c>
      <c r="K51" s="33">
        <f t="shared" si="7"/>
        <v>0.12000000000000006</v>
      </c>
      <c r="M51">
        <f t="shared" si="8"/>
        <v>-0.30000000000000104</v>
      </c>
    </row>
    <row r="52" spans="2:13" x14ac:dyDescent="0.2">
      <c r="B52" s="39">
        <f t="shared" si="5"/>
        <v>-0.50999999999999956</v>
      </c>
      <c r="H52" s="172">
        <f t="shared" si="6"/>
        <v>-52</v>
      </c>
      <c r="K52" s="33">
        <f t="shared" si="7"/>
        <v>0.12250000000000007</v>
      </c>
      <c r="M52">
        <f t="shared" si="8"/>
        <v>-0.20000000000000104</v>
      </c>
    </row>
    <row r="53" spans="2:13" x14ac:dyDescent="0.2">
      <c r="B53" s="39">
        <f t="shared" si="5"/>
        <v>-0.49999999999999956</v>
      </c>
      <c r="H53" s="172">
        <f t="shared" si="6"/>
        <v>-51</v>
      </c>
      <c r="K53" s="33">
        <f t="shared" si="7"/>
        <v>0.12500000000000006</v>
      </c>
      <c r="M53">
        <f t="shared" si="8"/>
        <v>-0.10000000000000103</v>
      </c>
    </row>
    <row r="54" spans="2:13" x14ac:dyDescent="0.2">
      <c r="B54" s="39">
        <f t="shared" si="5"/>
        <v>-0.48999999999999955</v>
      </c>
      <c r="H54" s="172">
        <f t="shared" si="6"/>
        <v>-50</v>
      </c>
      <c r="K54" s="33">
        <f t="shared" si="7"/>
        <v>0.12750000000000006</v>
      </c>
      <c r="M54" s="178">
        <f t="shared" si="8"/>
        <v>-1.0269562977782698E-15</v>
      </c>
    </row>
    <row r="55" spans="2:13" x14ac:dyDescent="0.2">
      <c r="B55" s="39">
        <f t="shared" si="5"/>
        <v>-0.47999999999999954</v>
      </c>
      <c r="H55" s="172">
        <f t="shared" si="6"/>
        <v>-49</v>
      </c>
      <c r="K55" s="33">
        <f t="shared" si="7"/>
        <v>0.13000000000000006</v>
      </c>
      <c r="M55">
        <f t="shared" si="8"/>
        <v>9.9999999999998979E-2</v>
      </c>
    </row>
    <row r="56" spans="2:13" x14ac:dyDescent="0.2">
      <c r="B56" s="39">
        <f t="shared" si="5"/>
        <v>-0.46999999999999953</v>
      </c>
      <c r="H56" s="172">
        <f t="shared" si="6"/>
        <v>-48</v>
      </c>
      <c r="K56" s="33">
        <f t="shared" si="7"/>
        <v>0.13250000000000006</v>
      </c>
      <c r="M56">
        <f t="shared" si="8"/>
        <v>0.19999999999999898</v>
      </c>
    </row>
    <row r="57" spans="2:13" x14ac:dyDescent="0.2">
      <c r="B57" s="39">
        <f t="shared" si="5"/>
        <v>-0.45999999999999952</v>
      </c>
      <c r="H57" s="172">
        <f t="shared" si="6"/>
        <v>-47</v>
      </c>
      <c r="K57" s="33">
        <f t="shared" si="7"/>
        <v>0.13500000000000006</v>
      </c>
      <c r="M57">
        <f t="shared" si="8"/>
        <v>0.29999999999999899</v>
      </c>
    </row>
    <row r="58" spans="2:13" x14ac:dyDescent="0.2">
      <c r="B58" s="39">
        <f t="shared" si="5"/>
        <v>-0.44999999999999951</v>
      </c>
      <c r="H58" s="172">
        <f t="shared" si="6"/>
        <v>-46</v>
      </c>
      <c r="K58" s="33">
        <f t="shared" si="7"/>
        <v>0.13750000000000007</v>
      </c>
      <c r="M58">
        <f t="shared" si="8"/>
        <v>0.39999999999999902</v>
      </c>
    </row>
    <row r="59" spans="2:13" x14ac:dyDescent="0.2">
      <c r="B59" s="39">
        <f t="shared" si="5"/>
        <v>-0.4399999999999995</v>
      </c>
      <c r="H59" s="172">
        <f t="shared" si="6"/>
        <v>-45</v>
      </c>
      <c r="K59" s="33">
        <f t="shared" si="7"/>
        <v>0.14000000000000007</v>
      </c>
      <c r="M59">
        <f t="shared" si="8"/>
        <v>0.499999999999999</v>
      </c>
    </row>
    <row r="60" spans="2:13" x14ac:dyDescent="0.2">
      <c r="B60" s="39">
        <f t="shared" si="5"/>
        <v>-0.42999999999999949</v>
      </c>
      <c r="H60" s="172">
        <f t="shared" si="6"/>
        <v>-44</v>
      </c>
      <c r="K60" s="33">
        <f t="shared" si="7"/>
        <v>0.14250000000000007</v>
      </c>
      <c r="M60">
        <f t="shared" si="8"/>
        <v>0.59999999999999898</v>
      </c>
    </row>
    <row r="61" spans="2:13" x14ac:dyDescent="0.2">
      <c r="B61" s="39">
        <f t="shared" si="5"/>
        <v>-0.41999999999999948</v>
      </c>
      <c r="H61" s="172">
        <f t="shared" si="6"/>
        <v>-43</v>
      </c>
      <c r="K61" s="33">
        <f t="shared" si="7"/>
        <v>0.14500000000000007</v>
      </c>
      <c r="M61">
        <f t="shared" si="8"/>
        <v>0.69999999999999896</v>
      </c>
    </row>
    <row r="62" spans="2:13" x14ac:dyDescent="0.2">
      <c r="B62" s="39">
        <f t="shared" si="5"/>
        <v>-0.40999999999999948</v>
      </c>
      <c r="H62" s="172">
        <f t="shared" si="6"/>
        <v>-42</v>
      </c>
      <c r="K62" s="33">
        <f t="shared" si="7"/>
        <v>0.14750000000000008</v>
      </c>
      <c r="M62">
        <f t="shared" si="8"/>
        <v>0.79999999999999893</v>
      </c>
    </row>
    <row r="63" spans="2:13" x14ac:dyDescent="0.2">
      <c r="B63" s="39">
        <f t="shared" si="5"/>
        <v>-0.39999999999999947</v>
      </c>
      <c r="H63" s="172">
        <f t="shared" si="6"/>
        <v>-41</v>
      </c>
      <c r="K63" s="33">
        <f t="shared" si="7"/>
        <v>0.15000000000000008</v>
      </c>
      <c r="M63">
        <f t="shared" si="8"/>
        <v>0.89999999999999891</v>
      </c>
    </row>
    <row r="64" spans="2:13" x14ac:dyDescent="0.2">
      <c r="B64" s="39">
        <f t="shared" si="5"/>
        <v>-0.38999999999999946</v>
      </c>
      <c r="H64" s="172">
        <f t="shared" si="6"/>
        <v>-40</v>
      </c>
      <c r="K64" s="33">
        <f t="shared" si="7"/>
        <v>0.15250000000000008</v>
      </c>
      <c r="M64">
        <f t="shared" si="8"/>
        <v>0.99999999999999889</v>
      </c>
    </row>
    <row r="65" spans="2:13" x14ac:dyDescent="0.2">
      <c r="B65" s="39">
        <f t="shared" si="5"/>
        <v>-0.37999999999999945</v>
      </c>
      <c r="H65" s="172">
        <f t="shared" si="6"/>
        <v>-39</v>
      </c>
      <c r="K65" s="33">
        <f t="shared" si="7"/>
        <v>0.15500000000000008</v>
      </c>
      <c r="M65">
        <f t="shared" si="8"/>
        <v>1.099999999999999</v>
      </c>
    </row>
    <row r="66" spans="2:13" x14ac:dyDescent="0.2">
      <c r="B66" s="39">
        <f t="shared" si="5"/>
        <v>-0.36999999999999944</v>
      </c>
      <c r="H66" s="172">
        <f t="shared" si="6"/>
        <v>-38</v>
      </c>
      <c r="K66" s="33">
        <f t="shared" si="7"/>
        <v>0.15750000000000008</v>
      </c>
      <c r="M66">
        <f t="shared" si="8"/>
        <v>1.1999999999999991</v>
      </c>
    </row>
    <row r="67" spans="2:13" x14ac:dyDescent="0.2">
      <c r="B67" s="39">
        <f t="shared" si="5"/>
        <v>-0.35999999999999943</v>
      </c>
      <c r="H67" s="172">
        <f t="shared" si="6"/>
        <v>-37</v>
      </c>
      <c r="K67" s="33">
        <f t="shared" si="7"/>
        <v>0.16000000000000009</v>
      </c>
      <c r="M67">
        <f t="shared" si="8"/>
        <v>1.2999999999999992</v>
      </c>
    </row>
    <row r="68" spans="2:13" x14ac:dyDescent="0.2">
      <c r="B68" s="39">
        <f t="shared" ref="B68:B99" si="9">B67+0.01</f>
        <v>-0.34999999999999942</v>
      </c>
      <c r="H68" s="172">
        <f t="shared" si="6"/>
        <v>-36</v>
      </c>
      <c r="K68" s="33">
        <f t="shared" si="7"/>
        <v>0.16250000000000009</v>
      </c>
      <c r="M68">
        <f t="shared" si="8"/>
        <v>1.3999999999999992</v>
      </c>
    </row>
    <row r="69" spans="2:13" x14ac:dyDescent="0.2">
      <c r="B69" s="39">
        <f t="shared" si="9"/>
        <v>-0.33999999999999941</v>
      </c>
      <c r="H69" s="172">
        <f t="shared" ref="H69:H100" si="10">H68+1</f>
        <v>-35</v>
      </c>
      <c r="K69" s="33">
        <f t="shared" ref="K69:K100" si="11">K68+0.25%</f>
        <v>0.16500000000000009</v>
      </c>
      <c r="M69">
        <f t="shared" ref="M69:M104" si="12">M68+0.1</f>
        <v>1.4999999999999993</v>
      </c>
    </row>
    <row r="70" spans="2:13" x14ac:dyDescent="0.2">
      <c r="B70" s="39">
        <f t="shared" si="9"/>
        <v>-0.3299999999999994</v>
      </c>
      <c r="H70" s="172">
        <f t="shared" si="10"/>
        <v>-34</v>
      </c>
      <c r="K70" s="33">
        <f t="shared" si="11"/>
        <v>0.16750000000000009</v>
      </c>
      <c r="M70">
        <f t="shared" si="12"/>
        <v>1.5999999999999994</v>
      </c>
    </row>
    <row r="71" spans="2:13" x14ac:dyDescent="0.2">
      <c r="B71" s="39">
        <f t="shared" si="9"/>
        <v>-0.3199999999999994</v>
      </c>
      <c r="H71" s="172">
        <f t="shared" si="10"/>
        <v>-33</v>
      </c>
      <c r="K71" s="33">
        <f t="shared" si="11"/>
        <v>0.1700000000000001</v>
      </c>
      <c r="M71">
        <f t="shared" si="12"/>
        <v>1.6999999999999995</v>
      </c>
    </row>
    <row r="72" spans="2:13" x14ac:dyDescent="0.2">
      <c r="B72" s="39">
        <f t="shared" si="9"/>
        <v>-0.30999999999999939</v>
      </c>
      <c r="H72" s="172">
        <f t="shared" si="10"/>
        <v>-32</v>
      </c>
      <c r="K72" s="33">
        <f t="shared" si="11"/>
        <v>0.1725000000000001</v>
      </c>
      <c r="M72">
        <f t="shared" si="12"/>
        <v>1.7999999999999996</v>
      </c>
    </row>
    <row r="73" spans="2:13" x14ac:dyDescent="0.2">
      <c r="B73" s="39">
        <f t="shared" si="9"/>
        <v>-0.29999999999999938</v>
      </c>
      <c r="H73" s="172">
        <f t="shared" si="10"/>
        <v>-31</v>
      </c>
      <c r="K73" s="33">
        <f t="shared" si="11"/>
        <v>0.1750000000000001</v>
      </c>
      <c r="M73">
        <f t="shared" si="12"/>
        <v>1.8999999999999997</v>
      </c>
    </row>
    <row r="74" spans="2:13" x14ac:dyDescent="0.2">
      <c r="B74" s="39">
        <f t="shared" si="9"/>
        <v>-0.28999999999999937</v>
      </c>
      <c r="H74" s="172">
        <f t="shared" si="10"/>
        <v>-30</v>
      </c>
      <c r="K74" s="33">
        <f t="shared" si="11"/>
        <v>0.1775000000000001</v>
      </c>
      <c r="M74">
        <f t="shared" si="12"/>
        <v>1.9999999999999998</v>
      </c>
    </row>
    <row r="75" spans="2:13" x14ac:dyDescent="0.2">
      <c r="B75" s="39">
        <f t="shared" si="9"/>
        <v>-0.27999999999999936</v>
      </c>
      <c r="H75" s="172">
        <f t="shared" si="10"/>
        <v>-29</v>
      </c>
      <c r="K75" s="33">
        <f t="shared" si="11"/>
        <v>0.1800000000000001</v>
      </c>
      <c r="M75">
        <f t="shared" si="12"/>
        <v>2.0999999999999996</v>
      </c>
    </row>
    <row r="76" spans="2:13" x14ac:dyDescent="0.2">
      <c r="B76" s="39">
        <f t="shared" si="9"/>
        <v>-0.26999999999999935</v>
      </c>
      <c r="H76" s="172">
        <f t="shared" si="10"/>
        <v>-28</v>
      </c>
      <c r="K76" s="33">
        <f t="shared" si="11"/>
        <v>0.18250000000000011</v>
      </c>
      <c r="M76">
        <f t="shared" si="12"/>
        <v>2.1999999999999997</v>
      </c>
    </row>
    <row r="77" spans="2:13" x14ac:dyDescent="0.2">
      <c r="B77" s="39">
        <f t="shared" si="9"/>
        <v>-0.25999999999999934</v>
      </c>
      <c r="H77" s="172">
        <f t="shared" si="10"/>
        <v>-27</v>
      </c>
      <c r="K77" s="33">
        <f t="shared" si="11"/>
        <v>0.18500000000000011</v>
      </c>
      <c r="M77">
        <f t="shared" si="12"/>
        <v>2.2999999999999998</v>
      </c>
    </row>
    <row r="78" spans="2:13" x14ac:dyDescent="0.2">
      <c r="B78" s="39">
        <f t="shared" si="9"/>
        <v>-0.24999999999999933</v>
      </c>
      <c r="H78" s="172">
        <f t="shared" si="10"/>
        <v>-26</v>
      </c>
      <c r="K78" s="33">
        <f t="shared" si="11"/>
        <v>0.18750000000000011</v>
      </c>
      <c r="M78">
        <f t="shared" si="12"/>
        <v>2.4</v>
      </c>
    </row>
    <row r="79" spans="2:13" x14ac:dyDescent="0.2">
      <c r="B79" s="39">
        <f t="shared" si="9"/>
        <v>-0.23999999999999932</v>
      </c>
      <c r="H79" s="172">
        <f t="shared" si="10"/>
        <v>-25</v>
      </c>
      <c r="K79" s="33">
        <f t="shared" si="11"/>
        <v>0.19000000000000011</v>
      </c>
      <c r="M79">
        <f t="shared" si="12"/>
        <v>2.5</v>
      </c>
    </row>
    <row r="80" spans="2:13" x14ac:dyDescent="0.2">
      <c r="B80" s="39">
        <f t="shared" si="9"/>
        <v>-0.22999999999999932</v>
      </c>
      <c r="H80" s="172">
        <f t="shared" si="10"/>
        <v>-24</v>
      </c>
      <c r="K80" s="33">
        <f t="shared" si="11"/>
        <v>0.19250000000000012</v>
      </c>
      <c r="M80">
        <f t="shared" si="12"/>
        <v>2.6</v>
      </c>
    </row>
    <row r="81" spans="2:13" x14ac:dyDescent="0.2">
      <c r="B81" s="39">
        <f t="shared" si="9"/>
        <v>-0.21999999999999931</v>
      </c>
      <c r="H81" s="172">
        <f t="shared" si="10"/>
        <v>-23</v>
      </c>
      <c r="K81" s="33">
        <f t="shared" si="11"/>
        <v>0.19500000000000012</v>
      </c>
      <c r="M81">
        <f t="shared" si="12"/>
        <v>2.7</v>
      </c>
    </row>
    <row r="82" spans="2:13" x14ac:dyDescent="0.2">
      <c r="B82" s="39">
        <f t="shared" si="9"/>
        <v>-0.2099999999999993</v>
      </c>
      <c r="H82" s="172">
        <f t="shared" si="10"/>
        <v>-22</v>
      </c>
      <c r="K82" s="33">
        <f t="shared" si="11"/>
        <v>0.19750000000000012</v>
      </c>
      <c r="M82">
        <f t="shared" si="12"/>
        <v>2.8000000000000003</v>
      </c>
    </row>
    <row r="83" spans="2:13" x14ac:dyDescent="0.2">
      <c r="B83" s="39">
        <f t="shared" si="9"/>
        <v>-0.19999999999999929</v>
      </c>
      <c r="H83" s="172">
        <f t="shared" si="10"/>
        <v>-21</v>
      </c>
      <c r="K83" s="33">
        <f t="shared" si="11"/>
        <v>0.20000000000000012</v>
      </c>
      <c r="M83">
        <f t="shared" si="12"/>
        <v>2.9000000000000004</v>
      </c>
    </row>
    <row r="84" spans="2:13" x14ac:dyDescent="0.2">
      <c r="B84" s="39">
        <f t="shared" si="9"/>
        <v>-0.18999999999999928</v>
      </c>
      <c r="H84" s="172">
        <f t="shared" si="10"/>
        <v>-20</v>
      </c>
      <c r="K84" s="33">
        <f t="shared" si="11"/>
        <v>0.20250000000000012</v>
      </c>
      <c r="M84">
        <f t="shared" si="12"/>
        <v>3.0000000000000004</v>
      </c>
    </row>
    <row r="85" spans="2:13" x14ac:dyDescent="0.2">
      <c r="B85" s="39">
        <f t="shared" si="9"/>
        <v>-0.17999999999999927</v>
      </c>
      <c r="H85" s="172">
        <f t="shared" si="10"/>
        <v>-19</v>
      </c>
      <c r="K85" s="33">
        <f t="shared" si="11"/>
        <v>0.20500000000000013</v>
      </c>
      <c r="M85">
        <f t="shared" si="12"/>
        <v>3.1000000000000005</v>
      </c>
    </row>
    <row r="86" spans="2:13" x14ac:dyDescent="0.2">
      <c r="B86" s="39">
        <f t="shared" si="9"/>
        <v>-0.16999999999999926</v>
      </c>
      <c r="H86" s="172">
        <f t="shared" si="10"/>
        <v>-18</v>
      </c>
      <c r="K86" s="33">
        <f t="shared" si="11"/>
        <v>0.20750000000000013</v>
      </c>
      <c r="M86">
        <f t="shared" si="12"/>
        <v>3.2000000000000006</v>
      </c>
    </row>
    <row r="87" spans="2:13" x14ac:dyDescent="0.2">
      <c r="B87" s="39">
        <f t="shared" si="9"/>
        <v>-0.15999999999999925</v>
      </c>
      <c r="H87" s="172">
        <f t="shared" si="10"/>
        <v>-17</v>
      </c>
      <c r="K87" s="33">
        <f t="shared" si="11"/>
        <v>0.21000000000000013</v>
      </c>
      <c r="M87">
        <f t="shared" si="12"/>
        <v>3.3000000000000007</v>
      </c>
    </row>
    <row r="88" spans="2:13" x14ac:dyDescent="0.2">
      <c r="B88" s="39">
        <f t="shared" si="9"/>
        <v>-0.14999999999999925</v>
      </c>
      <c r="H88" s="172">
        <f t="shared" si="10"/>
        <v>-16</v>
      </c>
      <c r="K88" s="33">
        <f t="shared" si="11"/>
        <v>0.21250000000000013</v>
      </c>
      <c r="M88">
        <f t="shared" si="12"/>
        <v>3.4000000000000008</v>
      </c>
    </row>
    <row r="89" spans="2:13" x14ac:dyDescent="0.2">
      <c r="B89" s="39">
        <f t="shared" si="9"/>
        <v>-0.13999999999999924</v>
      </c>
      <c r="H89" s="172">
        <f t="shared" si="10"/>
        <v>-15</v>
      </c>
      <c r="K89" s="33">
        <f t="shared" si="11"/>
        <v>0.21500000000000014</v>
      </c>
      <c r="M89">
        <f t="shared" si="12"/>
        <v>3.5000000000000009</v>
      </c>
    </row>
    <row r="90" spans="2:13" x14ac:dyDescent="0.2">
      <c r="B90" s="39">
        <f t="shared" si="9"/>
        <v>-0.12999999999999923</v>
      </c>
      <c r="H90" s="172">
        <f t="shared" si="10"/>
        <v>-14</v>
      </c>
      <c r="K90" s="33">
        <f t="shared" si="11"/>
        <v>0.21750000000000014</v>
      </c>
      <c r="M90">
        <f t="shared" si="12"/>
        <v>3.600000000000001</v>
      </c>
    </row>
    <row r="91" spans="2:13" x14ac:dyDescent="0.2">
      <c r="B91" s="39">
        <f t="shared" si="9"/>
        <v>-0.11999999999999923</v>
      </c>
      <c r="H91" s="172">
        <f t="shared" si="10"/>
        <v>-13</v>
      </c>
      <c r="K91" s="33">
        <f t="shared" si="11"/>
        <v>0.22000000000000014</v>
      </c>
      <c r="M91">
        <f t="shared" si="12"/>
        <v>3.7000000000000011</v>
      </c>
    </row>
    <row r="92" spans="2:13" x14ac:dyDescent="0.2">
      <c r="B92" s="39">
        <f t="shared" si="9"/>
        <v>-0.10999999999999924</v>
      </c>
      <c r="H92" s="172">
        <f t="shared" si="10"/>
        <v>-12</v>
      </c>
      <c r="K92" s="33">
        <f t="shared" si="11"/>
        <v>0.22250000000000014</v>
      </c>
      <c r="M92">
        <f t="shared" si="12"/>
        <v>3.8000000000000012</v>
      </c>
    </row>
    <row r="93" spans="2:13" x14ac:dyDescent="0.2">
      <c r="B93" s="39">
        <f t="shared" si="9"/>
        <v>-9.9999999999999242E-2</v>
      </c>
      <c r="H93" s="172">
        <f t="shared" si="10"/>
        <v>-11</v>
      </c>
      <c r="K93" s="33">
        <f t="shared" si="11"/>
        <v>0.22500000000000014</v>
      </c>
      <c r="M93">
        <f t="shared" si="12"/>
        <v>3.9000000000000012</v>
      </c>
    </row>
    <row r="94" spans="2:13" x14ac:dyDescent="0.2">
      <c r="B94" s="39">
        <f t="shared" si="9"/>
        <v>-8.9999999999999247E-2</v>
      </c>
      <c r="H94" s="172">
        <f t="shared" si="10"/>
        <v>-10</v>
      </c>
      <c r="K94" s="33">
        <f t="shared" si="11"/>
        <v>0.22750000000000015</v>
      </c>
      <c r="M94">
        <f t="shared" si="12"/>
        <v>4.0000000000000009</v>
      </c>
    </row>
    <row r="95" spans="2:13" x14ac:dyDescent="0.2">
      <c r="B95" s="39">
        <f t="shared" si="9"/>
        <v>-7.9999999999999252E-2</v>
      </c>
      <c r="H95" s="172">
        <f t="shared" si="10"/>
        <v>-9</v>
      </c>
      <c r="K95" s="33">
        <f t="shared" si="11"/>
        <v>0.23000000000000015</v>
      </c>
      <c r="M95">
        <f t="shared" si="12"/>
        <v>4.1000000000000005</v>
      </c>
    </row>
    <row r="96" spans="2:13" x14ac:dyDescent="0.2">
      <c r="B96" s="39">
        <f t="shared" si="9"/>
        <v>-6.9999999999999257E-2</v>
      </c>
      <c r="H96" s="172">
        <f t="shared" si="10"/>
        <v>-8</v>
      </c>
      <c r="K96" s="33">
        <f t="shared" si="11"/>
        <v>0.23250000000000015</v>
      </c>
      <c r="M96">
        <f t="shared" si="12"/>
        <v>4.2</v>
      </c>
    </row>
    <row r="97" spans="2:13" x14ac:dyDescent="0.2">
      <c r="B97" s="39">
        <f t="shared" si="9"/>
        <v>-5.9999999999999255E-2</v>
      </c>
      <c r="H97" s="172">
        <f t="shared" si="10"/>
        <v>-7</v>
      </c>
      <c r="K97" s="33">
        <f t="shared" si="11"/>
        <v>0.23500000000000015</v>
      </c>
      <c r="M97">
        <f t="shared" si="12"/>
        <v>4.3</v>
      </c>
    </row>
    <row r="98" spans="2:13" x14ac:dyDescent="0.2">
      <c r="B98" s="39">
        <f t="shared" si="9"/>
        <v>-4.9999999999999253E-2</v>
      </c>
      <c r="H98" s="172">
        <f t="shared" si="10"/>
        <v>-6</v>
      </c>
      <c r="K98" s="33">
        <f t="shared" si="11"/>
        <v>0.23750000000000016</v>
      </c>
      <c r="M98">
        <f t="shared" si="12"/>
        <v>4.3999999999999995</v>
      </c>
    </row>
    <row r="99" spans="2:13" x14ac:dyDescent="0.2">
      <c r="B99" s="39">
        <f t="shared" si="9"/>
        <v>-3.9999999999999251E-2</v>
      </c>
      <c r="H99" s="172">
        <f t="shared" si="10"/>
        <v>-5</v>
      </c>
      <c r="K99" s="33">
        <f t="shared" si="11"/>
        <v>0.24000000000000016</v>
      </c>
      <c r="M99">
        <f t="shared" si="12"/>
        <v>4.4999999999999991</v>
      </c>
    </row>
    <row r="100" spans="2:13" x14ac:dyDescent="0.2">
      <c r="B100" s="39">
        <f t="shared" ref="B100:B131" si="13">B99+0.01</f>
        <v>-2.9999999999999249E-2</v>
      </c>
      <c r="H100" s="172">
        <f t="shared" si="10"/>
        <v>-4</v>
      </c>
      <c r="K100" s="33">
        <f t="shared" si="11"/>
        <v>0.24250000000000016</v>
      </c>
      <c r="M100">
        <f t="shared" si="12"/>
        <v>4.5999999999999988</v>
      </c>
    </row>
    <row r="101" spans="2:13" x14ac:dyDescent="0.2">
      <c r="B101" s="39">
        <f t="shared" si="13"/>
        <v>-1.9999999999999248E-2</v>
      </c>
      <c r="H101" s="172">
        <f t="shared" ref="H101:H132" si="14">H100+1</f>
        <v>-3</v>
      </c>
      <c r="K101" s="33">
        <f t="shared" ref="K101:K123" si="15">K100+0.25%</f>
        <v>0.24500000000000016</v>
      </c>
      <c r="M101">
        <f t="shared" si="12"/>
        <v>4.6999999999999984</v>
      </c>
    </row>
    <row r="102" spans="2:13" x14ac:dyDescent="0.2">
      <c r="B102" s="39">
        <f t="shared" si="13"/>
        <v>-9.9999999999992473E-3</v>
      </c>
      <c r="H102" s="172">
        <f t="shared" si="14"/>
        <v>-2</v>
      </c>
      <c r="K102" s="33">
        <f t="shared" si="15"/>
        <v>0.24750000000000016</v>
      </c>
      <c r="M102">
        <f t="shared" si="12"/>
        <v>4.799999999999998</v>
      </c>
    </row>
    <row r="103" spans="2:13" x14ac:dyDescent="0.2">
      <c r="B103" s="39">
        <f t="shared" si="13"/>
        <v>7.5286998857393428E-16</v>
      </c>
      <c r="C103" s="275"/>
      <c r="H103" s="172">
        <f t="shared" si="14"/>
        <v>-1</v>
      </c>
      <c r="K103" s="33">
        <f t="shared" si="15"/>
        <v>0.25000000000000017</v>
      </c>
      <c r="M103">
        <f t="shared" si="12"/>
        <v>4.8999999999999977</v>
      </c>
    </row>
    <row r="104" spans="2:13" x14ac:dyDescent="0.2">
      <c r="B104" s="39">
        <f t="shared" si="13"/>
        <v>1.0000000000000753E-2</v>
      </c>
      <c r="C104" s="274"/>
      <c r="H104" s="172">
        <f t="shared" si="14"/>
        <v>0</v>
      </c>
      <c r="K104" s="33">
        <f t="shared" si="15"/>
        <v>0.25250000000000017</v>
      </c>
      <c r="M104">
        <f t="shared" si="12"/>
        <v>4.9999999999999973</v>
      </c>
    </row>
    <row r="105" spans="2:13" x14ac:dyDescent="0.2">
      <c r="B105" s="39">
        <f t="shared" si="13"/>
        <v>2.0000000000000753E-2</v>
      </c>
      <c r="H105" s="172">
        <f t="shared" si="14"/>
        <v>1</v>
      </c>
      <c r="K105" s="33">
        <f t="shared" si="15"/>
        <v>0.25500000000000017</v>
      </c>
    </row>
    <row r="106" spans="2:13" x14ac:dyDescent="0.2">
      <c r="B106" s="39">
        <f t="shared" si="13"/>
        <v>3.0000000000000755E-2</v>
      </c>
      <c r="H106" s="172">
        <f t="shared" si="14"/>
        <v>2</v>
      </c>
      <c r="K106" s="33">
        <f t="shared" si="15"/>
        <v>0.25750000000000017</v>
      </c>
    </row>
    <row r="107" spans="2:13" x14ac:dyDescent="0.2">
      <c r="B107" s="39">
        <f t="shared" si="13"/>
        <v>4.0000000000000757E-2</v>
      </c>
      <c r="H107" s="172">
        <f t="shared" si="14"/>
        <v>3</v>
      </c>
      <c r="K107" s="33">
        <f t="shared" si="15"/>
        <v>0.26000000000000018</v>
      </c>
    </row>
    <row r="108" spans="2:13" x14ac:dyDescent="0.2">
      <c r="B108" s="39">
        <f t="shared" si="13"/>
        <v>5.0000000000000759E-2</v>
      </c>
      <c r="H108" s="172">
        <f t="shared" si="14"/>
        <v>4</v>
      </c>
      <c r="K108" s="33">
        <f t="shared" si="15"/>
        <v>0.26250000000000018</v>
      </c>
    </row>
    <row r="109" spans="2:13" x14ac:dyDescent="0.2">
      <c r="B109" s="39">
        <f t="shared" si="13"/>
        <v>6.0000000000000761E-2</v>
      </c>
      <c r="H109" s="172">
        <f t="shared" si="14"/>
        <v>5</v>
      </c>
      <c r="K109" s="33">
        <f t="shared" si="15"/>
        <v>0.26500000000000018</v>
      </c>
    </row>
    <row r="110" spans="2:13" x14ac:dyDescent="0.2">
      <c r="B110" s="39">
        <f t="shared" si="13"/>
        <v>7.0000000000000756E-2</v>
      </c>
      <c r="H110" s="172">
        <f t="shared" si="14"/>
        <v>6</v>
      </c>
      <c r="K110" s="33">
        <f t="shared" si="15"/>
        <v>0.26750000000000018</v>
      </c>
    </row>
    <row r="111" spans="2:13" x14ac:dyDescent="0.2">
      <c r="B111" s="39">
        <f t="shared" si="13"/>
        <v>8.0000000000000751E-2</v>
      </c>
      <c r="H111" s="172">
        <f t="shared" si="14"/>
        <v>7</v>
      </c>
      <c r="K111" s="33">
        <f t="shared" si="15"/>
        <v>0.27000000000000018</v>
      </c>
    </row>
    <row r="112" spans="2:13" x14ac:dyDescent="0.2">
      <c r="B112" s="39">
        <f t="shared" si="13"/>
        <v>9.0000000000000746E-2</v>
      </c>
      <c r="H112" s="172">
        <f t="shared" si="14"/>
        <v>8</v>
      </c>
      <c r="K112" s="33">
        <f t="shared" si="15"/>
        <v>0.27250000000000019</v>
      </c>
    </row>
    <row r="113" spans="2:11" x14ac:dyDescent="0.2">
      <c r="B113" s="39">
        <f t="shared" si="13"/>
        <v>0.10000000000000074</v>
      </c>
      <c r="H113" s="172">
        <f t="shared" si="14"/>
        <v>9</v>
      </c>
      <c r="K113" s="33">
        <f t="shared" si="15"/>
        <v>0.27500000000000019</v>
      </c>
    </row>
    <row r="114" spans="2:11" x14ac:dyDescent="0.2">
      <c r="B114" s="39">
        <f t="shared" si="13"/>
        <v>0.11000000000000074</v>
      </c>
      <c r="H114" s="172">
        <f t="shared" si="14"/>
        <v>10</v>
      </c>
      <c r="K114" s="33">
        <f t="shared" si="15"/>
        <v>0.27750000000000019</v>
      </c>
    </row>
    <row r="115" spans="2:11" x14ac:dyDescent="0.2">
      <c r="B115" s="39">
        <f t="shared" si="13"/>
        <v>0.12000000000000073</v>
      </c>
      <c r="H115" s="172">
        <f t="shared" si="14"/>
        <v>11</v>
      </c>
      <c r="K115" s="33">
        <f t="shared" si="15"/>
        <v>0.28000000000000019</v>
      </c>
    </row>
    <row r="116" spans="2:11" x14ac:dyDescent="0.2">
      <c r="B116" s="39">
        <f t="shared" si="13"/>
        <v>0.13000000000000073</v>
      </c>
      <c r="H116" s="172">
        <f t="shared" si="14"/>
        <v>12</v>
      </c>
      <c r="K116" s="33">
        <f t="shared" si="15"/>
        <v>0.2825000000000002</v>
      </c>
    </row>
    <row r="117" spans="2:11" x14ac:dyDescent="0.2">
      <c r="B117" s="39">
        <f t="shared" si="13"/>
        <v>0.14000000000000073</v>
      </c>
      <c r="H117" s="172">
        <f t="shared" si="14"/>
        <v>13</v>
      </c>
      <c r="K117" s="33">
        <f t="shared" si="15"/>
        <v>0.2850000000000002</v>
      </c>
    </row>
    <row r="118" spans="2:11" x14ac:dyDescent="0.2">
      <c r="B118" s="39">
        <f t="shared" si="13"/>
        <v>0.15000000000000074</v>
      </c>
      <c r="H118" s="172">
        <f t="shared" si="14"/>
        <v>14</v>
      </c>
      <c r="K118" s="33">
        <f t="shared" si="15"/>
        <v>0.2875000000000002</v>
      </c>
    </row>
    <row r="119" spans="2:11" x14ac:dyDescent="0.2">
      <c r="B119" s="39">
        <f t="shared" si="13"/>
        <v>0.16000000000000075</v>
      </c>
      <c r="H119" s="172">
        <f t="shared" si="14"/>
        <v>15</v>
      </c>
      <c r="K119" s="33">
        <f t="shared" si="15"/>
        <v>0.2900000000000002</v>
      </c>
    </row>
    <row r="120" spans="2:11" x14ac:dyDescent="0.2">
      <c r="B120" s="39">
        <f t="shared" si="13"/>
        <v>0.17000000000000076</v>
      </c>
      <c r="H120" s="172">
        <f t="shared" si="14"/>
        <v>16</v>
      </c>
      <c r="K120" s="33">
        <f t="shared" si="15"/>
        <v>0.2925000000000002</v>
      </c>
    </row>
    <row r="121" spans="2:11" x14ac:dyDescent="0.2">
      <c r="B121" s="39">
        <f t="shared" si="13"/>
        <v>0.18000000000000077</v>
      </c>
      <c r="H121" s="172">
        <f t="shared" si="14"/>
        <v>17</v>
      </c>
      <c r="K121" s="33">
        <f t="shared" si="15"/>
        <v>0.29500000000000021</v>
      </c>
    </row>
    <row r="122" spans="2:11" x14ac:dyDescent="0.2">
      <c r="B122" s="39">
        <f t="shared" si="13"/>
        <v>0.19000000000000078</v>
      </c>
      <c r="H122" s="172">
        <f t="shared" si="14"/>
        <v>18</v>
      </c>
      <c r="K122" s="33">
        <f t="shared" si="15"/>
        <v>0.29750000000000021</v>
      </c>
    </row>
    <row r="123" spans="2:11" x14ac:dyDescent="0.2">
      <c r="B123" s="39">
        <f t="shared" si="13"/>
        <v>0.20000000000000079</v>
      </c>
      <c r="H123" s="172">
        <f t="shared" si="14"/>
        <v>19</v>
      </c>
      <c r="K123" s="33">
        <f t="shared" si="15"/>
        <v>0.30000000000000021</v>
      </c>
    </row>
    <row r="124" spans="2:11" x14ac:dyDescent="0.2">
      <c r="B124" s="39">
        <f t="shared" si="13"/>
        <v>0.2100000000000008</v>
      </c>
      <c r="H124" s="172">
        <f t="shared" si="14"/>
        <v>20</v>
      </c>
    </row>
    <row r="125" spans="2:11" x14ac:dyDescent="0.2">
      <c r="B125" s="39">
        <f t="shared" si="13"/>
        <v>0.22000000000000081</v>
      </c>
      <c r="H125" s="172">
        <f t="shared" si="14"/>
        <v>21</v>
      </c>
    </row>
    <row r="126" spans="2:11" x14ac:dyDescent="0.2">
      <c r="B126" s="39">
        <f t="shared" si="13"/>
        <v>0.23000000000000081</v>
      </c>
      <c r="H126" s="172">
        <f t="shared" si="14"/>
        <v>22</v>
      </c>
    </row>
    <row r="127" spans="2:11" x14ac:dyDescent="0.2">
      <c r="B127" s="39">
        <f t="shared" si="13"/>
        <v>0.24000000000000082</v>
      </c>
      <c r="H127" s="172">
        <f t="shared" si="14"/>
        <v>23</v>
      </c>
    </row>
    <row r="128" spans="2:11" x14ac:dyDescent="0.2">
      <c r="B128" s="39">
        <f t="shared" si="13"/>
        <v>0.25000000000000083</v>
      </c>
      <c r="H128" s="172">
        <f t="shared" si="14"/>
        <v>24</v>
      </c>
    </row>
    <row r="129" spans="2:8" x14ac:dyDescent="0.2">
      <c r="B129" s="39">
        <f t="shared" si="13"/>
        <v>0.26000000000000084</v>
      </c>
      <c r="H129" s="172">
        <f t="shared" si="14"/>
        <v>25</v>
      </c>
    </row>
    <row r="130" spans="2:8" x14ac:dyDescent="0.2">
      <c r="B130" s="39">
        <f t="shared" si="13"/>
        <v>0.27000000000000085</v>
      </c>
      <c r="H130" s="172">
        <f t="shared" si="14"/>
        <v>26</v>
      </c>
    </row>
    <row r="131" spans="2:8" x14ac:dyDescent="0.2">
      <c r="B131" s="39">
        <f t="shared" si="13"/>
        <v>0.28000000000000086</v>
      </c>
      <c r="H131" s="172">
        <f t="shared" si="14"/>
        <v>27</v>
      </c>
    </row>
    <row r="132" spans="2:8" x14ac:dyDescent="0.2">
      <c r="B132" s="39">
        <f t="shared" ref="B132:B163" si="16">B131+0.01</f>
        <v>0.29000000000000087</v>
      </c>
      <c r="H132" s="172">
        <f t="shared" si="14"/>
        <v>28</v>
      </c>
    </row>
    <row r="133" spans="2:8" x14ac:dyDescent="0.2">
      <c r="B133" s="39">
        <f t="shared" si="16"/>
        <v>0.30000000000000088</v>
      </c>
      <c r="H133" s="172">
        <f t="shared" ref="H133:H164" si="17">H132+1</f>
        <v>29</v>
      </c>
    </row>
    <row r="134" spans="2:8" x14ac:dyDescent="0.2">
      <c r="B134" s="39">
        <f t="shared" si="16"/>
        <v>0.31000000000000089</v>
      </c>
      <c r="H134" s="172">
        <f t="shared" si="17"/>
        <v>30</v>
      </c>
    </row>
    <row r="135" spans="2:8" x14ac:dyDescent="0.2">
      <c r="B135" s="39">
        <f t="shared" si="16"/>
        <v>0.32000000000000089</v>
      </c>
      <c r="H135" s="172">
        <f t="shared" si="17"/>
        <v>31</v>
      </c>
    </row>
    <row r="136" spans="2:8" x14ac:dyDescent="0.2">
      <c r="B136" s="39">
        <f t="shared" si="16"/>
        <v>0.3300000000000009</v>
      </c>
      <c r="H136" s="172">
        <f t="shared" si="17"/>
        <v>32</v>
      </c>
    </row>
    <row r="137" spans="2:8" x14ac:dyDescent="0.2">
      <c r="B137" s="39">
        <f t="shared" si="16"/>
        <v>0.34000000000000091</v>
      </c>
      <c r="H137" s="172">
        <f t="shared" si="17"/>
        <v>33</v>
      </c>
    </row>
    <row r="138" spans="2:8" x14ac:dyDescent="0.2">
      <c r="B138" s="39">
        <f t="shared" si="16"/>
        <v>0.35000000000000092</v>
      </c>
      <c r="H138" s="172">
        <f t="shared" si="17"/>
        <v>34</v>
      </c>
    </row>
    <row r="139" spans="2:8" x14ac:dyDescent="0.2">
      <c r="B139" s="39">
        <f t="shared" si="16"/>
        <v>0.36000000000000093</v>
      </c>
      <c r="H139" s="172">
        <f t="shared" si="17"/>
        <v>35</v>
      </c>
    </row>
    <row r="140" spans="2:8" x14ac:dyDescent="0.2">
      <c r="B140" s="39">
        <f t="shared" si="16"/>
        <v>0.37000000000000094</v>
      </c>
      <c r="H140" s="172">
        <f t="shared" si="17"/>
        <v>36</v>
      </c>
    </row>
    <row r="141" spans="2:8" x14ac:dyDescent="0.2">
      <c r="B141" s="39">
        <f t="shared" si="16"/>
        <v>0.38000000000000095</v>
      </c>
      <c r="H141" s="172">
        <f t="shared" si="17"/>
        <v>37</v>
      </c>
    </row>
    <row r="142" spans="2:8" x14ac:dyDescent="0.2">
      <c r="B142" s="39">
        <f t="shared" si="16"/>
        <v>0.39000000000000096</v>
      </c>
      <c r="H142" s="172">
        <f t="shared" si="17"/>
        <v>38</v>
      </c>
    </row>
    <row r="143" spans="2:8" x14ac:dyDescent="0.2">
      <c r="B143" s="39">
        <f t="shared" si="16"/>
        <v>0.40000000000000097</v>
      </c>
      <c r="H143" s="172">
        <f t="shared" si="17"/>
        <v>39</v>
      </c>
    </row>
    <row r="144" spans="2:8" x14ac:dyDescent="0.2">
      <c r="B144" s="39">
        <f t="shared" si="16"/>
        <v>0.41000000000000097</v>
      </c>
      <c r="H144" s="172">
        <f t="shared" si="17"/>
        <v>40</v>
      </c>
    </row>
    <row r="145" spans="2:8" x14ac:dyDescent="0.2">
      <c r="B145" s="39">
        <f t="shared" si="16"/>
        <v>0.42000000000000098</v>
      </c>
      <c r="H145" s="172">
        <f t="shared" si="17"/>
        <v>41</v>
      </c>
    </row>
    <row r="146" spans="2:8" x14ac:dyDescent="0.2">
      <c r="B146" s="39">
        <f t="shared" si="16"/>
        <v>0.43000000000000099</v>
      </c>
      <c r="H146" s="172">
        <f t="shared" si="17"/>
        <v>42</v>
      </c>
    </row>
    <row r="147" spans="2:8" x14ac:dyDescent="0.2">
      <c r="B147" s="39">
        <f t="shared" si="16"/>
        <v>0.440000000000001</v>
      </c>
      <c r="H147" s="172">
        <f t="shared" si="17"/>
        <v>43</v>
      </c>
    </row>
    <row r="148" spans="2:8" x14ac:dyDescent="0.2">
      <c r="B148" s="39">
        <f t="shared" si="16"/>
        <v>0.45000000000000101</v>
      </c>
      <c r="H148" s="172">
        <f t="shared" si="17"/>
        <v>44</v>
      </c>
    </row>
    <row r="149" spans="2:8" x14ac:dyDescent="0.2">
      <c r="B149" s="39">
        <f t="shared" si="16"/>
        <v>0.46000000000000102</v>
      </c>
      <c r="H149" s="172">
        <f t="shared" si="17"/>
        <v>45</v>
      </c>
    </row>
    <row r="150" spans="2:8" x14ac:dyDescent="0.2">
      <c r="B150" s="39">
        <f t="shared" si="16"/>
        <v>0.47000000000000103</v>
      </c>
      <c r="H150" s="172">
        <f t="shared" si="17"/>
        <v>46</v>
      </c>
    </row>
    <row r="151" spans="2:8" x14ac:dyDescent="0.2">
      <c r="B151" s="39">
        <f t="shared" si="16"/>
        <v>0.48000000000000104</v>
      </c>
      <c r="H151" s="172">
        <f t="shared" si="17"/>
        <v>47</v>
      </c>
    </row>
    <row r="152" spans="2:8" x14ac:dyDescent="0.2">
      <c r="B152" s="39">
        <f t="shared" si="16"/>
        <v>0.49000000000000105</v>
      </c>
      <c r="H152" s="172">
        <f t="shared" si="17"/>
        <v>48</v>
      </c>
    </row>
    <row r="153" spans="2:8" x14ac:dyDescent="0.2">
      <c r="B153" s="39">
        <f t="shared" si="16"/>
        <v>0.500000000000001</v>
      </c>
      <c r="H153" s="172">
        <f t="shared" si="17"/>
        <v>49</v>
      </c>
    </row>
    <row r="154" spans="2:8" x14ac:dyDescent="0.2">
      <c r="B154" s="39">
        <f t="shared" si="16"/>
        <v>0.51000000000000101</v>
      </c>
      <c r="H154" s="172">
        <f t="shared" si="17"/>
        <v>50</v>
      </c>
    </row>
    <row r="155" spans="2:8" x14ac:dyDescent="0.2">
      <c r="B155" s="39">
        <f t="shared" si="16"/>
        <v>0.52000000000000102</v>
      </c>
      <c r="H155" s="172">
        <f t="shared" si="17"/>
        <v>51</v>
      </c>
    </row>
    <row r="156" spans="2:8" x14ac:dyDescent="0.2">
      <c r="B156" s="39">
        <f t="shared" si="16"/>
        <v>0.53000000000000103</v>
      </c>
      <c r="H156" s="172">
        <f t="shared" si="17"/>
        <v>52</v>
      </c>
    </row>
    <row r="157" spans="2:8" x14ac:dyDescent="0.2">
      <c r="B157" s="39">
        <f t="shared" si="16"/>
        <v>0.54000000000000103</v>
      </c>
      <c r="H157" s="172">
        <f t="shared" si="17"/>
        <v>53</v>
      </c>
    </row>
    <row r="158" spans="2:8" x14ac:dyDescent="0.2">
      <c r="B158" s="39">
        <f t="shared" si="16"/>
        <v>0.55000000000000104</v>
      </c>
      <c r="H158" s="172">
        <f t="shared" si="17"/>
        <v>54</v>
      </c>
    </row>
    <row r="159" spans="2:8" x14ac:dyDescent="0.2">
      <c r="B159" s="39">
        <f t="shared" si="16"/>
        <v>0.56000000000000105</v>
      </c>
      <c r="H159" s="172">
        <f t="shared" si="17"/>
        <v>55</v>
      </c>
    </row>
    <row r="160" spans="2:8" x14ac:dyDescent="0.2">
      <c r="B160" s="39">
        <f t="shared" si="16"/>
        <v>0.57000000000000106</v>
      </c>
      <c r="H160" s="172">
        <f t="shared" si="17"/>
        <v>56</v>
      </c>
    </row>
    <row r="161" spans="2:8" x14ac:dyDescent="0.2">
      <c r="B161" s="39">
        <f t="shared" si="16"/>
        <v>0.58000000000000107</v>
      </c>
      <c r="H161" s="172">
        <f t="shared" si="17"/>
        <v>57</v>
      </c>
    </row>
    <row r="162" spans="2:8" x14ac:dyDescent="0.2">
      <c r="B162" s="39">
        <f t="shared" si="16"/>
        <v>0.59000000000000108</v>
      </c>
      <c r="H162" s="172">
        <f t="shared" si="17"/>
        <v>58</v>
      </c>
    </row>
    <row r="163" spans="2:8" x14ac:dyDescent="0.2">
      <c r="B163" s="39">
        <f t="shared" si="16"/>
        <v>0.60000000000000109</v>
      </c>
      <c r="H163" s="172">
        <f t="shared" si="17"/>
        <v>59</v>
      </c>
    </row>
    <row r="164" spans="2:8" x14ac:dyDescent="0.2">
      <c r="B164" s="39">
        <f t="shared" ref="B164:B195" si="18">B163+0.01</f>
        <v>0.6100000000000011</v>
      </c>
      <c r="H164" s="172">
        <f t="shared" si="17"/>
        <v>60</v>
      </c>
    </row>
    <row r="165" spans="2:8" x14ac:dyDescent="0.2">
      <c r="B165" s="39">
        <f t="shared" si="18"/>
        <v>0.62000000000000111</v>
      </c>
      <c r="H165" s="172">
        <f t="shared" ref="H165:H196" si="19">H164+1</f>
        <v>61</v>
      </c>
    </row>
    <row r="166" spans="2:8" x14ac:dyDescent="0.2">
      <c r="B166" s="39">
        <f t="shared" si="18"/>
        <v>0.63000000000000111</v>
      </c>
      <c r="H166" s="172">
        <f t="shared" si="19"/>
        <v>62</v>
      </c>
    </row>
    <row r="167" spans="2:8" x14ac:dyDescent="0.2">
      <c r="B167" s="39">
        <f t="shared" si="18"/>
        <v>0.64000000000000112</v>
      </c>
      <c r="H167" s="172">
        <f t="shared" si="19"/>
        <v>63</v>
      </c>
    </row>
    <row r="168" spans="2:8" x14ac:dyDescent="0.2">
      <c r="B168" s="39">
        <f t="shared" si="18"/>
        <v>0.65000000000000113</v>
      </c>
      <c r="H168" s="172">
        <f t="shared" si="19"/>
        <v>64</v>
      </c>
    </row>
    <row r="169" spans="2:8" x14ac:dyDescent="0.2">
      <c r="B169" s="39">
        <f t="shared" si="18"/>
        <v>0.66000000000000114</v>
      </c>
      <c r="H169" s="172">
        <f t="shared" si="19"/>
        <v>65</v>
      </c>
    </row>
    <row r="170" spans="2:8" x14ac:dyDescent="0.2">
      <c r="B170" s="39">
        <f t="shared" si="18"/>
        <v>0.67000000000000115</v>
      </c>
      <c r="H170" s="172">
        <f t="shared" si="19"/>
        <v>66</v>
      </c>
    </row>
    <row r="171" spans="2:8" x14ac:dyDescent="0.2">
      <c r="B171" s="39">
        <f t="shared" si="18"/>
        <v>0.68000000000000116</v>
      </c>
      <c r="H171" s="172">
        <f t="shared" si="19"/>
        <v>67</v>
      </c>
    </row>
    <row r="172" spans="2:8" x14ac:dyDescent="0.2">
      <c r="B172" s="39">
        <f t="shared" si="18"/>
        <v>0.69000000000000117</v>
      </c>
      <c r="H172" s="172">
        <f t="shared" si="19"/>
        <v>68</v>
      </c>
    </row>
    <row r="173" spans="2:8" x14ac:dyDescent="0.2">
      <c r="B173" s="39">
        <f t="shared" si="18"/>
        <v>0.70000000000000118</v>
      </c>
      <c r="H173" s="172">
        <f t="shared" si="19"/>
        <v>69</v>
      </c>
    </row>
    <row r="174" spans="2:8" x14ac:dyDescent="0.2">
      <c r="B174" s="39">
        <f t="shared" si="18"/>
        <v>0.71000000000000119</v>
      </c>
      <c r="H174" s="172">
        <f t="shared" si="19"/>
        <v>70</v>
      </c>
    </row>
    <row r="175" spans="2:8" x14ac:dyDescent="0.2">
      <c r="B175" s="39">
        <f t="shared" si="18"/>
        <v>0.72000000000000119</v>
      </c>
      <c r="H175" s="172">
        <f t="shared" si="19"/>
        <v>71</v>
      </c>
    </row>
    <row r="176" spans="2:8" x14ac:dyDescent="0.2">
      <c r="B176" s="39">
        <f t="shared" si="18"/>
        <v>0.7300000000000012</v>
      </c>
      <c r="H176" s="172">
        <f t="shared" si="19"/>
        <v>72</v>
      </c>
    </row>
    <row r="177" spans="2:8" x14ac:dyDescent="0.2">
      <c r="B177" s="39">
        <f t="shared" si="18"/>
        <v>0.74000000000000121</v>
      </c>
      <c r="H177" s="172">
        <f t="shared" si="19"/>
        <v>73</v>
      </c>
    </row>
    <row r="178" spans="2:8" x14ac:dyDescent="0.2">
      <c r="B178" s="39">
        <f t="shared" si="18"/>
        <v>0.75000000000000122</v>
      </c>
      <c r="H178" s="172">
        <f t="shared" si="19"/>
        <v>74</v>
      </c>
    </row>
    <row r="179" spans="2:8" x14ac:dyDescent="0.2">
      <c r="B179" s="39">
        <f t="shared" si="18"/>
        <v>0.76000000000000123</v>
      </c>
      <c r="H179" s="172">
        <f t="shared" si="19"/>
        <v>75</v>
      </c>
    </row>
    <row r="180" spans="2:8" x14ac:dyDescent="0.2">
      <c r="B180" s="39">
        <f t="shared" si="18"/>
        <v>0.77000000000000124</v>
      </c>
      <c r="H180" s="172">
        <f t="shared" si="19"/>
        <v>76</v>
      </c>
    </row>
    <row r="181" spans="2:8" x14ac:dyDescent="0.2">
      <c r="B181" s="39">
        <f t="shared" si="18"/>
        <v>0.78000000000000125</v>
      </c>
      <c r="H181" s="172">
        <f t="shared" si="19"/>
        <v>77</v>
      </c>
    </row>
    <row r="182" spans="2:8" x14ac:dyDescent="0.2">
      <c r="B182" s="39">
        <f t="shared" si="18"/>
        <v>0.79000000000000126</v>
      </c>
      <c r="H182" s="172">
        <f t="shared" si="19"/>
        <v>78</v>
      </c>
    </row>
    <row r="183" spans="2:8" x14ac:dyDescent="0.2">
      <c r="B183" s="39">
        <f t="shared" si="18"/>
        <v>0.80000000000000127</v>
      </c>
      <c r="H183" s="172">
        <f t="shared" si="19"/>
        <v>79</v>
      </c>
    </row>
    <row r="184" spans="2:8" x14ac:dyDescent="0.2">
      <c r="B184" s="39">
        <f t="shared" si="18"/>
        <v>0.81000000000000127</v>
      </c>
      <c r="H184" s="172">
        <f t="shared" si="19"/>
        <v>80</v>
      </c>
    </row>
    <row r="185" spans="2:8" x14ac:dyDescent="0.2">
      <c r="B185" s="39">
        <f t="shared" si="18"/>
        <v>0.82000000000000128</v>
      </c>
      <c r="H185" s="172">
        <f t="shared" si="19"/>
        <v>81</v>
      </c>
    </row>
    <row r="186" spans="2:8" x14ac:dyDescent="0.2">
      <c r="B186" s="39">
        <f t="shared" si="18"/>
        <v>0.83000000000000129</v>
      </c>
      <c r="H186" s="172">
        <f t="shared" si="19"/>
        <v>82</v>
      </c>
    </row>
    <row r="187" spans="2:8" x14ac:dyDescent="0.2">
      <c r="B187" s="39">
        <f t="shared" si="18"/>
        <v>0.8400000000000013</v>
      </c>
      <c r="H187" s="172">
        <f t="shared" si="19"/>
        <v>83</v>
      </c>
    </row>
    <row r="188" spans="2:8" x14ac:dyDescent="0.2">
      <c r="B188" s="39">
        <f t="shared" si="18"/>
        <v>0.85000000000000131</v>
      </c>
      <c r="H188" s="172">
        <f t="shared" si="19"/>
        <v>84</v>
      </c>
    </row>
    <row r="189" spans="2:8" x14ac:dyDescent="0.2">
      <c r="B189" s="39">
        <f t="shared" si="18"/>
        <v>0.86000000000000132</v>
      </c>
      <c r="H189" s="172">
        <f t="shared" si="19"/>
        <v>85</v>
      </c>
    </row>
    <row r="190" spans="2:8" x14ac:dyDescent="0.2">
      <c r="B190" s="39">
        <f t="shared" si="18"/>
        <v>0.87000000000000133</v>
      </c>
      <c r="H190" s="172">
        <f t="shared" si="19"/>
        <v>86</v>
      </c>
    </row>
    <row r="191" spans="2:8" x14ac:dyDescent="0.2">
      <c r="B191" s="39">
        <f t="shared" si="18"/>
        <v>0.88000000000000134</v>
      </c>
      <c r="H191" s="172">
        <f t="shared" si="19"/>
        <v>87</v>
      </c>
    </row>
    <row r="192" spans="2:8" x14ac:dyDescent="0.2">
      <c r="B192" s="39">
        <f t="shared" si="18"/>
        <v>0.89000000000000135</v>
      </c>
      <c r="H192" s="172">
        <f t="shared" si="19"/>
        <v>88</v>
      </c>
    </row>
    <row r="193" spans="2:8" x14ac:dyDescent="0.2">
      <c r="B193" s="39">
        <f t="shared" si="18"/>
        <v>0.90000000000000135</v>
      </c>
      <c r="H193" s="172">
        <f t="shared" si="19"/>
        <v>89</v>
      </c>
    </row>
    <row r="194" spans="2:8" x14ac:dyDescent="0.2">
      <c r="B194" s="39">
        <f t="shared" si="18"/>
        <v>0.91000000000000136</v>
      </c>
      <c r="H194" s="172">
        <f t="shared" si="19"/>
        <v>90</v>
      </c>
    </row>
    <row r="195" spans="2:8" x14ac:dyDescent="0.2">
      <c r="B195" s="39">
        <f t="shared" si="18"/>
        <v>0.92000000000000137</v>
      </c>
      <c r="C195" s="276"/>
      <c r="H195" s="172">
        <f t="shared" si="19"/>
        <v>91</v>
      </c>
    </row>
    <row r="196" spans="2:8" x14ac:dyDescent="0.2">
      <c r="B196" s="39">
        <f t="shared" ref="B196:B203" si="20">B195+0.01</f>
        <v>0.93000000000000138</v>
      </c>
      <c r="H196" s="172">
        <f t="shared" si="19"/>
        <v>92</v>
      </c>
    </row>
    <row r="197" spans="2:8" x14ac:dyDescent="0.2">
      <c r="B197" s="39">
        <f t="shared" si="20"/>
        <v>0.94000000000000139</v>
      </c>
      <c r="H197" s="172">
        <f t="shared" ref="H197:H204" si="21">H196+1</f>
        <v>93</v>
      </c>
    </row>
    <row r="198" spans="2:8" x14ac:dyDescent="0.2">
      <c r="B198" s="39">
        <f t="shared" si="20"/>
        <v>0.9500000000000014</v>
      </c>
      <c r="H198" s="172">
        <f t="shared" si="21"/>
        <v>94</v>
      </c>
    </row>
    <row r="199" spans="2:8" x14ac:dyDescent="0.2">
      <c r="B199" s="39">
        <f t="shared" si="20"/>
        <v>0.96000000000000141</v>
      </c>
      <c r="H199" s="172">
        <f t="shared" si="21"/>
        <v>95</v>
      </c>
    </row>
    <row r="200" spans="2:8" x14ac:dyDescent="0.2">
      <c r="B200" s="39">
        <f t="shared" si="20"/>
        <v>0.97000000000000142</v>
      </c>
      <c r="H200" s="172">
        <f t="shared" si="21"/>
        <v>96</v>
      </c>
    </row>
    <row r="201" spans="2:8" x14ac:dyDescent="0.2">
      <c r="B201" s="39">
        <f t="shared" si="20"/>
        <v>0.98000000000000143</v>
      </c>
      <c r="H201" s="172">
        <f t="shared" si="21"/>
        <v>97</v>
      </c>
    </row>
    <row r="202" spans="2:8" x14ac:dyDescent="0.2">
      <c r="B202" s="39">
        <f t="shared" si="20"/>
        <v>0.99000000000000143</v>
      </c>
      <c r="H202" s="172">
        <f t="shared" si="21"/>
        <v>98</v>
      </c>
    </row>
    <row r="203" spans="2:8" x14ac:dyDescent="0.2">
      <c r="B203" s="39">
        <f t="shared" si="20"/>
        <v>1.0000000000000013</v>
      </c>
      <c r="H203" s="172">
        <f t="shared" si="21"/>
        <v>99</v>
      </c>
    </row>
    <row r="204" spans="2:8" x14ac:dyDescent="0.2">
      <c r="B204" s="39"/>
      <c r="H204" s="172">
        <f t="shared" si="21"/>
        <v>100</v>
      </c>
    </row>
    <row r="205" spans="2:8" x14ac:dyDescent="0.2">
      <c r="B205" s="39"/>
    </row>
    <row r="206" spans="2:8" x14ac:dyDescent="0.2">
      <c r="B206" s="39"/>
    </row>
    <row r="207" spans="2:8" x14ac:dyDescent="0.2">
      <c r="B207" s="39"/>
    </row>
    <row r="208" spans="2:8" x14ac:dyDescent="0.2">
      <c r="B208" s="39"/>
    </row>
    <row r="209" spans="2:2" x14ac:dyDescent="0.2">
      <c r="B209" s="39"/>
    </row>
    <row r="210" spans="2:2" x14ac:dyDescent="0.2">
      <c r="B210" s="39"/>
    </row>
    <row r="211" spans="2:2" x14ac:dyDescent="0.2">
      <c r="B211" s="39"/>
    </row>
    <row r="212" spans="2:2" x14ac:dyDescent="0.2">
      <c r="B212" s="39"/>
    </row>
    <row r="213" spans="2:2" x14ac:dyDescent="0.2">
      <c r="B213" s="39"/>
    </row>
    <row r="214" spans="2:2" x14ac:dyDescent="0.2">
      <c r="B214" s="39"/>
    </row>
    <row r="215" spans="2:2" x14ac:dyDescent="0.2">
      <c r="B215" s="39"/>
    </row>
    <row r="216" spans="2:2" x14ac:dyDescent="0.2">
      <c r="B216" s="39"/>
    </row>
    <row r="217" spans="2:2" x14ac:dyDescent="0.2">
      <c r="B217" s="39"/>
    </row>
    <row r="218" spans="2:2" x14ac:dyDescent="0.2">
      <c r="B218" s="39"/>
    </row>
    <row r="219" spans="2:2" x14ac:dyDescent="0.2">
      <c r="B219" s="39"/>
    </row>
    <row r="220" spans="2:2" x14ac:dyDescent="0.2">
      <c r="B220" s="39"/>
    </row>
    <row r="221" spans="2:2" x14ac:dyDescent="0.2">
      <c r="B221" s="39"/>
    </row>
    <row r="222" spans="2:2" x14ac:dyDescent="0.2">
      <c r="B222" s="39"/>
    </row>
    <row r="223" spans="2:2" x14ac:dyDescent="0.2">
      <c r="B223" s="39"/>
    </row>
    <row r="224" spans="2:2" x14ac:dyDescent="0.2">
      <c r="B224" s="39"/>
    </row>
    <row r="225" spans="2:2" x14ac:dyDescent="0.2">
      <c r="B225" s="39"/>
    </row>
    <row r="226" spans="2:2" x14ac:dyDescent="0.2">
      <c r="B226" s="39"/>
    </row>
    <row r="227" spans="2:2" x14ac:dyDescent="0.2">
      <c r="B227" s="39"/>
    </row>
    <row r="228" spans="2:2" x14ac:dyDescent="0.2">
      <c r="B228" s="39"/>
    </row>
    <row r="229" spans="2:2" x14ac:dyDescent="0.2">
      <c r="B229" s="39"/>
    </row>
    <row r="230" spans="2:2" x14ac:dyDescent="0.2">
      <c r="B230" s="39"/>
    </row>
    <row r="231" spans="2:2" x14ac:dyDescent="0.2">
      <c r="B231" s="39"/>
    </row>
    <row r="232" spans="2:2" x14ac:dyDescent="0.2">
      <c r="B232" s="39"/>
    </row>
    <row r="233" spans="2:2" x14ac:dyDescent="0.2">
      <c r="B233" s="39"/>
    </row>
    <row r="234" spans="2:2" x14ac:dyDescent="0.2">
      <c r="B234" s="39"/>
    </row>
    <row r="235" spans="2:2" x14ac:dyDescent="0.2">
      <c r="B235" s="39"/>
    </row>
    <row r="236" spans="2:2" x14ac:dyDescent="0.2">
      <c r="B236" s="39"/>
    </row>
    <row r="237" spans="2:2" x14ac:dyDescent="0.2">
      <c r="B237" s="39"/>
    </row>
    <row r="238" spans="2:2" x14ac:dyDescent="0.2">
      <c r="B238" s="39"/>
    </row>
    <row r="239" spans="2:2" x14ac:dyDescent="0.2">
      <c r="B239" s="39"/>
    </row>
    <row r="240" spans="2:2" x14ac:dyDescent="0.2">
      <c r="B240" s="39"/>
    </row>
    <row r="241" spans="2:2" x14ac:dyDescent="0.2">
      <c r="B241" s="39"/>
    </row>
    <row r="242" spans="2:2" x14ac:dyDescent="0.2">
      <c r="B242" s="39"/>
    </row>
    <row r="243" spans="2:2" x14ac:dyDescent="0.2">
      <c r="B243" s="39"/>
    </row>
    <row r="244" spans="2:2" x14ac:dyDescent="0.2">
      <c r="B244" s="39"/>
    </row>
    <row r="245" spans="2:2" x14ac:dyDescent="0.2">
      <c r="B245" s="39"/>
    </row>
    <row r="246" spans="2:2" x14ac:dyDescent="0.2">
      <c r="B246" s="39"/>
    </row>
    <row r="247" spans="2:2" x14ac:dyDescent="0.2">
      <c r="B247" s="39"/>
    </row>
    <row r="248" spans="2:2" x14ac:dyDescent="0.2">
      <c r="B248" s="39"/>
    </row>
    <row r="249" spans="2:2" x14ac:dyDescent="0.2">
      <c r="B249" s="39"/>
    </row>
    <row r="250" spans="2:2" x14ac:dyDescent="0.2">
      <c r="B250" s="39"/>
    </row>
    <row r="251" spans="2:2" x14ac:dyDescent="0.2">
      <c r="B251" s="39"/>
    </row>
    <row r="252" spans="2:2" x14ac:dyDescent="0.2">
      <c r="B252" s="39"/>
    </row>
    <row r="253" spans="2:2" x14ac:dyDescent="0.2">
      <c r="B253" s="39"/>
    </row>
    <row r="254" spans="2:2" x14ac:dyDescent="0.2">
      <c r="B254" s="39"/>
    </row>
    <row r="255" spans="2:2" x14ac:dyDescent="0.2">
      <c r="B255" s="39"/>
    </row>
    <row r="256" spans="2:2" x14ac:dyDescent="0.2">
      <c r="B256" s="39"/>
    </row>
    <row r="257" spans="2:2" x14ac:dyDescent="0.2">
      <c r="B257" s="39"/>
    </row>
    <row r="258" spans="2:2" x14ac:dyDescent="0.2">
      <c r="B258" s="39"/>
    </row>
    <row r="259" spans="2:2" x14ac:dyDescent="0.2">
      <c r="B259" s="39"/>
    </row>
    <row r="260" spans="2:2" x14ac:dyDescent="0.2">
      <c r="B260" s="39"/>
    </row>
    <row r="261" spans="2:2" x14ac:dyDescent="0.2">
      <c r="B261" s="39"/>
    </row>
    <row r="262" spans="2:2" x14ac:dyDescent="0.2">
      <c r="B262" s="39"/>
    </row>
    <row r="263" spans="2:2" x14ac:dyDescent="0.2">
      <c r="B263" s="39"/>
    </row>
    <row r="264" spans="2:2" x14ac:dyDescent="0.2">
      <c r="B264" s="39"/>
    </row>
    <row r="265" spans="2:2" x14ac:dyDescent="0.2">
      <c r="B265" s="39"/>
    </row>
    <row r="266" spans="2:2" x14ac:dyDescent="0.2">
      <c r="B266" s="39"/>
    </row>
    <row r="267" spans="2:2" x14ac:dyDescent="0.2">
      <c r="B267" s="39"/>
    </row>
    <row r="268" spans="2:2" x14ac:dyDescent="0.2">
      <c r="B268" s="39"/>
    </row>
    <row r="269" spans="2:2" x14ac:dyDescent="0.2">
      <c r="B269" s="39"/>
    </row>
    <row r="270" spans="2:2" x14ac:dyDescent="0.2">
      <c r="B270" s="39"/>
    </row>
    <row r="271" spans="2:2" x14ac:dyDescent="0.2">
      <c r="B271" s="39"/>
    </row>
    <row r="272" spans="2:2" x14ac:dyDescent="0.2">
      <c r="B272" s="39"/>
    </row>
    <row r="273" spans="2:2" x14ac:dyDescent="0.2">
      <c r="B273" s="39"/>
    </row>
    <row r="274" spans="2:2" x14ac:dyDescent="0.2">
      <c r="B274" s="39"/>
    </row>
    <row r="275" spans="2:2" x14ac:dyDescent="0.2">
      <c r="B275" s="39"/>
    </row>
    <row r="276" spans="2:2" x14ac:dyDescent="0.2">
      <c r="B276" s="39"/>
    </row>
    <row r="277" spans="2:2" x14ac:dyDescent="0.2">
      <c r="B277" s="39"/>
    </row>
    <row r="278" spans="2:2" x14ac:dyDescent="0.2">
      <c r="B278" s="39"/>
    </row>
    <row r="279" spans="2:2" x14ac:dyDescent="0.2">
      <c r="B279" s="39"/>
    </row>
    <row r="280" spans="2:2" x14ac:dyDescent="0.2">
      <c r="B280" s="39"/>
    </row>
    <row r="281" spans="2:2" x14ac:dyDescent="0.2">
      <c r="B281" s="39"/>
    </row>
    <row r="282" spans="2:2" x14ac:dyDescent="0.2">
      <c r="B282" s="39"/>
    </row>
    <row r="283" spans="2:2" x14ac:dyDescent="0.2">
      <c r="B283" s="39"/>
    </row>
    <row r="284" spans="2:2" x14ac:dyDescent="0.2">
      <c r="B284" s="39"/>
    </row>
    <row r="285" spans="2:2" x14ac:dyDescent="0.2">
      <c r="B285" s="39"/>
    </row>
    <row r="286" spans="2:2" x14ac:dyDescent="0.2">
      <c r="B286" s="39"/>
    </row>
    <row r="287" spans="2:2" x14ac:dyDescent="0.2">
      <c r="B287" s="39"/>
    </row>
    <row r="288" spans="2:2" x14ac:dyDescent="0.2">
      <c r="B288" s="39"/>
    </row>
    <row r="289" spans="2:2" x14ac:dyDescent="0.2">
      <c r="B289" s="39"/>
    </row>
    <row r="290" spans="2:2" x14ac:dyDescent="0.2">
      <c r="B290" s="39"/>
    </row>
    <row r="291" spans="2:2" x14ac:dyDescent="0.2">
      <c r="B291" s="39"/>
    </row>
    <row r="292" spans="2:2" x14ac:dyDescent="0.2">
      <c r="B292" s="39"/>
    </row>
    <row r="293" spans="2:2" x14ac:dyDescent="0.2">
      <c r="B293" s="39"/>
    </row>
    <row r="294" spans="2:2" x14ac:dyDescent="0.2">
      <c r="B294" s="39"/>
    </row>
    <row r="295" spans="2:2" x14ac:dyDescent="0.2">
      <c r="B295" s="39"/>
    </row>
    <row r="296" spans="2:2" x14ac:dyDescent="0.2">
      <c r="B296" s="39"/>
    </row>
    <row r="297" spans="2:2" x14ac:dyDescent="0.2">
      <c r="B297" s="39"/>
    </row>
    <row r="298" spans="2:2" x14ac:dyDescent="0.2">
      <c r="B298" s="39"/>
    </row>
    <row r="299" spans="2:2" x14ac:dyDescent="0.2">
      <c r="B299" s="39"/>
    </row>
    <row r="300" spans="2:2" x14ac:dyDescent="0.2">
      <c r="B300" s="39"/>
    </row>
    <row r="301" spans="2:2" x14ac:dyDescent="0.2">
      <c r="B301" s="39"/>
    </row>
    <row r="302" spans="2:2" x14ac:dyDescent="0.2">
      <c r="B302" s="39"/>
    </row>
    <row r="303" spans="2:2" x14ac:dyDescent="0.2">
      <c r="B303" s="39"/>
    </row>
    <row r="304" spans="2:2" x14ac:dyDescent="0.2">
      <c r="B304" s="39"/>
    </row>
    <row r="305" spans="2:2" x14ac:dyDescent="0.2">
      <c r="B305" s="39"/>
    </row>
    <row r="306" spans="2:2" x14ac:dyDescent="0.2">
      <c r="B306" s="39"/>
    </row>
    <row r="307" spans="2:2" x14ac:dyDescent="0.2">
      <c r="B307" s="39"/>
    </row>
    <row r="308" spans="2:2" x14ac:dyDescent="0.2">
      <c r="B308" s="39"/>
    </row>
    <row r="309" spans="2:2" x14ac:dyDescent="0.2">
      <c r="B309" s="39"/>
    </row>
    <row r="310" spans="2:2" x14ac:dyDescent="0.2">
      <c r="B310" s="39"/>
    </row>
    <row r="311" spans="2:2" x14ac:dyDescent="0.2">
      <c r="B311" s="39"/>
    </row>
    <row r="312" spans="2:2" x14ac:dyDescent="0.2">
      <c r="B312" s="39"/>
    </row>
    <row r="313" spans="2:2" x14ac:dyDescent="0.2">
      <c r="B313" s="39"/>
    </row>
    <row r="314" spans="2:2" x14ac:dyDescent="0.2">
      <c r="B314" s="39"/>
    </row>
    <row r="315" spans="2:2" x14ac:dyDescent="0.2">
      <c r="B315" s="39"/>
    </row>
    <row r="316" spans="2:2" x14ac:dyDescent="0.2">
      <c r="B316" s="39"/>
    </row>
    <row r="317" spans="2:2" x14ac:dyDescent="0.2">
      <c r="B317" s="39"/>
    </row>
    <row r="318" spans="2:2" x14ac:dyDescent="0.2">
      <c r="B318" s="39"/>
    </row>
    <row r="319" spans="2:2" x14ac:dyDescent="0.2">
      <c r="B319" s="39"/>
    </row>
    <row r="320" spans="2:2" x14ac:dyDescent="0.2">
      <c r="B320" s="39"/>
    </row>
    <row r="321" spans="2:2" x14ac:dyDescent="0.2">
      <c r="B321" s="39"/>
    </row>
    <row r="322" spans="2:2" x14ac:dyDescent="0.2">
      <c r="B322" s="39"/>
    </row>
    <row r="323" spans="2:2" x14ac:dyDescent="0.2">
      <c r="B323" s="39"/>
    </row>
    <row r="324" spans="2:2" x14ac:dyDescent="0.2">
      <c r="B324" s="39"/>
    </row>
    <row r="325" spans="2:2" x14ac:dyDescent="0.2">
      <c r="B325" s="39"/>
    </row>
    <row r="326" spans="2:2" x14ac:dyDescent="0.2">
      <c r="B326" s="39"/>
    </row>
    <row r="327" spans="2:2" x14ac:dyDescent="0.2">
      <c r="B327" s="39"/>
    </row>
    <row r="328" spans="2:2" x14ac:dyDescent="0.2">
      <c r="B328" s="39"/>
    </row>
    <row r="329" spans="2:2" x14ac:dyDescent="0.2">
      <c r="B329" s="39"/>
    </row>
    <row r="330" spans="2:2" x14ac:dyDescent="0.2">
      <c r="B330" s="39"/>
    </row>
    <row r="331" spans="2:2" x14ac:dyDescent="0.2">
      <c r="B331" s="39"/>
    </row>
    <row r="332" spans="2:2" x14ac:dyDescent="0.2">
      <c r="B332" s="39"/>
    </row>
    <row r="333" spans="2:2" x14ac:dyDescent="0.2">
      <c r="B333" s="39"/>
    </row>
    <row r="334" spans="2:2" x14ac:dyDescent="0.2">
      <c r="B334" s="39"/>
    </row>
    <row r="335" spans="2:2" x14ac:dyDescent="0.2">
      <c r="B335" s="39"/>
    </row>
    <row r="336" spans="2:2" x14ac:dyDescent="0.2">
      <c r="B336" s="39"/>
    </row>
    <row r="337" spans="2:2" x14ac:dyDescent="0.2">
      <c r="B337" s="39"/>
    </row>
    <row r="338" spans="2:2" x14ac:dyDescent="0.2">
      <c r="B338" s="39"/>
    </row>
    <row r="339" spans="2:2" x14ac:dyDescent="0.2">
      <c r="B339" s="39"/>
    </row>
    <row r="340" spans="2:2" x14ac:dyDescent="0.2">
      <c r="B340" s="39"/>
    </row>
    <row r="341" spans="2:2" x14ac:dyDescent="0.2">
      <c r="B341" s="39"/>
    </row>
    <row r="342" spans="2:2" x14ac:dyDescent="0.2">
      <c r="B342" s="39"/>
    </row>
    <row r="343" spans="2:2" x14ac:dyDescent="0.2">
      <c r="B343" s="39"/>
    </row>
    <row r="344" spans="2:2" x14ac:dyDescent="0.2">
      <c r="B344" s="39"/>
    </row>
    <row r="345" spans="2:2" x14ac:dyDescent="0.2">
      <c r="B345" s="39"/>
    </row>
    <row r="346" spans="2:2" x14ac:dyDescent="0.2">
      <c r="B346" s="39"/>
    </row>
    <row r="347" spans="2:2" x14ac:dyDescent="0.2">
      <c r="B347" s="39"/>
    </row>
    <row r="348" spans="2:2" x14ac:dyDescent="0.2">
      <c r="B348" s="39"/>
    </row>
    <row r="349" spans="2:2" x14ac:dyDescent="0.2">
      <c r="B349" s="39"/>
    </row>
    <row r="350" spans="2:2" x14ac:dyDescent="0.2">
      <c r="B350" s="39"/>
    </row>
    <row r="351" spans="2:2" x14ac:dyDescent="0.2">
      <c r="B351" s="39"/>
    </row>
    <row r="352" spans="2:2" x14ac:dyDescent="0.2">
      <c r="B352" s="39"/>
    </row>
    <row r="353" spans="2:2" x14ac:dyDescent="0.2">
      <c r="B353" s="39"/>
    </row>
    <row r="354" spans="2:2" x14ac:dyDescent="0.2">
      <c r="B354" s="39"/>
    </row>
    <row r="355" spans="2:2" x14ac:dyDescent="0.2">
      <c r="B355" s="39"/>
    </row>
    <row r="356" spans="2:2" x14ac:dyDescent="0.2">
      <c r="B356" s="39"/>
    </row>
    <row r="357" spans="2:2" x14ac:dyDescent="0.2">
      <c r="B357" s="39"/>
    </row>
    <row r="358" spans="2:2" x14ac:dyDescent="0.2">
      <c r="B358" s="39"/>
    </row>
    <row r="359" spans="2:2" x14ac:dyDescent="0.2">
      <c r="B359" s="39"/>
    </row>
    <row r="360" spans="2:2" x14ac:dyDescent="0.2">
      <c r="B360" s="39"/>
    </row>
    <row r="361" spans="2:2" x14ac:dyDescent="0.2">
      <c r="B361" s="39"/>
    </row>
    <row r="362" spans="2:2" x14ac:dyDescent="0.2">
      <c r="B362" s="39"/>
    </row>
    <row r="363" spans="2:2" x14ac:dyDescent="0.2">
      <c r="B363" s="39"/>
    </row>
    <row r="364" spans="2:2" x14ac:dyDescent="0.2">
      <c r="B364" s="39"/>
    </row>
    <row r="365" spans="2:2" x14ac:dyDescent="0.2">
      <c r="B365" s="39"/>
    </row>
    <row r="366" spans="2:2" x14ac:dyDescent="0.2">
      <c r="B366" s="39"/>
    </row>
    <row r="367" spans="2:2" x14ac:dyDescent="0.2">
      <c r="B367" s="39"/>
    </row>
    <row r="368" spans="2:2" x14ac:dyDescent="0.2">
      <c r="B368" s="39"/>
    </row>
    <row r="369" spans="2:2" x14ac:dyDescent="0.2">
      <c r="B369" s="39"/>
    </row>
    <row r="370" spans="2:2" x14ac:dyDescent="0.2">
      <c r="B370" s="39"/>
    </row>
    <row r="371" spans="2:2" x14ac:dyDescent="0.2">
      <c r="B371" s="39"/>
    </row>
    <row r="372" spans="2:2" x14ac:dyDescent="0.2">
      <c r="B372" s="39"/>
    </row>
    <row r="373" spans="2:2" x14ac:dyDescent="0.2">
      <c r="B373" s="39"/>
    </row>
    <row r="374" spans="2:2" x14ac:dyDescent="0.2">
      <c r="B374" s="39"/>
    </row>
    <row r="375" spans="2:2" x14ac:dyDescent="0.2">
      <c r="B375" s="39"/>
    </row>
    <row r="376" spans="2:2" x14ac:dyDescent="0.2">
      <c r="B376" s="39"/>
    </row>
    <row r="377" spans="2:2" x14ac:dyDescent="0.2">
      <c r="B377" s="39"/>
    </row>
    <row r="378" spans="2:2" x14ac:dyDescent="0.2">
      <c r="B378" s="39"/>
    </row>
    <row r="379" spans="2:2" x14ac:dyDescent="0.2">
      <c r="B379" s="39"/>
    </row>
    <row r="380" spans="2:2" x14ac:dyDescent="0.2">
      <c r="B380" s="39"/>
    </row>
    <row r="381" spans="2:2" x14ac:dyDescent="0.2">
      <c r="B381" s="39"/>
    </row>
    <row r="382" spans="2:2" x14ac:dyDescent="0.2">
      <c r="B382" s="39"/>
    </row>
    <row r="383" spans="2:2" x14ac:dyDescent="0.2">
      <c r="B383" s="39"/>
    </row>
    <row r="384" spans="2:2" x14ac:dyDescent="0.2">
      <c r="B384" s="39"/>
    </row>
    <row r="385" spans="2:2" x14ac:dyDescent="0.2">
      <c r="B385" s="39"/>
    </row>
    <row r="386" spans="2:2" x14ac:dyDescent="0.2">
      <c r="B386" s="39"/>
    </row>
    <row r="387" spans="2:2" x14ac:dyDescent="0.2">
      <c r="B387" s="39"/>
    </row>
    <row r="388" spans="2:2" x14ac:dyDescent="0.2">
      <c r="B388" s="39"/>
    </row>
    <row r="389" spans="2:2" x14ac:dyDescent="0.2">
      <c r="B389" s="39"/>
    </row>
    <row r="390" spans="2:2" x14ac:dyDescent="0.2">
      <c r="B390" s="39"/>
    </row>
    <row r="391" spans="2:2" x14ac:dyDescent="0.2">
      <c r="B391" s="39"/>
    </row>
    <row r="392" spans="2:2" x14ac:dyDescent="0.2">
      <c r="B392" s="39"/>
    </row>
    <row r="393" spans="2:2" x14ac:dyDescent="0.2">
      <c r="B393" s="39"/>
    </row>
    <row r="394" spans="2:2" x14ac:dyDescent="0.2">
      <c r="B394" s="39"/>
    </row>
    <row r="395" spans="2:2" x14ac:dyDescent="0.2">
      <c r="B395" s="39"/>
    </row>
    <row r="396" spans="2:2" x14ac:dyDescent="0.2">
      <c r="B396" s="39"/>
    </row>
    <row r="397" spans="2:2" x14ac:dyDescent="0.2">
      <c r="B397" s="39"/>
    </row>
    <row r="398" spans="2:2" x14ac:dyDescent="0.2">
      <c r="B398" s="3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1973E-A7FC-417C-AF84-FD8530024817}">
  <sheetPr codeName="Sheet18"/>
  <dimension ref="B2:AA22"/>
  <sheetViews>
    <sheetView showGridLines="0" topLeftCell="C1" zoomScale="211" workbookViewId="0">
      <selection activeCell="R34" sqref="R34"/>
    </sheetView>
  </sheetViews>
  <sheetFormatPr baseColWidth="10" defaultColWidth="9.1640625" defaultRowHeight="16" x14ac:dyDescent="0.2"/>
  <cols>
    <col min="1" max="1" width="9.1640625" style="1"/>
    <col min="2" max="2" width="26.5" style="1" customWidth="1"/>
    <col min="3" max="3" width="16.1640625" style="1" customWidth="1"/>
    <col min="4" max="4" width="21.6640625" style="1" customWidth="1"/>
    <col min="5" max="5" width="26.6640625" style="1" customWidth="1"/>
    <col min="6" max="16384" width="9.1640625" style="1"/>
  </cols>
  <sheetData>
    <row r="2" spans="2:27" x14ac:dyDescent="0.2">
      <c r="B2" s="251" t="s">
        <v>224</v>
      </c>
      <c r="C2" s="250"/>
      <c r="D2" s="250"/>
      <c r="E2" s="250"/>
      <c r="F2" s="250"/>
      <c r="G2" s="250"/>
      <c r="H2" s="250"/>
      <c r="I2" s="250"/>
      <c r="J2" s="250"/>
      <c r="K2" s="250"/>
      <c r="L2" s="250"/>
      <c r="M2" s="250"/>
      <c r="N2" s="250"/>
      <c r="O2" s="250"/>
      <c r="P2" s="250"/>
      <c r="Q2" s="250"/>
      <c r="R2" s="250"/>
      <c r="S2" s="250"/>
      <c r="T2" s="250"/>
      <c r="U2" s="250"/>
      <c r="V2" s="250"/>
      <c r="W2" s="250"/>
      <c r="X2" s="250"/>
      <c r="Y2" s="250"/>
      <c r="Z2" s="250"/>
      <c r="AA2" s="250"/>
    </row>
    <row r="3" spans="2:27" x14ac:dyDescent="0.2">
      <c r="C3" s="255"/>
      <c r="D3" s="255"/>
      <c r="E3" s="255"/>
    </row>
    <row r="4" spans="2:27" ht="17" x14ac:dyDescent="0.2">
      <c r="B4" s="81"/>
      <c r="C4" s="256" t="s">
        <v>225</v>
      </c>
      <c r="D4" s="256" t="s">
        <v>226</v>
      </c>
      <c r="E4" s="256" t="s">
        <v>227</v>
      </c>
    </row>
    <row r="5" spans="2:27" x14ac:dyDescent="0.2">
      <c r="B5" s="133" t="s">
        <v>228</v>
      </c>
      <c r="C5" s="254">
        <f>'DCF Model - Buyer Case'!C86</f>
        <v>45.275022257456037</v>
      </c>
      <c r="D5" s="254">
        <f>'Comps - Buyer Case'!B60</f>
        <v>71.658750806153492</v>
      </c>
      <c r="E5" s="254">
        <f>'Precedents - Buyer Case'!C49</f>
        <v>69.611901665582963</v>
      </c>
    </row>
    <row r="6" spans="2:27" x14ac:dyDescent="0.2">
      <c r="B6" s="133" t="s">
        <v>229</v>
      </c>
      <c r="C6" s="254">
        <f>C7-C5</f>
        <v>166.227459609237</v>
      </c>
      <c r="D6" s="254">
        <f t="shared" ref="D6" si="0">D7-D5</f>
        <v>68.166327613890772</v>
      </c>
      <c r="E6" s="254">
        <f>E7-E5</f>
        <v>24.720556361393136</v>
      </c>
    </row>
    <row r="7" spans="2:27" x14ac:dyDescent="0.2">
      <c r="B7" s="133" t="s">
        <v>230</v>
      </c>
      <c r="C7" s="254">
        <f>'DCF Model - Seller Case'!C86</f>
        <v>211.50248186669305</v>
      </c>
      <c r="D7" s="254">
        <f>'Comps - Seller Case '!B60</f>
        <v>139.82507842004426</v>
      </c>
      <c r="E7" s="254">
        <f>'Precedents - Seller Case'!C49</f>
        <v>94.332458026976099</v>
      </c>
    </row>
    <row r="8" spans="2:27" x14ac:dyDescent="0.2">
      <c r="B8" s="252"/>
    </row>
    <row r="22" spans="2:2" x14ac:dyDescent="0.2">
      <c r="B22" s="136" t="s">
        <v>231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FAE4-FFA1-4502-B0BD-88CC3C964E7F}">
  <sheetPr codeName="Sheet11"/>
  <dimension ref="B2:R56"/>
  <sheetViews>
    <sheetView showGridLines="0" workbookViewId="0">
      <selection activeCell="D9" sqref="D9:F9"/>
    </sheetView>
  </sheetViews>
  <sheetFormatPr baseColWidth="10" defaultColWidth="11.1640625" defaultRowHeight="15" x14ac:dyDescent="0.2"/>
  <cols>
    <col min="1" max="1" width="3.1640625" customWidth="1"/>
    <col min="2" max="2" width="34" customWidth="1"/>
    <col min="9" max="9" width="14.1640625" bestFit="1" customWidth="1"/>
    <col min="11" max="11" width="34.5" customWidth="1"/>
  </cols>
  <sheetData>
    <row r="2" spans="2:18" hidden="1" x14ac:dyDescent="0.2">
      <c r="B2" t="s">
        <v>232</v>
      </c>
      <c r="D2" s="42">
        <f>'DCF Dataset'!F18</f>
        <v>3204.9311819999998</v>
      </c>
      <c r="K2" t="s">
        <v>232</v>
      </c>
      <c r="M2" s="42">
        <f>'DCF Dataset'!F18</f>
        <v>3204.9311819999998</v>
      </c>
    </row>
    <row r="3" spans="2:18" hidden="1" x14ac:dyDescent="0.2">
      <c r="B3" t="s">
        <v>233</v>
      </c>
      <c r="D3" s="42">
        <f>'DCF Dataset'!F124</f>
        <v>36150.503552000002</v>
      </c>
      <c r="K3" t="s">
        <v>234</v>
      </c>
      <c r="M3" s="42">
        <f>'DCF Dataset'!F124</f>
        <v>36150.503552000002</v>
      </c>
    </row>
    <row r="4" spans="2:18" hidden="1" x14ac:dyDescent="0.2">
      <c r="B4" t="s">
        <v>235</v>
      </c>
      <c r="D4" s="33">
        <f>$D$2/($D$2+$D$3)</f>
        <v>8.1435542604518379E-2</v>
      </c>
      <c r="K4" t="s">
        <v>235</v>
      </c>
      <c r="M4" s="33">
        <f>M2/(M2+M3)</f>
        <v>8.1435542604518379E-2</v>
      </c>
    </row>
    <row r="5" spans="2:18" hidden="1" x14ac:dyDescent="0.2">
      <c r="B5" t="s">
        <v>236</v>
      </c>
      <c r="D5" s="39">
        <f>1-$D$4</f>
        <v>0.91856445739548165</v>
      </c>
      <c r="K5" t="s">
        <v>236</v>
      </c>
      <c r="M5" s="39">
        <f>1-M4</f>
        <v>0.91856445739548165</v>
      </c>
    </row>
    <row r="6" spans="2:18" x14ac:dyDescent="0.2">
      <c r="B6" t="s">
        <v>237</v>
      </c>
      <c r="D6" s="11">
        <f>E6/100</f>
        <v>0.19</v>
      </c>
      <c r="E6" s="10">
        <v>19</v>
      </c>
      <c r="K6" t="s">
        <v>237</v>
      </c>
      <c r="M6" s="11">
        <f>N6/100</f>
        <v>0.6</v>
      </c>
      <c r="N6" s="10">
        <v>60</v>
      </c>
    </row>
    <row r="7" spans="2:18" x14ac:dyDescent="0.2">
      <c r="B7" t="s">
        <v>133</v>
      </c>
      <c r="D7" s="11">
        <f>E7/100</f>
        <v>0.71</v>
      </c>
      <c r="E7" s="10">
        <v>71</v>
      </c>
      <c r="K7" t="s">
        <v>133</v>
      </c>
      <c r="M7" s="11">
        <f>N7/100</f>
        <v>0.83</v>
      </c>
      <c r="N7" s="10">
        <v>83</v>
      </c>
      <c r="O7">
        <v>83</v>
      </c>
    </row>
    <row r="8" spans="2:18" x14ac:dyDescent="0.2">
      <c r="B8" t="s">
        <v>151</v>
      </c>
      <c r="D8" s="11">
        <f>E8/100</f>
        <v>0.47</v>
      </c>
      <c r="E8" s="10">
        <v>47</v>
      </c>
      <c r="K8" t="s">
        <v>238</v>
      </c>
      <c r="M8" s="11">
        <f>N8/100</f>
        <v>0.02</v>
      </c>
      <c r="N8" s="10">
        <v>2</v>
      </c>
    </row>
    <row r="9" spans="2:18" x14ac:dyDescent="0.2">
      <c r="B9" t="s">
        <v>239</v>
      </c>
      <c r="D9" s="11">
        <f>E9/100-1</f>
        <v>0.19999999999999996</v>
      </c>
      <c r="E9" s="10">
        <v>120</v>
      </c>
      <c r="K9" t="s">
        <v>239</v>
      </c>
      <c r="M9" s="11">
        <f>N9/100-1</f>
        <v>0.10000000000000009</v>
      </c>
      <c r="N9" s="10">
        <v>110</v>
      </c>
    </row>
    <row r="10" spans="2:18" x14ac:dyDescent="0.2">
      <c r="B10" t="s">
        <v>240</v>
      </c>
      <c r="D10" s="11">
        <f>E10/100-1</f>
        <v>0.29000000000000004</v>
      </c>
      <c r="E10" s="10">
        <v>129</v>
      </c>
      <c r="K10" t="s">
        <v>240</v>
      </c>
      <c r="M10" s="11">
        <f>N10/100-1</f>
        <v>0.14999999999999991</v>
      </c>
      <c r="N10" s="10">
        <v>115</v>
      </c>
    </row>
    <row r="11" spans="2:18" x14ac:dyDescent="0.2">
      <c r="B11" t="s">
        <v>198</v>
      </c>
      <c r="D11" s="11">
        <f>E11/100-1</f>
        <v>2.0000000000000018E-2</v>
      </c>
      <c r="E11" s="10">
        <v>102</v>
      </c>
      <c r="K11" t="s">
        <v>198</v>
      </c>
      <c r="M11" s="11">
        <f>N11/100-1</f>
        <v>-3.0000000000000027E-2</v>
      </c>
      <c r="N11" s="10">
        <v>97</v>
      </c>
    </row>
    <row r="12" spans="2:18" x14ac:dyDescent="0.2">
      <c r="B12" t="s">
        <v>241</v>
      </c>
      <c r="D12" s="11">
        <f>E12/100-1</f>
        <v>0.10000000000000009</v>
      </c>
      <c r="E12">
        <v>110</v>
      </c>
      <c r="K12" t="s">
        <v>241</v>
      </c>
      <c r="M12" s="11">
        <f>N12/100-1</f>
        <v>9.000000000000008E-2</v>
      </c>
      <c r="N12">
        <v>109</v>
      </c>
    </row>
    <row r="13" spans="2:18" x14ac:dyDescent="0.2">
      <c r="B13" t="s">
        <v>242</v>
      </c>
      <c r="D13" s="11">
        <f>F13/100</f>
        <v>0.13</v>
      </c>
      <c r="F13">
        <v>13</v>
      </c>
      <c r="M13" s="11"/>
    </row>
    <row r="14" spans="2:18" ht="16" x14ac:dyDescent="0.2">
      <c r="B14" s="4" t="s">
        <v>243</v>
      </c>
      <c r="C14" s="4"/>
      <c r="D14" s="4"/>
      <c r="E14" s="2"/>
      <c r="F14" s="2"/>
      <c r="G14" s="2"/>
      <c r="H14" s="2"/>
      <c r="I14" s="2"/>
      <c r="J14" s="43"/>
      <c r="K14" s="4" t="s">
        <v>244</v>
      </c>
      <c r="L14" s="4"/>
      <c r="M14" s="4"/>
      <c r="N14" s="2"/>
      <c r="O14" s="2"/>
      <c r="P14" s="2"/>
      <c r="Q14" s="2"/>
      <c r="R14" s="2"/>
    </row>
    <row r="15" spans="2:18" x14ac:dyDescent="0.2">
      <c r="B15" s="41" t="s">
        <v>245</v>
      </c>
      <c r="C15" s="40">
        <v>45627</v>
      </c>
      <c r="D15" s="40">
        <v>45992</v>
      </c>
      <c r="E15" s="40">
        <v>46357</v>
      </c>
      <c r="F15" s="40">
        <v>46722</v>
      </c>
      <c r="G15" s="40">
        <v>47088</v>
      </c>
      <c r="H15" s="40">
        <v>47453</v>
      </c>
      <c r="I15" s="40">
        <v>47818</v>
      </c>
      <c r="J15" s="44"/>
      <c r="K15" s="41" t="s">
        <v>246</v>
      </c>
      <c r="L15" s="40">
        <v>45627</v>
      </c>
      <c r="M15" s="40">
        <v>45992</v>
      </c>
      <c r="N15" s="40">
        <v>46357</v>
      </c>
      <c r="O15" s="40">
        <v>46722</v>
      </c>
      <c r="P15" s="40">
        <v>47088</v>
      </c>
      <c r="Q15" s="40">
        <v>47453</v>
      </c>
      <c r="R15" s="40">
        <v>47818</v>
      </c>
    </row>
    <row r="16" spans="2:18" x14ac:dyDescent="0.2">
      <c r="B16" s="27" t="s">
        <v>73</v>
      </c>
      <c r="C16" s="51">
        <f>'DCF Dataset'!F10*(1+'DCF Model'!$D$9)</f>
        <v>91658.827420800008</v>
      </c>
      <c r="D16" s="51">
        <f>C16*(1+$D$9)</f>
        <v>109990.59290496001</v>
      </c>
      <c r="E16" s="51">
        <f t="shared" ref="E16:I16" si="0">D16*(1+$D$9)</f>
        <v>131988.71148595199</v>
      </c>
      <c r="F16" s="51">
        <f t="shared" si="0"/>
        <v>158386.45378314238</v>
      </c>
      <c r="G16" s="51">
        <f t="shared" si="0"/>
        <v>190063.74453977085</v>
      </c>
      <c r="H16" s="51">
        <f t="shared" si="0"/>
        <v>228076.49344772502</v>
      </c>
      <c r="I16" s="51">
        <f t="shared" si="0"/>
        <v>273691.79213727004</v>
      </c>
      <c r="K16" s="27" t="s">
        <v>73</v>
      </c>
      <c r="L16">
        <f>'DCF Dataset'!F10*(1+'DCF Model'!$M$9)</f>
        <v>84020.591802400013</v>
      </c>
      <c r="M16">
        <f>L16*(1+$M$9)</f>
        <v>92422.650982640029</v>
      </c>
      <c r="N16">
        <f t="shared" ref="N16:R16" si="1">M16*(1+$M$9)</f>
        <v>101664.91608090403</v>
      </c>
      <c r="O16">
        <f t="shared" si="1"/>
        <v>111831.40768899444</v>
      </c>
      <c r="P16">
        <f t="shared" si="1"/>
        <v>123014.54845789389</v>
      </c>
      <c r="Q16">
        <f t="shared" si="1"/>
        <v>135316.0033036833</v>
      </c>
      <c r="R16">
        <f t="shared" si="1"/>
        <v>148847.60363405166</v>
      </c>
    </row>
    <row r="17" spans="2:18" x14ac:dyDescent="0.2">
      <c r="B17" s="27" t="s">
        <v>74</v>
      </c>
      <c r="C17" s="51">
        <f>'DCF Dataset'!F13*(1+'DCF Model'!$D$10)</f>
        <v>13785.6255576</v>
      </c>
      <c r="D17" s="51">
        <f>C17*(1+$D$10)</f>
        <v>17783.456969303999</v>
      </c>
      <c r="E17" s="51">
        <f>D17*(1+$D$10)</f>
        <v>22940.659490402159</v>
      </c>
      <c r="F17" s="51">
        <f t="shared" ref="F17:I17" si="2">E17*(1+$D$10)</f>
        <v>29593.450742618785</v>
      </c>
      <c r="G17" s="51">
        <f t="shared" si="2"/>
        <v>38175.551457978232</v>
      </c>
      <c r="H17" s="51">
        <f t="shared" si="2"/>
        <v>49246.461380791923</v>
      </c>
      <c r="I17" s="51">
        <f t="shared" si="2"/>
        <v>63527.935181221583</v>
      </c>
      <c r="J17" s="32"/>
      <c r="K17" s="27" t="s">
        <v>74</v>
      </c>
      <c r="L17" s="51">
        <f>'DCF Dataset'!F13*(1+'DCF Model'!$M$10)</f>
        <v>12289.511156</v>
      </c>
      <c r="M17" s="51">
        <f t="shared" ref="M17:R17" si="3">L17*(1+$M$10)</f>
        <v>14132.9378294</v>
      </c>
      <c r="N17" s="51">
        <f t="shared" si="3"/>
        <v>16252.878503809998</v>
      </c>
      <c r="O17" s="51">
        <f t="shared" si="3"/>
        <v>18690.810279381494</v>
      </c>
      <c r="P17" s="51">
        <f t="shared" si="3"/>
        <v>21494.431821288716</v>
      </c>
      <c r="Q17" s="51">
        <f t="shared" si="3"/>
        <v>24718.59659448202</v>
      </c>
      <c r="R17" s="51">
        <f t="shared" si="3"/>
        <v>28426.386083654321</v>
      </c>
    </row>
    <row r="18" spans="2:18" x14ac:dyDescent="0.2">
      <c r="B18" s="28" t="s">
        <v>247</v>
      </c>
      <c r="C18" s="11">
        <f t="shared" ref="C18:I18" si="4">C17/C16</f>
        <v>0.15040150463971186</v>
      </c>
      <c r="D18" s="11">
        <f>D17/D16</f>
        <v>0.16168161748769022</v>
      </c>
      <c r="E18" s="11">
        <f t="shared" si="4"/>
        <v>0.17380773879926703</v>
      </c>
      <c r="F18" s="11">
        <f t="shared" si="4"/>
        <v>0.18684331920921207</v>
      </c>
      <c r="G18" s="11">
        <f t="shared" si="4"/>
        <v>0.20085656814990296</v>
      </c>
      <c r="H18" s="11">
        <f t="shared" si="4"/>
        <v>0.21592081076114572</v>
      </c>
      <c r="I18" s="11">
        <f t="shared" si="4"/>
        <v>0.23211487156823163</v>
      </c>
      <c r="J18" s="33"/>
      <c r="K18" s="28" t="s">
        <v>247</v>
      </c>
      <c r="L18" s="11">
        <f t="shared" ref="L18:R18" si="5">L17/L16</f>
        <v>0.14626784806399037</v>
      </c>
      <c r="M18" s="11">
        <f t="shared" si="5"/>
        <v>0.15291638661235354</v>
      </c>
      <c r="N18" s="11">
        <f t="shared" si="5"/>
        <v>0.15986713145836959</v>
      </c>
      <c r="O18" s="11">
        <f t="shared" si="5"/>
        <v>0.1671338192519318</v>
      </c>
      <c r="P18" s="11">
        <f t="shared" si="5"/>
        <v>0.17473081103611049</v>
      </c>
      <c r="Q18" s="11">
        <f t="shared" si="5"/>
        <v>0.18267312062866092</v>
      </c>
      <c r="R18" s="11">
        <f t="shared" si="5"/>
        <v>0.1909764442936</v>
      </c>
    </row>
    <row r="19" spans="2:18" x14ac:dyDescent="0.2">
      <c r="B19" s="29" t="s">
        <v>190</v>
      </c>
      <c r="C19" s="51">
        <f>('DCF Dataset'!F13-'DCF Dataset'!F12)*(1+$D$12)</f>
        <v>1981.1655270000015</v>
      </c>
      <c r="D19" s="51">
        <f>C19*(1+$D$12)</f>
        <v>2179.2820797000018</v>
      </c>
      <c r="E19" s="51">
        <f t="shared" ref="E19:I19" si="6">D19*(1+$D$12)</f>
        <v>2397.2102876700023</v>
      </c>
      <c r="F19" s="51">
        <f t="shared" si="6"/>
        <v>2636.9313164370028</v>
      </c>
      <c r="G19" s="51">
        <f t="shared" si="6"/>
        <v>2900.6244480807031</v>
      </c>
      <c r="H19" s="51">
        <f t="shared" si="6"/>
        <v>3190.6868928887739</v>
      </c>
      <c r="I19" s="51">
        <f t="shared" si="6"/>
        <v>3509.7555821776514</v>
      </c>
      <c r="K19" s="29" t="s">
        <v>190</v>
      </c>
      <c r="L19" s="51">
        <f>('DCF Dataset'!F13-'DCF Dataset'!F12)*(1+$M$12)</f>
        <v>1963.1549313000014</v>
      </c>
      <c r="M19" s="51">
        <f>L19*(1+$M$12)</f>
        <v>2139.8388751170019</v>
      </c>
      <c r="N19" s="51">
        <f t="shared" ref="N19:R19" si="7">M19*(1+$M$12)</f>
        <v>2332.4243738775322</v>
      </c>
      <c r="O19" s="51">
        <f t="shared" si="7"/>
        <v>2542.3425675265103</v>
      </c>
      <c r="P19" s="51">
        <f t="shared" si="7"/>
        <v>2771.1533986038962</v>
      </c>
      <c r="Q19" s="51">
        <f t="shared" si="7"/>
        <v>3020.5572044782471</v>
      </c>
      <c r="R19" s="51">
        <f t="shared" si="7"/>
        <v>3292.4073528812896</v>
      </c>
    </row>
    <row r="20" spans="2:18" x14ac:dyDescent="0.2">
      <c r="B20" s="30" t="s">
        <v>191</v>
      </c>
      <c r="C20" s="51">
        <f t="shared" ref="C20:I20" si="8">C17-C19</f>
        <v>11804.460030599999</v>
      </c>
      <c r="D20" s="51">
        <f t="shared" si="8"/>
        <v>15604.174889603997</v>
      </c>
      <c r="E20" s="51">
        <f t="shared" si="8"/>
        <v>20543.449202732158</v>
      </c>
      <c r="F20" s="51">
        <f t="shared" si="8"/>
        <v>26956.519426181781</v>
      </c>
      <c r="G20" s="51">
        <f t="shared" si="8"/>
        <v>35274.927009897532</v>
      </c>
      <c r="H20" s="51">
        <f t="shared" si="8"/>
        <v>46055.774487903152</v>
      </c>
      <c r="I20" s="51">
        <f t="shared" si="8"/>
        <v>60018.179599043928</v>
      </c>
      <c r="K20" s="30" t="s">
        <v>191</v>
      </c>
      <c r="L20" s="51">
        <f>L17-L19</f>
        <v>10326.356224699999</v>
      </c>
      <c r="M20" s="51">
        <f t="shared" ref="M20:R20" si="9">M17-M19</f>
        <v>11993.098954282998</v>
      </c>
      <c r="N20" s="51">
        <f t="shared" si="9"/>
        <v>13920.454129932466</v>
      </c>
      <c r="O20" s="51">
        <f t="shared" si="9"/>
        <v>16148.467711854984</v>
      </c>
      <c r="P20" s="51">
        <f t="shared" si="9"/>
        <v>18723.27842268482</v>
      </c>
      <c r="Q20" s="51">
        <f t="shared" si="9"/>
        <v>21698.039390003774</v>
      </c>
      <c r="R20" s="51">
        <f t="shared" si="9"/>
        <v>25133.978730773029</v>
      </c>
    </row>
    <row r="21" spans="2:18" x14ac:dyDescent="0.2">
      <c r="B21" s="28" t="s">
        <v>247</v>
      </c>
      <c r="C21" s="11">
        <f>C20/C16</f>
        <v>0.12878694134288293</v>
      </c>
      <c r="D21" s="11">
        <f t="shared" ref="D21:I21" si="10">D20/D16</f>
        <v>0.14186826779893036</v>
      </c>
      <c r="E21" s="11">
        <f t="shared" si="10"/>
        <v>0.15564550158457049</v>
      </c>
      <c r="F21" s="11">
        <f t="shared" si="10"/>
        <v>0.17019460176240689</v>
      </c>
      <c r="G21" s="11">
        <f t="shared" si="10"/>
        <v>0.18559524382366491</v>
      </c>
      <c r="H21" s="11">
        <f t="shared" si="10"/>
        <v>0.20193126346209417</v>
      </c>
      <c r="I21" s="11">
        <f t="shared" si="10"/>
        <v>0.21929111987743435</v>
      </c>
      <c r="K21" s="28" t="s">
        <v>247</v>
      </c>
      <c r="L21" s="11">
        <f>L20/L16</f>
        <v>0.12290268377287282</v>
      </c>
      <c r="M21" s="11">
        <f t="shared" ref="M21:R21" si="11">M20/M16</f>
        <v>0.1297636329057007</v>
      </c>
      <c r="N21" s="11">
        <f t="shared" si="11"/>
        <v>0.13692485733086815</v>
      </c>
      <c r="O21" s="11">
        <f t="shared" si="11"/>
        <v>0.14440011125286217</v>
      </c>
      <c r="P21" s="11">
        <f t="shared" si="11"/>
        <v>0.15220377310975969</v>
      </c>
      <c r="Q21" s="11">
        <f t="shared" si="11"/>
        <v>0.16035087395618602</v>
      </c>
      <c r="R21" s="11">
        <f t="shared" si="11"/>
        <v>0.16885712713632942</v>
      </c>
    </row>
    <row r="22" spans="2:18" x14ac:dyDescent="0.2">
      <c r="B22" s="31" t="s">
        <v>248</v>
      </c>
      <c r="C22" s="51">
        <f t="shared" ref="C22:I22" si="12">C20*$D$8</f>
        <v>5548.0962143819997</v>
      </c>
      <c r="D22" s="51">
        <f t="shared" si="12"/>
        <v>7333.962198113878</v>
      </c>
      <c r="E22" s="51">
        <f t="shared" si="12"/>
        <v>9655.4211252841142</v>
      </c>
      <c r="F22" s="51">
        <f t="shared" si="12"/>
        <v>12669.564130305436</v>
      </c>
      <c r="G22" s="51">
        <f t="shared" si="12"/>
        <v>16579.215694651841</v>
      </c>
      <c r="H22" s="51">
        <f t="shared" si="12"/>
        <v>21646.214009314481</v>
      </c>
      <c r="I22" s="51">
        <f t="shared" si="12"/>
        <v>28208.544411550643</v>
      </c>
      <c r="K22" s="31" t="s">
        <v>248</v>
      </c>
      <c r="L22" s="51">
        <f>L20*$M$8</f>
        <v>206.52712449399999</v>
      </c>
      <c r="M22" s="51">
        <f t="shared" ref="M22:R22" si="13">M20*$M$8</f>
        <v>239.86197908565995</v>
      </c>
      <c r="N22" s="51">
        <f t="shared" si="13"/>
        <v>278.40908259864932</v>
      </c>
      <c r="O22" s="51">
        <f t="shared" si="13"/>
        <v>322.96935423709971</v>
      </c>
      <c r="P22" s="51">
        <f t="shared" si="13"/>
        <v>374.46556845369639</v>
      </c>
      <c r="Q22" s="51">
        <f t="shared" si="13"/>
        <v>433.96078780007548</v>
      </c>
      <c r="R22" s="51">
        <f t="shared" si="13"/>
        <v>502.67957461546058</v>
      </c>
    </row>
    <row r="23" spans="2:18" x14ac:dyDescent="0.2">
      <c r="B23" s="27" t="s">
        <v>249</v>
      </c>
      <c r="C23" s="51">
        <f t="shared" ref="C23:I23" si="14">C20-C22</f>
        <v>6256.3638162179996</v>
      </c>
      <c r="D23" s="51">
        <f t="shared" si="14"/>
        <v>8270.2126914901201</v>
      </c>
      <c r="E23" s="51">
        <f t="shared" si="14"/>
        <v>10888.028077448043</v>
      </c>
      <c r="F23" s="51">
        <f t="shared" si="14"/>
        <v>14286.955295876345</v>
      </c>
      <c r="G23" s="51">
        <f t="shared" si="14"/>
        <v>18695.711315245691</v>
      </c>
      <c r="H23" s="51">
        <f t="shared" si="14"/>
        <v>24409.560478588672</v>
      </c>
      <c r="I23" s="51">
        <f t="shared" si="14"/>
        <v>31809.635187493284</v>
      </c>
      <c r="K23" s="27" t="s">
        <v>249</v>
      </c>
      <c r="L23" s="51">
        <f>L20-L22</f>
        <v>10119.829100206</v>
      </c>
      <c r="M23" s="51">
        <f t="shared" ref="M23:R23" si="15">M20-M22</f>
        <v>11753.236975197338</v>
      </c>
      <c r="N23" s="51">
        <f t="shared" si="15"/>
        <v>13642.045047333817</v>
      </c>
      <c r="O23" s="51">
        <f t="shared" si="15"/>
        <v>15825.498357617884</v>
      </c>
      <c r="P23" s="51">
        <f t="shared" si="15"/>
        <v>18348.812854231124</v>
      </c>
      <c r="Q23" s="51">
        <f t="shared" si="15"/>
        <v>21264.078602203699</v>
      </c>
      <c r="R23" s="51">
        <f t="shared" si="15"/>
        <v>24631.299156157569</v>
      </c>
    </row>
    <row r="24" spans="2:18" x14ac:dyDescent="0.2">
      <c r="B24" s="31"/>
      <c r="C24" s="50"/>
      <c r="D24" s="50"/>
      <c r="E24" s="50"/>
      <c r="F24" s="50"/>
      <c r="G24" s="50"/>
      <c r="H24" s="50"/>
      <c r="I24" s="50"/>
      <c r="K24" s="31"/>
      <c r="L24" s="50"/>
      <c r="M24" s="50"/>
      <c r="N24" s="50"/>
      <c r="O24" s="50"/>
      <c r="P24" s="50"/>
      <c r="Q24" s="50"/>
      <c r="R24" s="50"/>
    </row>
    <row r="25" spans="2:18" x14ac:dyDescent="0.2">
      <c r="B25" s="31" t="s">
        <v>194</v>
      </c>
      <c r="C25" s="51">
        <f>C19</f>
        <v>1981.1655270000015</v>
      </c>
      <c r="D25" s="51">
        <f t="shared" ref="D25:I25" si="16">D19</f>
        <v>2179.2820797000018</v>
      </c>
      <c r="E25" s="51">
        <f t="shared" si="16"/>
        <v>2397.2102876700023</v>
      </c>
      <c r="F25" s="51">
        <f t="shared" si="16"/>
        <v>2636.9313164370028</v>
      </c>
      <c r="G25" s="51">
        <f t="shared" si="16"/>
        <v>2900.6244480807031</v>
      </c>
      <c r="H25" s="51">
        <f t="shared" si="16"/>
        <v>3190.6868928887739</v>
      </c>
      <c r="I25" s="51">
        <f t="shared" si="16"/>
        <v>3509.7555821776514</v>
      </c>
      <c r="K25" s="31" t="s">
        <v>194</v>
      </c>
      <c r="L25" s="51">
        <f>L19</f>
        <v>1963.1549313000014</v>
      </c>
      <c r="M25" s="51">
        <f t="shared" ref="M25:R25" si="17">M19</f>
        <v>2139.8388751170019</v>
      </c>
      <c r="N25" s="51">
        <f t="shared" si="17"/>
        <v>2332.4243738775322</v>
      </c>
      <c r="O25" s="51">
        <f t="shared" si="17"/>
        <v>2542.3425675265103</v>
      </c>
      <c r="P25" s="51">
        <f t="shared" si="17"/>
        <v>2771.1533986038962</v>
      </c>
      <c r="Q25" s="51">
        <f t="shared" si="17"/>
        <v>3020.5572044782471</v>
      </c>
      <c r="R25" s="51">
        <f t="shared" si="17"/>
        <v>3292.4073528812896</v>
      </c>
    </row>
    <row r="26" spans="2:18" x14ac:dyDescent="0.2">
      <c r="B26" s="31" t="s">
        <v>195</v>
      </c>
      <c r="C26" s="51">
        <f>'DCF Dataset'!F24*(1+'DCF Model'!$D$13)</f>
        <v>-2706.8880585399997</v>
      </c>
      <c r="D26" s="51">
        <f t="shared" ref="D26:I26" si="18">C26*(1+$D$13)</f>
        <v>-3058.7835061501996</v>
      </c>
      <c r="E26" s="51">
        <f t="shared" si="18"/>
        <v>-3456.4253619497254</v>
      </c>
      <c r="F26" s="51">
        <f t="shared" si="18"/>
        <v>-3905.7606590031892</v>
      </c>
      <c r="G26" s="51">
        <f t="shared" si="18"/>
        <v>-4413.5095446736032</v>
      </c>
      <c r="H26" s="51">
        <f t="shared" si="18"/>
        <v>-4987.2657854811714</v>
      </c>
      <c r="I26" s="51">
        <f t="shared" si="18"/>
        <v>-5635.6103375937228</v>
      </c>
      <c r="K26" s="31" t="s">
        <v>195</v>
      </c>
      <c r="L26" s="51">
        <f>C26</f>
        <v>-2706.8880585399997</v>
      </c>
      <c r="M26" s="51">
        <f t="shared" ref="M26:R26" si="19">D26</f>
        <v>-3058.7835061501996</v>
      </c>
      <c r="N26" s="51">
        <f t="shared" si="19"/>
        <v>-3456.4253619497254</v>
      </c>
      <c r="O26" s="51">
        <f t="shared" si="19"/>
        <v>-3905.7606590031892</v>
      </c>
      <c r="P26" s="51">
        <f t="shared" si="19"/>
        <v>-4413.5095446736032</v>
      </c>
      <c r="Q26" s="51">
        <f t="shared" si="19"/>
        <v>-4987.2657854811714</v>
      </c>
      <c r="R26" s="51">
        <f t="shared" si="19"/>
        <v>-5635.6103375937228</v>
      </c>
    </row>
    <row r="27" spans="2:18" x14ac:dyDescent="0.2">
      <c r="B27" s="31" t="s">
        <v>196</v>
      </c>
      <c r="C27" s="42">
        <f>-'DCF NWC'!H20</f>
        <v>686.07758766666666</v>
      </c>
      <c r="D27" s="51">
        <f t="shared" ref="D27:I27" si="20">C27*(1+$D$11)</f>
        <v>699.79913941999996</v>
      </c>
      <c r="E27" s="51">
        <f t="shared" si="20"/>
        <v>713.79512220840002</v>
      </c>
      <c r="F27" s="51">
        <f t="shared" si="20"/>
        <v>728.07102465256798</v>
      </c>
      <c r="G27" s="51">
        <f t="shared" si="20"/>
        <v>742.63244514561939</v>
      </c>
      <c r="H27" s="51">
        <f t="shared" si="20"/>
        <v>757.48509404853178</v>
      </c>
      <c r="I27" s="51">
        <f t="shared" si="20"/>
        <v>772.63479592950239</v>
      </c>
      <c r="K27" s="31" t="s">
        <v>196</v>
      </c>
      <c r="L27" s="42">
        <f>-'DCF NWC'!H20</f>
        <v>686.07758766666666</v>
      </c>
      <c r="M27" s="51">
        <f>L27*(1+$M$11)</f>
        <v>665.49526003666665</v>
      </c>
      <c r="N27" s="51">
        <f t="shared" ref="N27:R27" si="21">M27*(1+$M$11)</f>
        <v>645.53040223556661</v>
      </c>
      <c r="O27" s="51">
        <f t="shared" si="21"/>
        <v>626.16449016849958</v>
      </c>
      <c r="P27" s="51">
        <f t="shared" si="21"/>
        <v>607.3795554634446</v>
      </c>
      <c r="Q27" s="51">
        <f t="shared" si="21"/>
        <v>589.15816879954127</v>
      </c>
      <c r="R27" s="51">
        <f t="shared" si="21"/>
        <v>571.48342373555499</v>
      </c>
    </row>
    <row r="28" spans="2:18" x14ac:dyDescent="0.2">
      <c r="B28" s="31"/>
      <c r="K28" s="31"/>
    </row>
    <row r="29" spans="2:18" x14ac:dyDescent="0.2">
      <c r="B29" s="66" t="s">
        <v>200</v>
      </c>
      <c r="C29" s="67">
        <f>SUM(C25:C27,C23)</f>
        <v>6216.7188723446679</v>
      </c>
      <c r="D29" s="67">
        <f t="shared" ref="D29:I29" si="22">SUM(D25:D27,D23)</f>
        <v>8090.510404459922</v>
      </c>
      <c r="E29" s="67">
        <f t="shared" si="22"/>
        <v>10542.608125376721</v>
      </c>
      <c r="F29" s="67">
        <f t="shared" si="22"/>
        <v>13746.196977962727</v>
      </c>
      <c r="G29" s="67">
        <f t="shared" si="22"/>
        <v>17925.45866379841</v>
      </c>
      <c r="H29" s="67">
        <f t="shared" si="22"/>
        <v>23370.466680044807</v>
      </c>
      <c r="I29" s="67">
        <f t="shared" si="22"/>
        <v>30456.415228006714</v>
      </c>
      <c r="K29" s="66" t="s">
        <v>200</v>
      </c>
      <c r="L29" s="67">
        <f t="shared" ref="L29:R29" si="23">SUM(L25:L27,L23)</f>
        <v>10062.173560632667</v>
      </c>
      <c r="M29" s="67">
        <f t="shared" si="23"/>
        <v>11499.787604200807</v>
      </c>
      <c r="N29" s="67">
        <f t="shared" si="23"/>
        <v>13163.57446149719</v>
      </c>
      <c r="O29" s="67">
        <f t="shared" si="23"/>
        <v>15088.244756309705</v>
      </c>
      <c r="P29" s="67">
        <f t="shared" si="23"/>
        <v>17313.83626362486</v>
      </c>
      <c r="Q29" s="67">
        <f t="shared" si="23"/>
        <v>19886.528190000317</v>
      </c>
      <c r="R29" s="67">
        <f t="shared" si="23"/>
        <v>22859.57959518069</v>
      </c>
    </row>
    <row r="30" spans="2:18" x14ac:dyDescent="0.2">
      <c r="B30" s="65" t="s">
        <v>122</v>
      </c>
      <c r="C30" s="77">
        <f>(D5*D6)+(D4*D7*(1-D8))</f>
        <v>0.20517144158722178</v>
      </c>
      <c r="D30" s="37"/>
      <c r="E30" s="37"/>
      <c r="F30" s="37"/>
      <c r="G30" s="37"/>
      <c r="H30" s="37"/>
      <c r="I30" s="37"/>
      <c r="K30" s="65" t="s">
        <v>122</v>
      </c>
      <c r="L30" s="77">
        <f>(M5*M6)+(M4*M7*(1-M8))</f>
        <v>0.6173783447918042</v>
      </c>
      <c r="M30" s="37"/>
      <c r="N30" s="37"/>
      <c r="O30" s="37"/>
      <c r="P30" s="37"/>
      <c r="Q30" s="37"/>
      <c r="R30" s="37"/>
    </row>
    <row r="31" spans="2:18" x14ac:dyDescent="0.2">
      <c r="B31" s="65" t="s">
        <v>202</v>
      </c>
      <c r="C31" s="26">
        <v>0.25</v>
      </c>
      <c r="D31" s="26">
        <f t="shared" ref="D31:I31" si="24">C31+0.25</f>
        <v>0.5</v>
      </c>
      <c r="E31" s="26">
        <f t="shared" si="24"/>
        <v>0.75</v>
      </c>
      <c r="F31" s="26">
        <f t="shared" si="24"/>
        <v>1</v>
      </c>
      <c r="G31" s="26">
        <f t="shared" si="24"/>
        <v>1.25</v>
      </c>
      <c r="H31" s="26">
        <f t="shared" si="24"/>
        <v>1.5</v>
      </c>
      <c r="I31" s="26">
        <f t="shared" si="24"/>
        <v>1.75</v>
      </c>
      <c r="K31" s="65" t="s">
        <v>202</v>
      </c>
      <c r="L31" s="26">
        <v>0.25</v>
      </c>
      <c r="M31" s="26">
        <f t="shared" ref="M31" si="25">L31+0.25</f>
        <v>0.5</v>
      </c>
      <c r="N31" s="26">
        <f t="shared" ref="N31" si="26">M31+0.25</f>
        <v>0.75</v>
      </c>
      <c r="O31" s="26">
        <f t="shared" ref="O31" si="27">N31+0.25</f>
        <v>1</v>
      </c>
      <c r="P31" s="26">
        <f t="shared" ref="P31" si="28">O31+0.25</f>
        <v>1.25</v>
      </c>
      <c r="Q31" s="26">
        <f t="shared" ref="Q31" si="29">P31+0.25</f>
        <v>1.5</v>
      </c>
      <c r="R31" s="26">
        <f t="shared" ref="R31" si="30">Q31+0.25</f>
        <v>1.75</v>
      </c>
    </row>
    <row r="32" spans="2:18" x14ac:dyDescent="0.2">
      <c r="B32" s="65" t="s">
        <v>203</v>
      </c>
      <c r="C32" s="26">
        <f>1/((1+$C$30)^C31)</f>
        <v>0.95441617740682505</v>
      </c>
      <c r="D32" s="26">
        <f t="shared" ref="D32:H32" si="31">1/((1+$C$30)^D31)</f>
        <v>0.91091023969585616</v>
      </c>
      <c r="E32" s="26">
        <f t="shared" si="31"/>
        <v>0.86938746893125385</v>
      </c>
      <c r="F32" s="26">
        <f t="shared" si="31"/>
        <v>0.82975746478276213</v>
      </c>
      <c r="G32" s="26">
        <f t="shared" si="31"/>
        <v>0.79193394771274217</v>
      </c>
      <c r="H32" s="26">
        <f t="shared" si="31"/>
        <v>0.75583457113469188</v>
      </c>
      <c r="I32" s="26">
        <f>1/((1+$C$30)^I31)</f>
        <v>0.72138074213429959</v>
      </c>
      <c r="K32" s="65" t="s">
        <v>203</v>
      </c>
      <c r="L32" s="26">
        <f>1/((1+$L$30)^L31)</f>
        <v>0.88674162216401942</v>
      </c>
      <c r="M32" s="26">
        <f t="shared" ref="M32:R32" si="32">1/((1+$L$30)^M31)</f>
        <v>0.78631070447807661</v>
      </c>
      <c r="N32" s="26">
        <f t="shared" si="32"/>
        <v>0.69725442961382245</v>
      </c>
      <c r="O32" s="26">
        <f t="shared" si="32"/>
        <v>0.618284523976809</v>
      </c>
      <c r="P32" s="26">
        <f t="shared" si="32"/>
        <v>0.5482586217501042</v>
      </c>
      <c r="Q32" s="26">
        <f t="shared" si="32"/>
        <v>0.48616373961609688</v>
      </c>
      <c r="R32" s="26">
        <f t="shared" si="32"/>
        <v>0.43110162310450378</v>
      </c>
    </row>
    <row r="33" spans="2:18" ht="16" thickBot="1" x14ac:dyDescent="0.25">
      <c r="B33" s="68" t="s">
        <v>204</v>
      </c>
      <c r="C33" s="78">
        <f t="shared" ref="C33:I33" si="33">C29*C32</f>
        <v>5933.3370621560662</v>
      </c>
      <c r="D33" s="78">
        <f>D29*D32</f>
        <v>7369.7287717884055</v>
      </c>
      <c r="E33" s="78">
        <f t="shared" si="33"/>
        <v>9165.6113940553387</v>
      </c>
      <c r="F33" s="78">
        <f t="shared" si="33"/>
        <v>11406.009554838818</v>
      </c>
      <c r="G33" s="78">
        <f t="shared" si="33"/>
        <v>14195.779244183452</v>
      </c>
      <c r="H33" s="78">
        <f t="shared" si="33"/>
        <v>17664.206660329273</v>
      </c>
      <c r="I33" s="78">
        <f t="shared" si="33"/>
        <v>21970.671419929866</v>
      </c>
      <c r="K33" s="68" t="s">
        <v>204</v>
      </c>
      <c r="L33" s="78">
        <f>L29*L32</f>
        <v>8922.5481056513181</v>
      </c>
      <c r="M33" s="78">
        <f t="shared" ref="M33:R33" si="34">M29*M32</f>
        <v>9042.4060924073892</v>
      </c>
      <c r="N33" s="78">
        <f t="shared" si="34"/>
        <v>9178.3606028303038</v>
      </c>
      <c r="O33" s="78">
        <f t="shared" si="34"/>
        <v>9328.8282268005296</v>
      </c>
      <c r="P33" s="78">
        <f t="shared" si="34"/>
        <v>9492.4600071019395</v>
      </c>
      <c r="Q33" s="78">
        <f t="shared" si="34"/>
        <v>9668.1089128314852</v>
      </c>
      <c r="R33" s="78">
        <f t="shared" si="34"/>
        <v>9854.8018669689918</v>
      </c>
    </row>
    <row r="34" spans="2:18" ht="16" thickTop="1" x14ac:dyDescent="0.2">
      <c r="B34" s="35"/>
      <c r="C34" s="26"/>
      <c r="D34" s="26"/>
      <c r="E34" s="26"/>
      <c r="F34" s="26"/>
      <c r="G34" s="26"/>
      <c r="H34" s="26"/>
      <c r="I34" s="26"/>
    </row>
    <row r="35" spans="2:18" x14ac:dyDescent="0.2">
      <c r="B35" s="93" t="s">
        <v>205</v>
      </c>
      <c r="C35" s="94">
        <f>SUM(C33:I33)</f>
        <v>87705.344107281213</v>
      </c>
      <c r="D35" s="37"/>
      <c r="E35" s="37"/>
      <c r="F35" s="37"/>
      <c r="G35" s="37"/>
      <c r="H35" s="37"/>
      <c r="I35" s="97"/>
      <c r="K35" s="93" t="s">
        <v>250</v>
      </c>
      <c r="L35" s="94">
        <f>SUM(L33:R33)</f>
        <v>65487.513814591955</v>
      </c>
    </row>
    <row r="36" spans="2:18" x14ac:dyDescent="0.2">
      <c r="B36" s="35"/>
      <c r="C36" s="26"/>
      <c r="D36" s="37"/>
      <c r="E36" s="37"/>
      <c r="F36" s="37"/>
      <c r="G36" s="37"/>
      <c r="H36" s="37"/>
      <c r="I36" s="37"/>
    </row>
    <row r="37" spans="2:18" x14ac:dyDescent="0.2">
      <c r="B37" s="95" t="s">
        <v>206</v>
      </c>
      <c r="C37" s="96">
        <f>C35/C30</f>
        <v>427473.45063614135</v>
      </c>
      <c r="D37" s="37"/>
      <c r="E37" s="37"/>
      <c r="F37" s="37"/>
      <c r="G37" s="37"/>
      <c r="H37" s="37"/>
      <c r="I37" s="37"/>
      <c r="K37" s="95" t="s">
        <v>206</v>
      </c>
      <c r="L37" s="96">
        <f>L35/L30</f>
        <v>106073.55176456022</v>
      </c>
    </row>
    <row r="38" spans="2:18" x14ac:dyDescent="0.2">
      <c r="B38" s="35"/>
      <c r="C38" s="26"/>
      <c r="D38" s="26"/>
      <c r="E38" s="26"/>
      <c r="F38" s="37"/>
      <c r="G38" s="26"/>
      <c r="H38" s="26"/>
      <c r="I38" s="26"/>
    </row>
    <row r="39" spans="2:18" x14ac:dyDescent="0.2">
      <c r="B39" s="34"/>
      <c r="C39" s="36"/>
      <c r="D39" s="36"/>
      <c r="E39" s="36"/>
      <c r="F39" s="36"/>
      <c r="G39" s="36"/>
      <c r="H39" s="36"/>
      <c r="I39" s="36"/>
    </row>
    <row r="40" spans="2:18" x14ac:dyDescent="0.2">
      <c r="B40" s="35"/>
      <c r="C40" s="26"/>
      <c r="D40" s="26"/>
      <c r="E40" s="26"/>
      <c r="F40" s="26"/>
      <c r="G40" s="26"/>
      <c r="H40" s="26"/>
      <c r="I40" s="26"/>
    </row>
    <row r="41" spans="2:18" x14ac:dyDescent="0.2">
      <c r="B41" s="34"/>
      <c r="C41" s="34"/>
      <c r="D41" s="34"/>
      <c r="E41" s="34"/>
      <c r="F41" s="34"/>
      <c r="G41" s="34"/>
      <c r="H41" s="34"/>
      <c r="I41" s="34"/>
    </row>
    <row r="42" spans="2:18" x14ac:dyDescent="0.2">
      <c r="B42" s="16"/>
      <c r="C42" s="23"/>
      <c r="D42" s="23"/>
      <c r="E42" s="23"/>
      <c r="F42" s="23"/>
      <c r="G42" s="23"/>
      <c r="H42" s="23"/>
      <c r="I42" s="23"/>
    </row>
    <row r="44" spans="2:18" x14ac:dyDescent="0.2">
      <c r="B44" s="27"/>
      <c r="C44" s="32"/>
      <c r="D44" s="32"/>
      <c r="E44" s="32"/>
      <c r="F44" s="32"/>
      <c r="G44" s="32"/>
      <c r="H44" s="32"/>
      <c r="I44" s="32"/>
    </row>
    <row r="45" spans="2:18" x14ac:dyDescent="0.2">
      <c r="B45" s="28"/>
      <c r="C45" s="33"/>
      <c r="D45" s="33"/>
      <c r="E45" s="33"/>
      <c r="F45" s="33"/>
      <c r="G45" s="33"/>
      <c r="H45" s="33"/>
      <c r="I45" s="33"/>
      <c r="K45" s="33"/>
      <c r="L45" s="33"/>
    </row>
    <row r="46" spans="2:18" x14ac:dyDescent="0.2">
      <c r="B46" s="29"/>
      <c r="C46" s="32"/>
      <c r="D46" s="32"/>
      <c r="E46" s="32"/>
      <c r="F46" s="32"/>
      <c r="G46" s="32"/>
      <c r="H46" s="32"/>
      <c r="I46" s="32"/>
    </row>
    <row r="47" spans="2:18" x14ac:dyDescent="0.2">
      <c r="B47" s="30"/>
      <c r="C47" s="32"/>
      <c r="D47" s="32"/>
      <c r="E47" s="32"/>
      <c r="F47" s="32"/>
      <c r="G47" s="32"/>
      <c r="H47" s="32"/>
      <c r="I47" s="32"/>
    </row>
    <row r="48" spans="2:18" x14ac:dyDescent="0.2">
      <c r="B48" s="28"/>
      <c r="C48" s="33"/>
      <c r="D48" s="33"/>
      <c r="E48" s="33"/>
      <c r="F48" s="33"/>
      <c r="G48" s="33"/>
      <c r="H48" s="33"/>
      <c r="I48" s="33"/>
    </row>
    <row r="49" spans="2:9" x14ac:dyDescent="0.2">
      <c r="B49" s="31"/>
    </row>
    <row r="50" spans="2:9" x14ac:dyDescent="0.2">
      <c r="B50" s="27"/>
      <c r="C50" s="32"/>
      <c r="D50" s="32"/>
      <c r="E50" s="32"/>
      <c r="F50" s="32"/>
      <c r="G50" s="32"/>
      <c r="H50" s="32"/>
      <c r="I50" s="32"/>
    </row>
    <row r="51" spans="2:9" x14ac:dyDescent="0.2">
      <c r="B51" s="31"/>
    </row>
    <row r="52" spans="2:9" x14ac:dyDescent="0.2">
      <c r="B52" s="31"/>
      <c r="C52" s="32"/>
    </row>
    <row r="53" spans="2:9" x14ac:dyDescent="0.2">
      <c r="B53" s="31"/>
      <c r="C53" s="32"/>
    </row>
    <row r="54" spans="2:9" x14ac:dyDescent="0.2">
      <c r="B54" s="31"/>
    </row>
    <row r="55" spans="2:9" x14ac:dyDescent="0.2">
      <c r="B55" s="31"/>
    </row>
    <row r="56" spans="2:9" x14ac:dyDescent="0.2">
      <c r="B56" s="27"/>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pinner 1">
              <controlPr defaultSize="0" autoPict="0">
                <anchor moveWithCells="1" sizeWithCells="1">
                  <from>
                    <xdr:col>4</xdr:col>
                    <xdr:colOff>25400</xdr:colOff>
                    <xdr:row>4</xdr:row>
                    <xdr:rowOff>177800</xdr:rowOff>
                  </from>
                  <to>
                    <xdr:col>5</xdr:col>
                    <xdr:colOff>25400</xdr:colOff>
                    <xdr:row>5</xdr:row>
                    <xdr:rowOff>177800</xdr:rowOff>
                  </to>
                </anchor>
              </controlPr>
            </control>
          </mc:Choice>
        </mc:AlternateContent>
        <mc:AlternateContent xmlns:mc="http://schemas.openxmlformats.org/markup-compatibility/2006">
          <mc:Choice Requires="x14">
            <control shapeId="1026" r:id="rId4" name="Spinner 2">
              <controlPr defaultSize="0" autoPict="0">
                <anchor moveWithCells="1" sizeWithCells="1">
                  <from>
                    <xdr:col>5</xdr:col>
                    <xdr:colOff>25400</xdr:colOff>
                    <xdr:row>6</xdr:row>
                    <xdr:rowOff>0</xdr:rowOff>
                  </from>
                  <to>
                    <xdr:col>6</xdr:col>
                    <xdr:colOff>25400</xdr:colOff>
                    <xdr:row>7</xdr:row>
                    <xdr:rowOff>0</xdr:rowOff>
                  </to>
                </anchor>
              </controlPr>
            </control>
          </mc:Choice>
        </mc:AlternateContent>
        <mc:AlternateContent xmlns:mc="http://schemas.openxmlformats.org/markup-compatibility/2006">
          <mc:Choice Requires="x14">
            <control shapeId="1027" r:id="rId5" name="Spinner 3">
              <controlPr defaultSize="0" autoPict="0">
                <anchor moveWithCells="1" sizeWithCells="1">
                  <from>
                    <xdr:col>4</xdr:col>
                    <xdr:colOff>0</xdr:colOff>
                    <xdr:row>6</xdr:row>
                    <xdr:rowOff>177800</xdr:rowOff>
                  </from>
                  <to>
                    <xdr:col>5</xdr:col>
                    <xdr:colOff>0</xdr:colOff>
                    <xdr:row>7</xdr:row>
                    <xdr:rowOff>177800</xdr:rowOff>
                  </to>
                </anchor>
              </controlPr>
            </control>
          </mc:Choice>
        </mc:AlternateContent>
        <mc:AlternateContent xmlns:mc="http://schemas.openxmlformats.org/markup-compatibility/2006">
          <mc:Choice Requires="x14">
            <control shapeId="1028" r:id="rId6" name="Spinner 4">
              <controlPr defaultSize="0" autoPict="0">
                <anchor moveWithCells="1" sizeWithCells="1">
                  <from>
                    <xdr:col>5</xdr:col>
                    <xdr:colOff>25400</xdr:colOff>
                    <xdr:row>8</xdr:row>
                    <xdr:rowOff>0</xdr:rowOff>
                  </from>
                  <to>
                    <xdr:col>6</xdr:col>
                    <xdr:colOff>25400</xdr:colOff>
                    <xdr:row>9</xdr:row>
                    <xdr:rowOff>0</xdr:rowOff>
                  </to>
                </anchor>
              </controlPr>
            </control>
          </mc:Choice>
        </mc:AlternateContent>
        <mc:AlternateContent xmlns:mc="http://schemas.openxmlformats.org/markup-compatibility/2006">
          <mc:Choice Requires="x14">
            <control shapeId="1029" r:id="rId7" name="Spinner 5">
              <controlPr defaultSize="0" autoPict="0">
                <anchor moveWithCells="1" sizeWithCells="1">
                  <from>
                    <xdr:col>4</xdr:col>
                    <xdr:colOff>25400</xdr:colOff>
                    <xdr:row>9</xdr:row>
                    <xdr:rowOff>0</xdr:rowOff>
                  </from>
                  <to>
                    <xdr:col>5</xdr:col>
                    <xdr:colOff>25400</xdr:colOff>
                    <xdr:row>10</xdr:row>
                    <xdr:rowOff>0</xdr:rowOff>
                  </to>
                </anchor>
              </controlPr>
            </control>
          </mc:Choice>
        </mc:AlternateContent>
        <mc:AlternateContent xmlns:mc="http://schemas.openxmlformats.org/markup-compatibility/2006">
          <mc:Choice Requires="x14">
            <control shapeId="1030" r:id="rId8" name="Spinner 6">
              <controlPr defaultSize="0" autoPict="0">
                <anchor moveWithCells="1" sizeWithCells="1">
                  <from>
                    <xdr:col>13</xdr:col>
                    <xdr:colOff>25400</xdr:colOff>
                    <xdr:row>4</xdr:row>
                    <xdr:rowOff>177800</xdr:rowOff>
                  </from>
                  <to>
                    <xdr:col>14</xdr:col>
                    <xdr:colOff>25400</xdr:colOff>
                    <xdr:row>5</xdr:row>
                    <xdr:rowOff>177800</xdr:rowOff>
                  </to>
                </anchor>
              </controlPr>
            </control>
          </mc:Choice>
        </mc:AlternateContent>
        <mc:AlternateContent xmlns:mc="http://schemas.openxmlformats.org/markup-compatibility/2006">
          <mc:Choice Requires="x14">
            <control shapeId="1031" r:id="rId9" name="Spinner 7">
              <controlPr defaultSize="0" autoPict="0">
                <anchor moveWithCells="1" sizeWithCells="1">
                  <from>
                    <xdr:col>14</xdr:col>
                    <xdr:colOff>25400</xdr:colOff>
                    <xdr:row>6</xdr:row>
                    <xdr:rowOff>0</xdr:rowOff>
                  </from>
                  <to>
                    <xdr:col>15</xdr:col>
                    <xdr:colOff>25400</xdr:colOff>
                    <xdr:row>7</xdr:row>
                    <xdr:rowOff>0</xdr:rowOff>
                  </to>
                </anchor>
              </controlPr>
            </control>
          </mc:Choice>
        </mc:AlternateContent>
        <mc:AlternateContent xmlns:mc="http://schemas.openxmlformats.org/markup-compatibility/2006">
          <mc:Choice Requires="x14">
            <control shapeId="1032" r:id="rId10" name="Spinner 8">
              <controlPr defaultSize="0" autoPict="0">
                <anchor moveWithCells="1" sizeWithCells="1">
                  <from>
                    <xdr:col>13</xdr:col>
                    <xdr:colOff>0</xdr:colOff>
                    <xdr:row>6</xdr:row>
                    <xdr:rowOff>177800</xdr:rowOff>
                  </from>
                  <to>
                    <xdr:col>14</xdr:col>
                    <xdr:colOff>0</xdr:colOff>
                    <xdr:row>7</xdr:row>
                    <xdr:rowOff>177800</xdr:rowOff>
                  </to>
                </anchor>
              </controlPr>
            </control>
          </mc:Choice>
        </mc:AlternateContent>
        <mc:AlternateContent xmlns:mc="http://schemas.openxmlformats.org/markup-compatibility/2006">
          <mc:Choice Requires="x14">
            <control shapeId="1033" r:id="rId11" name="Spinner 9">
              <controlPr defaultSize="0" autoPict="0">
                <anchor moveWithCells="1" sizeWithCells="1">
                  <from>
                    <xdr:col>14</xdr:col>
                    <xdr:colOff>25400</xdr:colOff>
                    <xdr:row>8</xdr:row>
                    <xdr:rowOff>0</xdr:rowOff>
                  </from>
                  <to>
                    <xdr:col>15</xdr:col>
                    <xdr:colOff>25400</xdr:colOff>
                    <xdr:row>9</xdr:row>
                    <xdr:rowOff>0</xdr:rowOff>
                  </to>
                </anchor>
              </controlPr>
            </control>
          </mc:Choice>
        </mc:AlternateContent>
        <mc:AlternateContent xmlns:mc="http://schemas.openxmlformats.org/markup-compatibility/2006">
          <mc:Choice Requires="x14">
            <control shapeId="1034" r:id="rId12" name="Spinner 10">
              <controlPr defaultSize="0" autoPict="0">
                <anchor moveWithCells="1" sizeWithCells="1">
                  <from>
                    <xdr:col>13</xdr:col>
                    <xdr:colOff>25400</xdr:colOff>
                    <xdr:row>9</xdr:row>
                    <xdr:rowOff>0</xdr:rowOff>
                  </from>
                  <to>
                    <xdr:col>14</xdr:col>
                    <xdr:colOff>25400</xdr:colOff>
                    <xdr:row>10</xdr:row>
                    <xdr:rowOff>0</xdr:rowOff>
                  </to>
                </anchor>
              </controlPr>
            </control>
          </mc:Choice>
        </mc:AlternateContent>
        <mc:AlternateContent xmlns:mc="http://schemas.openxmlformats.org/markup-compatibility/2006">
          <mc:Choice Requires="x14">
            <control shapeId="1035" r:id="rId13" name="Spinner 11">
              <controlPr defaultSize="0" autoPict="0">
                <anchor moveWithCells="1" sizeWithCells="1">
                  <from>
                    <xdr:col>5</xdr:col>
                    <xdr:colOff>12700</xdr:colOff>
                    <xdr:row>10</xdr:row>
                    <xdr:rowOff>12700</xdr:rowOff>
                  </from>
                  <to>
                    <xdr:col>6</xdr:col>
                    <xdr:colOff>25400</xdr:colOff>
                    <xdr:row>10</xdr:row>
                    <xdr:rowOff>177800</xdr:rowOff>
                  </to>
                </anchor>
              </controlPr>
            </control>
          </mc:Choice>
        </mc:AlternateContent>
        <mc:AlternateContent xmlns:mc="http://schemas.openxmlformats.org/markup-compatibility/2006">
          <mc:Choice Requires="x14">
            <control shapeId="1036" r:id="rId14" name="Spinner 12">
              <controlPr defaultSize="0" autoPict="0">
                <anchor moveWithCells="1" sizeWithCells="1">
                  <from>
                    <xdr:col>14</xdr:col>
                    <xdr:colOff>12700</xdr:colOff>
                    <xdr:row>10</xdr:row>
                    <xdr:rowOff>25400</xdr:rowOff>
                  </from>
                  <to>
                    <xdr:col>15</xdr:col>
                    <xdr:colOff>25400</xdr:colOff>
                    <xdr:row>11</xdr:row>
                    <xdr:rowOff>0</xdr:rowOff>
                  </to>
                </anchor>
              </controlPr>
            </control>
          </mc:Choice>
        </mc:AlternateContent>
        <mc:AlternateContent xmlns:mc="http://schemas.openxmlformats.org/markup-compatibility/2006">
          <mc:Choice Requires="x14">
            <control shapeId="1037" r:id="rId15" name="Spinner 13">
              <controlPr defaultSize="0" autoPict="0">
                <anchor moveWithCells="1" sizeWithCells="1">
                  <from>
                    <xdr:col>4</xdr:col>
                    <xdr:colOff>12700</xdr:colOff>
                    <xdr:row>11</xdr:row>
                    <xdr:rowOff>12700</xdr:rowOff>
                  </from>
                  <to>
                    <xdr:col>5</xdr:col>
                    <xdr:colOff>25400</xdr:colOff>
                    <xdr:row>11</xdr:row>
                    <xdr:rowOff>177800</xdr:rowOff>
                  </to>
                </anchor>
              </controlPr>
            </control>
          </mc:Choice>
        </mc:AlternateContent>
        <mc:AlternateContent xmlns:mc="http://schemas.openxmlformats.org/markup-compatibility/2006">
          <mc:Choice Requires="x14">
            <control shapeId="1038" r:id="rId16" name="Spinner 14">
              <controlPr defaultSize="0" autoPict="0">
                <anchor moveWithCells="1" sizeWithCells="1">
                  <from>
                    <xdr:col>13</xdr:col>
                    <xdr:colOff>12700</xdr:colOff>
                    <xdr:row>11</xdr:row>
                    <xdr:rowOff>12700</xdr:rowOff>
                  </from>
                  <to>
                    <xdr:col>14</xdr:col>
                    <xdr:colOff>25400</xdr:colOff>
                    <xdr:row>11</xdr:row>
                    <xdr:rowOff>177800</xdr:rowOff>
                  </to>
                </anchor>
              </controlPr>
            </control>
          </mc:Choice>
        </mc:AlternateContent>
        <mc:AlternateContent xmlns:mc="http://schemas.openxmlformats.org/markup-compatibility/2006">
          <mc:Choice Requires="x14">
            <control shapeId="1039" r:id="rId17" name="Spinner 15">
              <controlPr defaultSize="0" autoPict="0">
                <anchor moveWithCells="1" sizeWithCells="1">
                  <from>
                    <xdr:col>13</xdr:col>
                    <xdr:colOff>12700</xdr:colOff>
                    <xdr:row>11</xdr:row>
                    <xdr:rowOff>12700</xdr:rowOff>
                  </from>
                  <to>
                    <xdr:col>14</xdr:col>
                    <xdr:colOff>25400</xdr:colOff>
                    <xdr:row>11</xdr:row>
                    <xdr:rowOff>177800</xdr:rowOff>
                  </to>
                </anchor>
              </controlPr>
            </control>
          </mc:Choice>
        </mc:AlternateContent>
        <mc:AlternateContent xmlns:mc="http://schemas.openxmlformats.org/markup-compatibility/2006">
          <mc:Choice Requires="x14">
            <control shapeId="1040" r:id="rId18" name="Spinner 16">
              <controlPr defaultSize="0" autoPict="0">
                <anchor moveWithCells="1" sizeWithCells="1">
                  <from>
                    <xdr:col>5</xdr:col>
                    <xdr:colOff>25400</xdr:colOff>
                    <xdr:row>12</xdr:row>
                    <xdr:rowOff>25400</xdr:rowOff>
                  </from>
                  <to>
                    <xdr:col>6</xdr:col>
                    <xdr:colOff>38100</xdr:colOff>
                    <xdr:row>12</xdr:row>
                    <xdr:rowOff>177800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22D97-2A08-43F6-AE5B-5F2013C5C56A}">
  <sheetPr codeName="Sheet12"/>
  <dimension ref="B1:Q129"/>
  <sheetViews>
    <sheetView showGridLines="0" topLeftCell="A7" workbookViewId="0">
      <selection activeCell="C11" sqref="C11"/>
    </sheetView>
  </sheetViews>
  <sheetFormatPr baseColWidth="10" defaultColWidth="8.5" defaultRowHeight="15" x14ac:dyDescent="0.2"/>
  <cols>
    <col min="1" max="1" width="2.5" customWidth="1"/>
    <col min="2" max="2" width="44.5" bestFit="1" customWidth="1"/>
    <col min="3" max="3" width="10.1640625" bestFit="1" customWidth="1"/>
    <col min="4" max="9" width="10.83203125" bestFit="1" customWidth="1"/>
    <col min="10" max="10" width="8.5" bestFit="1" customWidth="1"/>
    <col min="11" max="11" width="6.5" bestFit="1" customWidth="1"/>
    <col min="12" max="12" width="11" bestFit="1" customWidth="1"/>
    <col min="13" max="13" width="6.5" bestFit="1" customWidth="1"/>
    <col min="14" max="14" width="15.1640625" bestFit="1" customWidth="1"/>
    <col min="15" max="15" width="8.5" bestFit="1" customWidth="1"/>
    <col min="16" max="16" width="10.5" bestFit="1" customWidth="1"/>
    <col min="17" max="17" width="8.5" bestFit="1" customWidth="1"/>
  </cols>
  <sheetData>
    <row r="1" spans="2:16" ht="14.5" customHeight="1" x14ac:dyDescent="0.2">
      <c r="B1" s="24" t="s">
        <v>251</v>
      </c>
      <c r="C1" s="13"/>
      <c r="D1" s="13"/>
      <c r="E1" s="13"/>
      <c r="F1" s="13"/>
    </row>
    <row r="2" spans="2:16" x14ac:dyDescent="0.2">
      <c r="B2" s="25" t="s">
        <v>252</v>
      </c>
      <c r="C2" s="13"/>
      <c r="D2" s="13"/>
      <c r="E2" s="13"/>
      <c r="F2" s="13"/>
      <c r="G2" s="116"/>
      <c r="H2" s="116"/>
      <c r="I2" s="116"/>
      <c r="J2" s="89"/>
      <c r="K2" s="89"/>
      <c r="L2" s="89"/>
      <c r="M2" s="89"/>
      <c r="N2" s="89"/>
    </row>
    <row r="3" spans="2:16" x14ac:dyDescent="0.2">
      <c r="B3" s="115"/>
      <c r="C3" s="115"/>
      <c r="D3" s="115"/>
      <c r="E3" s="115"/>
      <c r="F3" s="115"/>
      <c r="G3" s="116"/>
      <c r="H3" s="116"/>
      <c r="I3" s="116"/>
      <c r="J3" s="89"/>
      <c r="K3" s="89"/>
      <c r="L3" s="89"/>
      <c r="M3" s="89"/>
      <c r="N3" s="89"/>
    </row>
    <row r="4" spans="2:16" x14ac:dyDescent="0.2">
      <c r="G4" s="117"/>
      <c r="H4" s="117"/>
      <c r="I4" s="117"/>
      <c r="J4" s="89"/>
      <c r="K4" s="89"/>
      <c r="L4" s="89"/>
      <c r="M4" s="89"/>
      <c r="N4" s="89"/>
    </row>
    <row r="5" spans="2:16" x14ac:dyDescent="0.2">
      <c r="B5" s="14" t="s">
        <v>253</v>
      </c>
      <c r="C5" s="14"/>
      <c r="D5" s="14"/>
      <c r="E5" s="14"/>
      <c r="F5" s="14"/>
      <c r="G5" s="117"/>
      <c r="H5" s="117"/>
      <c r="I5" s="117"/>
      <c r="J5" s="89"/>
      <c r="K5" s="89"/>
      <c r="L5" s="89"/>
      <c r="M5" s="89"/>
      <c r="N5" s="89"/>
    </row>
    <row r="6" spans="2:16" x14ac:dyDescent="0.2">
      <c r="B6" s="14" t="s">
        <v>254</v>
      </c>
      <c r="C6" s="14"/>
      <c r="D6" s="14"/>
      <c r="E6" s="14"/>
      <c r="F6" s="14"/>
      <c r="G6" s="117"/>
      <c r="H6" s="117"/>
      <c r="I6" s="117"/>
      <c r="J6" s="89"/>
      <c r="K6" s="118"/>
      <c r="L6" s="119"/>
      <c r="M6" s="120"/>
      <c r="N6" s="121"/>
      <c r="O6" s="38"/>
      <c r="P6" s="38"/>
    </row>
    <row r="7" spans="2:16" x14ac:dyDescent="0.2">
      <c r="B7" s="14" t="s">
        <v>255</v>
      </c>
      <c r="C7" s="14"/>
      <c r="D7" s="14"/>
      <c r="E7" s="14"/>
      <c r="F7" s="14"/>
      <c r="G7" s="117"/>
      <c r="H7" s="117"/>
      <c r="I7" s="117"/>
      <c r="J7" s="89"/>
      <c r="K7" s="89"/>
      <c r="L7" s="89"/>
      <c r="M7" s="89"/>
      <c r="N7" s="89"/>
    </row>
    <row r="8" spans="2:16" x14ac:dyDescent="0.2">
      <c r="B8" s="14"/>
      <c r="C8" s="14" t="s">
        <v>256</v>
      </c>
      <c r="D8" s="14" t="s">
        <v>257</v>
      </c>
      <c r="E8" s="14" t="s">
        <v>258</v>
      </c>
      <c r="F8" s="14" t="s">
        <v>259</v>
      </c>
      <c r="G8" s="34"/>
      <c r="H8" s="34"/>
      <c r="I8" s="34"/>
      <c r="J8" s="89"/>
      <c r="K8" s="89"/>
      <c r="L8" s="89"/>
      <c r="M8" s="89"/>
      <c r="N8" s="89"/>
    </row>
    <row r="9" spans="2:16" x14ac:dyDescent="0.2">
      <c r="B9" s="15" t="s">
        <v>260</v>
      </c>
      <c r="C9" s="15"/>
      <c r="D9" s="15"/>
      <c r="E9" s="15"/>
      <c r="F9" s="15"/>
      <c r="G9" s="122"/>
      <c r="H9" s="122"/>
      <c r="I9" s="122"/>
      <c r="J9" s="89"/>
      <c r="K9" s="89"/>
      <c r="L9" s="89"/>
      <c r="M9" s="89"/>
      <c r="N9" s="89"/>
    </row>
    <row r="10" spans="2:16" x14ac:dyDescent="0.2">
      <c r="B10" s="17" t="s">
        <v>73</v>
      </c>
      <c r="C10" s="18">
        <v>50147.220187999999</v>
      </c>
      <c r="D10" s="18">
        <v>61006.677688000003</v>
      </c>
      <c r="E10" s="18">
        <v>66990.885477999997</v>
      </c>
      <c r="F10" s="18">
        <v>76382.356184000004</v>
      </c>
      <c r="G10" s="122"/>
      <c r="H10" s="122"/>
      <c r="I10" s="122"/>
      <c r="J10" s="89"/>
      <c r="K10" s="89"/>
      <c r="L10" s="89"/>
      <c r="M10" s="89"/>
      <c r="N10" s="89"/>
    </row>
    <row r="11" spans="2:16" x14ac:dyDescent="0.2">
      <c r="B11" s="16" t="s">
        <v>261</v>
      </c>
      <c r="C11" s="19">
        <v>8430.8224449999998</v>
      </c>
      <c r="D11" s="19">
        <v>11323.279379</v>
      </c>
      <c r="E11" s="19">
        <v>14028.912490000001</v>
      </c>
      <c r="F11" s="19">
        <v>17418.204880000001</v>
      </c>
      <c r="G11" s="122"/>
      <c r="H11" s="122"/>
      <c r="I11" s="122"/>
      <c r="J11" s="89"/>
      <c r="K11" s="89"/>
      <c r="L11" s="89"/>
      <c r="M11" s="89"/>
      <c r="N11" s="89"/>
    </row>
    <row r="12" spans="2:16" x14ac:dyDescent="0.2">
      <c r="B12" s="17" t="s">
        <v>191</v>
      </c>
      <c r="C12" s="18">
        <v>1752.3224700000001</v>
      </c>
      <c r="D12" s="18">
        <v>4423.9835199999998</v>
      </c>
      <c r="E12" s="18">
        <v>5598.1109500000002</v>
      </c>
      <c r="F12" s="18">
        <v>8885.4718699999994</v>
      </c>
      <c r="G12" s="122"/>
      <c r="H12" s="122"/>
      <c r="I12" s="122"/>
      <c r="J12" s="89"/>
      <c r="K12" s="89"/>
      <c r="L12" s="89"/>
      <c r="M12" s="89"/>
      <c r="N12" s="89"/>
    </row>
    <row r="13" spans="2:16" x14ac:dyDescent="0.2">
      <c r="B13" s="16" t="s">
        <v>74</v>
      </c>
      <c r="C13" s="19">
        <v>3633.4521</v>
      </c>
      <c r="D13" s="19">
        <v>6363.4786999999997</v>
      </c>
      <c r="E13" s="19">
        <v>7473.0401599999996</v>
      </c>
      <c r="F13" s="19">
        <v>10686.531440000001</v>
      </c>
      <c r="G13" s="122"/>
      <c r="H13" s="122"/>
      <c r="I13" s="122"/>
      <c r="J13" s="89"/>
      <c r="K13" s="89"/>
      <c r="L13" s="89"/>
      <c r="M13" s="89"/>
      <c r="N13" s="89"/>
    </row>
    <row r="14" spans="2:16" x14ac:dyDescent="0.2">
      <c r="B14" s="17" t="s">
        <v>262</v>
      </c>
      <c r="C14" s="18">
        <v>1260.7850780000001</v>
      </c>
      <c r="D14" s="18">
        <v>4157.0198010000004</v>
      </c>
      <c r="E14" s="18">
        <v>4186.5353949999999</v>
      </c>
      <c r="F14" s="18">
        <v>6716.9247720000003</v>
      </c>
      <c r="G14" s="34"/>
      <c r="H14" s="34"/>
      <c r="I14" s="34"/>
      <c r="J14" s="89"/>
      <c r="K14" s="89"/>
      <c r="L14" s="89"/>
      <c r="M14" s="89"/>
      <c r="N14" s="89"/>
    </row>
    <row r="15" spans="2:16" x14ac:dyDescent="0.2">
      <c r="B15" s="15" t="s">
        <v>263</v>
      </c>
      <c r="C15" s="15"/>
      <c r="D15" s="15"/>
      <c r="E15" s="15"/>
      <c r="F15" s="15"/>
      <c r="G15" s="122"/>
      <c r="H15" s="122"/>
      <c r="I15" s="122"/>
      <c r="J15" s="89"/>
      <c r="K15" s="89"/>
      <c r="L15" s="89"/>
      <c r="M15" s="89"/>
      <c r="N15" s="89"/>
    </row>
    <row r="16" spans="2:16" x14ac:dyDescent="0.2">
      <c r="B16" s="17" t="s">
        <v>264</v>
      </c>
      <c r="C16" s="18">
        <v>13546.612478999999</v>
      </c>
      <c r="D16" s="18">
        <v>14753.717358</v>
      </c>
      <c r="E16" s="18">
        <v>15340.247944000001</v>
      </c>
      <c r="F16" s="18">
        <v>15943.06495</v>
      </c>
      <c r="G16" s="122"/>
      <c r="H16" s="122"/>
      <c r="I16" s="122"/>
      <c r="J16" s="89"/>
      <c r="K16" s="89"/>
      <c r="L16" s="89"/>
      <c r="M16" s="89"/>
      <c r="N16" s="89"/>
    </row>
    <row r="17" spans="2:14" x14ac:dyDescent="0.2">
      <c r="B17" s="16" t="s">
        <v>265</v>
      </c>
      <c r="C17" s="19">
        <v>55684.837935000003</v>
      </c>
      <c r="D17" s="19">
        <v>56235.540643</v>
      </c>
      <c r="E17" s="19">
        <v>58292.576666000001</v>
      </c>
      <c r="F17" s="19">
        <v>62604.102372000001</v>
      </c>
      <c r="G17" s="122"/>
      <c r="H17" s="122"/>
      <c r="I17" s="122"/>
      <c r="J17" s="89"/>
      <c r="K17" s="89"/>
      <c r="L17" s="89"/>
      <c r="M17" s="89"/>
      <c r="N17" s="89"/>
    </row>
    <row r="18" spans="2:14" x14ac:dyDescent="0.2">
      <c r="B18" s="17" t="s">
        <v>232</v>
      </c>
      <c r="C18" s="18">
        <v>9598.8975310000005</v>
      </c>
      <c r="D18" s="18">
        <v>8089.4244200000003</v>
      </c>
      <c r="E18" s="18">
        <v>6125.2588459999997</v>
      </c>
      <c r="F18" s="18">
        <v>3204.9311819999998</v>
      </c>
      <c r="G18" s="123"/>
      <c r="H18" s="123"/>
      <c r="I18" s="123"/>
      <c r="J18" s="89"/>
      <c r="K18" s="89"/>
      <c r="L18" s="89"/>
      <c r="M18" s="89"/>
      <c r="N18" s="89"/>
    </row>
    <row r="19" spans="2:14" x14ac:dyDescent="0.2">
      <c r="B19" s="16" t="s">
        <v>49</v>
      </c>
      <c r="C19" s="20">
        <v>-3947.7149479999998</v>
      </c>
      <c r="D19" s="20">
        <v>-6664.2929379999996</v>
      </c>
      <c r="E19" s="20">
        <v>-9214.989098</v>
      </c>
      <c r="F19" s="20">
        <v>-12738.133768</v>
      </c>
      <c r="G19" s="122"/>
      <c r="H19" s="122"/>
      <c r="I19" s="122"/>
      <c r="J19" s="89"/>
      <c r="K19" s="89"/>
      <c r="L19" s="89"/>
      <c r="M19" s="89"/>
      <c r="N19" s="89"/>
    </row>
    <row r="20" spans="2:14" x14ac:dyDescent="0.2">
      <c r="B20" s="17" t="s">
        <v>266</v>
      </c>
      <c r="C20" s="18">
        <v>28167.881066999998</v>
      </c>
      <c r="D20" s="18">
        <v>26866.407509000001</v>
      </c>
      <c r="E20" s="18">
        <v>27179.029781000001</v>
      </c>
      <c r="F20" s="18">
        <v>26453.598819999999</v>
      </c>
      <c r="G20" s="122"/>
      <c r="H20" s="122"/>
      <c r="I20" s="122"/>
      <c r="J20" s="89"/>
      <c r="K20" s="89"/>
      <c r="L20" s="89"/>
      <c r="M20" s="89"/>
      <c r="N20" s="89"/>
    </row>
    <row r="21" spans="2:14" x14ac:dyDescent="0.2">
      <c r="B21" s="16" t="s">
        <v>267</v>
      </c>
      <c r="C21" s="19">
        <v>27516.956867000001</v>
      </c>
      <c r="D21" s="19">
        <v>29367.343859000001</v>
      </c>
      <c r="E21" s="19">
        <v>31109.479664999999</v>
      </c>
      <c r="F21" s="19">
        <v>36145.960498</v>
      </c>
      <c r="G21" s="34"/>
      <c r="H21" s="34"/>
      <c r="I21" s="34"/>
      <c r="J21" s="89"/>
      <c r="K21" s="89"/>
      <c r="L21" s="89"/>
      <c r="M21" s="89"/>
      <c r="N21" s="89"/>
    </row>
    <row r="22" spans="2:14" x14ac:dyDescent="0.2">
      <c r="B22" s="21" t="s">
        <v>268</v>
      </c>
      <c r="C22" s="21"/>
      <c r="D22" s="21"/>
      <c r="E22" s="21"/>
      <c r="F22" s="21"/>
      <c r="G22" s="122"/>
      <c r="H22" s="122"/>
      <c r="I22" s="122"/>
      <c r="J22" s="89"/>
      <c r="K22" s="89"/>
      <c r="L22" s="89"/>
      <c r="M22" s="89"/>
      <c r="N22" s="89"/>
    </row>
    <row r="23" spans="2:14" x14ac:dyDescent="0.2">
      <c r="B23" s="16" t="s">
        <v>269</v>
      </c>
      <c r="C23" s="19">
        <v>4596.9589249999999</v>
      </c>
      <c r="D23" s="19">
        <v>6426.7650990000002</v>
      </c>
      <c r="E23" s="19">
        <v>7223.2602619999998</v>
      </c>
      <c r="F23" s="19">
        <v>8645.1150369999996</v>
      </c>
      <c r="G23" s="123"/>
      <c r="H23" s="123"/>
      <c r="I23" s="123"/>
      <c r="J23" s="89"/>
      <c r="K23" s="89"/>
      <c r="L23" s="89"/>
      <c r="M23" s="89"/>
      <c r="N23" s="89"/>
    </row>
    <row r="24" spans="2:14" x14ac:dyDescent="0.2">
      <c r="B24" s="17" t="s">
        <v>270</v>
      </c>
      <c r="C24" s="22">
        <v>-1966.1368600000001</v>
      </c>
      <c r="D24" s="22">
        <v>-1661.4613830000001</v>
      </c>
      <c r="E24" s="22">
        <v>-1622.439003</v>
      </c>
      <c r="F24" s="22">
        <v>-2395.4761579999999</v>
      </c>
      <c r="G24" s="123"/>
      <c r="H24" s="123"/>
      <c r="I24" s="123"/>
      <c r="J24" s="89"/>
      <c r="K24" s="89"/>
      <c r="L24" s="89"/>
      <c r="M24" s="89"/>
      <c r="N24" s="89"/>
    </row>
    <row r="25" spans="2:14" x14ac:dyDescent="0.2">
      <c r="B25" s="16" t="s">
        <v>271</v>
      </c>
      <c r="C25" s="20">
        <v>-2428.072287</v>
      </c>
      <c r="D25" s="20">
        <v>-3863.1392970000002</v>
      </c>
      <c r="E25" s="20">
        <v>-4386.5204450000001</v>
      </c>
      <c r="F25" s="20">
        <v>-2377.5760319999999</v>
      </c>
      <c r="G25" s="123"/>
      <c r="H25" s="123"/>
      <c r="I25" s="123"/>
      <c r="J25" s="89"/>
      <c r="K25" s="89"/>
      <c r="L25" s="89"/>
      <c r="M25" s="89"/>
      <c r="N25" s="89"/>
    </row>
    <row r="26" spans="2:14" x14ac:dyDescent="0.2">
      <c r="B26" s="17" t="s">
        <v>272</v>
      </c>
      <c r="C26" s="18">
        <v>2981.0316200000002</v>
      </c>
      <c r="D26" s="22">
        <v>-1415.1035240000001</v>
      </c>
      <c r="E26" s="22">
        <v>-2676.171171</v>
      </c>
      <c r="F26" s="22">
        <v>-4282.8144940000002</v>
      </c>
      <c r="G26" s="122"/>
      <c r="H26" s="122"/>
      <c r="I26" s="122"/>
      <c r="J26" s="89"/>
      <c r="K26" s="89"/>
      <c r="L26" s="89"/>
      <c r="M26" s="89"/>
      <c r="N26" s="89"/>
    </row>
    <row r="27" spans="2:14" x14ac:dyDescent="0.2">
      <c r="B27" s="16" t="s">
        <v>273</v>
      </c>
      <c r="C27" s="19">
        <v>3188.4369200000001</v>
      </c>
      <c r="D27" s="19">
        <v>5274.5036</v>
      </c>
      <c r="E27" s="19">
        <v>6066.5385100000003</v>
      </c>
      <c r="F27" s="19">
        <v>6858.0411299999996</v>
      </c>
      <c r="G27" s="34"/>
      <c r="H27" s="34"/>
      <c r="I27" s="34"/>
      <c r="J27" s="89"/>
      <c r="K27" s="89"/>
      <c r="L27" s="89"/>
      <c r="M27" s="89"/>
      <c r="N27" s="89"/>
    </row>
    <row r="28" spans="2:14" x14ac:dyDescent="0.2">
      <c r="B28" s="21" t="s">
        <v>274</v>
      </c>
      <c r="C28" s="21"/>
      <c r="D28" s="21"/>
      <c r="E28" s="21"/>
      <c r="F28" s="21"/>
      <c r="G28" s="122"/>
      <c r="H28" s="122"/>
      <c r="I28" s="122"/>
      <c r="J28" s="89"/>
      <c r="K28" s="89"/>
      <c r="L28" s="89"/>
      <c r="M28" s="89"/>
      <c r="N28" s="89"/>
    </row>
    <row r="29" spans="2:14" x14ac:dyDescent="0.2">
      <c r="B29" s="16" t="s">
        <v>275</v>
      </c>
      <c r="C29" s="111">
        <v>282.99086999999997</v>
      </c>
      <c r="D29" s="111">
        <v>270.19727399999999</v>
      </c>
      <c r="E29" s="111">
        <v>251.89244099999999</v>
      </c>
      <c r="F29" s="111">
        <v>298.17686800000001</v>
      </c>
      <c r="G29" s="34"/>
      <c r="H29" s="34"/>
      <c r="I29" s="34"/>
      <c r="J29" s="89"/>
      <c r="K29" s="89"/>
      <c r="L29" s="89"/>
      <c r="M29" s="89"/>
      <c r="N29" s="89"/>
    </row>
    <row r="30" spans="2:14" x14ac:dyDescent="0.2">
      <c r="B30" s="17" t="s">
        <v>276</v>
      </c>
      <c r="C30" s="112">
        <v>769.65658699999994</v>
      </c>
      <c r="D30" s="112">
        <v>1143.3539760000001</v>
      </c>
      <c r="E30" s="112">
        <v>1443.463784</v>
      </c>
      <c r="F30" s="112">
        <v>802.52734499999997</v>
      </c>
      <c r="G30" s="124"/>
      <c r="H30" s="124"/>
      <c r="I30" s="124"/>
      <c r="J30" s="89"/>
      <c r="K30" s="89"/>
      <c r="L30" s="89"/>
      <c r="M30" s="89"/>
      <c r="N30" s="89"/>
    </row>
    <row r="31" spans="2:14" x14ac:dyDescent="0.2">
      <c r="B31" s="15" t="s">
        <v>277</v>
      </c>
      <c r="C31" s="15"/>
      <c r="D31" s="15"/>
      <c r="E31" s="15"/>
      <c r="F31" s="15"/>
      <c r="G31" s="89"/>
      <c r="H31" s="89"/>
      <c r="I31" s="89"/>
      <c r="J31" s="89"/>
      <c r="K31" s="89"/>
      <c r="L31" s="89"/>
      <c r="M31" s="89"/>
      <c r="N31" s="89"/>
    </row>
    <row r="32" spans="2:14" x14ac:dyDescent="0.2">
      <c r="B32" s="17" t="s">
        <v>278</v>
      </c>
      <c r="C32" s="113">
        <v>0.21357999999999999</v>
      </c>
      <c r="D32" s="113">
        <v>0.220057</v>
      </c>
      <c r="E32" s="113">
        <v>0.19503100000000001</v>
      </c>
      <c r="F32" s="113">
        <v>0.20662800000000001</v>
      </c>
      <c r="G32" s="116"/>
      <c r="H32" s="116"/>
      <c r="I32" s="116"/>
      <c r="J32" s="89"/>
      <c r="K32" s="89"/>
      <c r="L32" s="89"/>
      <c r="M32" s="89"/>
      <c r="N32" s="89"/>
    </row>
    <row r="33" spans="2:17" x14ac:dyDescent="0.2">
      <c r="B33" s="16" t="s">
        <v>279</v>
      </c>
      <c r="C33" s="23" t="s">
        <v>280</v>
      </c>
      <c r="D33" s="23" t="s">
        <v>280</v>
      </c>
      <c r="E33" s="23" t="s">
        <v>280</v>
      </c>
      <c r="F33" s="23" t="s">
        <v>280</v>
      </c>
      <c r="G33" s="116"/>
      <c r="H33" s="116"/>
      <c r="I33" s="116"/>
      <c r="J33" s="89"/>
      <c r="K33" s="89"/>
      <c r="L33" s="89"/>
      <c r="M33" s="89"/>
      <c r="N33" s="89"/>
    </row>
    <row r="34" spans="2:17" x14ac:dyDescent="0.2">
      <c r="B34" s="21" t="s">
        <v>281</v>
      </c>
      <c r="C34" s="21"/>
      <c r="D34" s="21"/>
      <c r="E34" s="21"/>
      <c r="F34" s="21"/>
      <c r="G34" s="117"/>
      <c r="H34" s="117"/>
      <c r="I34" s="117"/>
      <c r="J34" s="89"/>
      <c r="K34" s="89"/>
      <c r="L34" s="89"/>
      <c r="M34" s="89"/>
      <c r="N34" s="89"/>
    </row>
    <row r="35" spans="2:17" x14ac:dyDescent="0.2">
      <c r="B35" s="16" t="s">
        <v>282</v>
      </c>
      <c r="C35" s="111">
        <v>37.041331</v>
      </c>
      <c r="D35" s="111">
        <v>236.901794</v>
      </c>
      <c r="E35" s="111">
        <v>527.13086899999996</v>
      </c>
      <c r="F35" s="111">
        <v>308.42300399999999</v>
      </c>
      <c r="G35" s="117"/>
      <c r="H35" s="117"/>
      <c r="I35" s="117"/>
      <c r="J35" s="89"/>
      <c r="K35" s="89"/>
      <c r="L35" s="89"/>
      <c r="M35" s="89"/>
      <c r="N35" s="89"/>
    </row>
    <row r="36" spans="2:17" x14ac:dyDescent="0.2">
      <c r="B36" s="17" t="s">
        <v>283</v>
      </c>
      <c r="C36" s="112">
        <v>278.52477599999997</v>
      </c>
      <c r="D36" s="112">
        <v>281.015918</v>
      </c>
      <c r="E36" s="112">
        <v>229.461061</v>
      </c>
      <c r="F36" s="112">
        <v>166.02883600000001</v>
      </c>
      <c r="G36" s="117"/>
      <c r="H36" s="117"/>
      <c r="I36" s="117"/>
      <c r="J36" s="89"/>
      <c r="K36" s="89"/>
      <c r="L36" s="89"/>
      <c r="M36" s="89"/>
      <c r="N36" s="89"/>
    </row>
    <row r="37" spans="2:17" x14ac:dyDescent="0.2">
      <c r="B37" s="114" t="s">
        <v>284</v>
      </c>
      <c r="C37" s="13"/>
      <c r="D37" s="13"/>
      <c r="E37" s="13"/>
      <c r="F37" s="13"/>
      <c r="G37" s="117"/>
      <c r="H37" s="117"/>
      <c r="I37" s="117"/>
      <c r="J37" s="89"/>
      <c r="K37" s="89"/>
      <c r="L37" s="89"/>
      <c r="M37" s="89"/>
      <c r="N37" s="89"/>
    </row>
    <row r="38" spans="2:17" x14ac:dyDescent="0.2">
      <c r="B38" s="34"/>
      <c r="C38" s="34"/>
      <c r="D38" s="34"/>
      <c r="E38" s="34"/>
      <c r="F38" s="34"/>
      <c r="G38" s="34"/>
      <c r="H38" s="34"/>
      <c r="I38" s="34"/>
      <c r="J38" s="89"/>
      <c r="K38" s="89"/>
      <c r="L38" s="89"/>
      <c r="M38" s="89"/>
      <c r="N38" s="89"/>
    </row>
    <row r="39" spans="2:17" x14ac:dyDescent="0.2">
      <c r="B39" s="35"/>
      <c r="C39" s="122"/>
      <c r="D39" s="122"/>
      <c r="E39" s="122"/>
      <c r="F39" s="122"/>
      <c r="G39" s="122"/>
      <c r="H39" s="122"/>
      <c r="I39" s="122"/>
      <c r="J39" s="125"/>
      <c r="K39" s="89"/>
      <c r="L39" s="89"/>
      <c r="M39" s="89"/>
      <c r="N39" s="89"/>
      <c r="Q39" s="26"/>
    </row>
    <row r="40" spans="2:17" x14ac:dyDescent="0.2">
      <c r="B40" s="24" t="s">
        <v>251</v>
      </c>
      <c r="C40" s="13"/>
      <c r="D40" s="13"/>
      <c r="E40" s="13"/>
      <c r="F40" s="13"/>
      <c r="G40" s="122"/>
      <c r="H40" s="122"/>
      <c r="I40" s="122"/>
      <c r="J40" s="126"/>
      <c r="K40" s="89"/>
      <c r="L40" s="89"/>
      <c r="M40" s="89"/>
      <c r="N40" s="89"/>
    </row>
    <row r="41" spans="2:17" x14ac:dyDescent="0.2">
      <c r="B41" s="25" t="s">
        <v>252</v>
      </c>
      <c r="C41" s="13"/>
      <c r="D41" s="13"/>
      <c r="E41" s="13"/>
      <c r="F41" s="13"/>
      <c r="G41" s="122"/>
      <c r="H41" s="122"/>
      <c r="I41" s="122"/>
      <c r="J41" s="126"/>
      <c r="K41" s="89"/>
      <c r="L41" s="89"/>
      <c r="M41" s="89"/>
      <c r="N41" s="89"/>
    </row>
    <row r="42" spans="2:17" x14ac:dyDescent="0.2">
      <c r="B42" s="115"/>
      <c r="C42" s="115"/>
      <c r="D42" s="115"/>
      <c r="E42" s="115"/>
      <c r="F42" s="115"/>
      <c r="G42" s="122"/>
      <c r="H42" s="122"/>
      <c r="I42" s="122"/>
      <c r="J42" s="126"/>
      <c r="K42" s="126"/>
      <c r="L42" s="89"/>
      <c r="M42" s="89"/>
      <c r="N42" s="89"/>
    </row>
    <row r="43" spans="2:17" x14ac:dyDescent="0.2">
      <c r="B43" s="35"/>
      <c r="C43" s="122"/>
      <c r="D43" s="122"/>
      <c r="E43" s="122"/>
      <c r="F43" s="122"/>
      <c r="G43" s="122"/>
      <c r="H43" s="122"/>
      <c r="I43" s="122"/>
      <c r="J43" s="89"/>
      <c r="K43" s="89"/>
      <c r="L43" s="89"/>
      <c r="M43" s="89"/>
      <c r="N43" s="89"/>
    </row>
    <row r="44" spans="2:17" x14ac:dyDescent="0.2">
      <c r="B44" s="14" t="s">
        <v>253</v>
      </c>
      <c r="C44" s="14"/>
      <c r="D44" s="14"/>
      <c r="E44" s="14"/>
      <c r="F44" s="14"/>
      <c r="G44" s="34"/>
      <c r="H44" s="34"/>
      <c r="I44" s="34"/>
      <c r="J44" s="89"/>
      <c r="K44" s="89"/>
      <c r="L44" s="89"/>
      <c r="M44" s="89"/>
      <c r="N44" s="89"/>
    </row>
    <row r="45" spans="2:17" x14ac:dyDescent="0.2">
      <c r="B45" s="14" t="s">
        <v>254</v>
      </c>
      <c r="C45" s="14"/>
      <c r="D45" s="14"/>
      <c r="E45" s="14"/>
      <c r="F45" s="14"/>
      <c r="G45" s="122"/>
      <c r="H45" s="122"/>
      <c r="I45" s="122"/>
      <c r="J45" s="89"/>
      <c r="K45" s="89"/>
      <c r="L45" s="89"/>
      <c r="M45" s="89"/>
      <c r="N45" s="89"/>
    </row>
    <row r="46" spans="2:17" x14ac:dyDescent="0.2">
      <c r="B46" s="14" t="s">
        <v>255</v>
      </c>
      <c r="C46" s="14"/>
      <c r="D46" s="14"/>
      <c r="E46" s="14"/>
      <c r="F46" s="14"/>
      <c r="G46" s="122"/>
      <c r="H46" s="122"/>
      <c r="I46" s="122"/>
      <c r="J46" s="89"/>
      <c r="K46" s="89"/>
      <c r="L46" s="89"/>
      <c r="M46" s="89"/>
      <c r="N46" s="89"/>
    </row>
    <row r="47" spans="2:17" x14ac:dyDescent="0.2">
      <c r="B47" s="14"/>
      <c r="C47" s="14" t="s">
        <v>256</v>
      </c>
      <c r="D47" s="14" t="s">
        <v>257</v>
      </c>
      <c r="E47" s="14" t="s">
        <v>258</v>
      </c>
      <c r="F47" s="14" t="s">
        <v>259</v>
      </c>
      <c r="G47" s="122"/>
      <c r="H47" s="122"/>
      <c r="I47" s="122"/>
      <c r="J47" s="89"/>
      <c r="K47" s="89"/>
      <c r="L47" s="89"/>
      <c r="M47" s="89"/>
      <c r="N47" s="89"/>
    </row>
    <row r="48" spans="2:17" x14ac:dyDescent="0.2">
      <c r="B48" s="15" t="s">
        <v>285</v>
      </c>
      <c r="C48" s="15"/>
      <c r="D48" s="15"/>
      <c r="E48" s="15"/>
      <c r="F48" s="15"/>
      <c r="G48" s="123"/>
      <c r="H48" s="123"/>
      <c r="I48" s="123"/>
      <c r="J48" s="89"/>
      <c r="K48" s="89"/>
      <c r="L48" s="89"/>
      <c r="M48" s="89"/>
      <c r="N48" s="89"/>
    </row>
    <row r="49" spans="2:14" x14ac:dyDescent="0.2">
      <c r="B49" s="237" t="s">
        <v>264</v>
      </c>
      <c r="C49" s="238">
        <v>13546.612478999999</v>
      </c>
      <c r="D49" s="238">
        <v>14753.717358</v>
      </c>
      <c r="E49" s="238">
        <v>15340.247944000001</v>
      </c>
      <c r="F49" s="238">
        <v>15943.06495</v>
      </c>
      <c r="G49" s="122"/>
      <c r="H49" s="122"/>
      <c r="I49" s="122"/>
      <c r="J49" s="89"/>
      <c r="K49" s="89"/>
      <c r="L49" s="89"/>
      <c r="M49" s="89"/>
      <c r="N49" s="89"/>
    </row>
    <row r="50" spans="2:14" x14ac:dyDescent="0.2">
      <c r="B50" s="239" t="s">
        <v>286</v>
      </c>
      <c r="C50" s="19">
        <v>9353.4901989999998</v>
      </c>
      <c r="D50" s="19">
        <v>9702.3851400000003</v>
      </c>
      <c r="E50" s="19">
        <v>9137.1860159999997</v>
      </c>
      <c r="F50" s="19">
        <v>11144.608700000001</v>
      </c>
      <c r="G50" s="122"/>
      <c r="H50" s="122"/>
      <c r="I50" s="122"/>
      <c r="J50" s="89"/>
      <c r="K50" s="89"/>
      <c r="L50" s="89"/>
      <c r="M50" s="89"/>
      <c r="N50" s="89"/>
    </row>
    <row r="51" spans="2:14" x14ac:dyDescent="0.2">
      <c r="B51" s="240" t="s">
        <v>287</v>
      </c>
      <c r="C51" s="18">
        <v>4193.1222799999996</v>
      </c>
      <c r="D51" s="18">
        <v>5051.3322179999996</v>
      </c>
      <c r="E51" s="18">
        <v>6203.0619280000001</v>
      </c>
      <c r="F51" s="18">
        <v>4798.4562500000002</v>
      </c>
      <c r="G51" s="34"/>
      <c r="H51" s="34"/>
      <c r="I51" s="34"/>
      <c r="J51" s="89"/>
      <c r="K51" s="89"/>
      <c r="L51" s="89"/>
      <c r="M51" s="89"/>
      <c r="N51" s="89"/>
    </row>
    <row r="52" spans="2:14" x14ac:dyDescent="0.2">
      <c r="B52" s="241" t="s">
        <v>288</v>
      </c>
      <c r="C52" s="242">
        <v>3623.1885929999999</v>
      </c>
      <c r="D52" s="242">
        <v>3357.1971530000001</v>
      </c>
      <c r="E52" s="242">
        <v>3991.2146120000002</v>
      </c>
      <c r="F52" s="242">
        <v>3972.9853539999999</v>
      </c>
      <c r="G52" s="122"/>
      <c r="H52" s="122"/>
      <c r="I52" s="122"/>
      <c r="J52" s="89"/>
      <c r="K52" s="89"/>
      <c r="L52" s="89"/>
      <c r="M52" s="89"/>
      <c r="N52" s="89"/>
    </row>
    <row r="53" spans="2:14" x14ac:dyDescent="0.2">
      <c r="B53" s="243" t="s">
        <v>289</v>
      </c>
      <c r="C53" s="238">
        <v>1674.4986590000001</v>
      </c>
      <c r="D53" s="238">
        <v>1503.8469419999999</v>
      </c>
      <c r="E53" s="238">
        <v>1769.4297710000001</v>
      </c>
      <c r="F53" s="238">
        <v>1921.7446399999999</v>
      </c>
      <c r="G53" s="123"/>
      <c r="H53" s="123"/>
      <c r="I53" s="123"/>
      <c r="J53" s="126"/>
      <c r="K53" s="89"/>
      <c r="L53" s="89"/>
      <c r="M53" s="89"/>
      <c r="N53" s="89"/>
    </row>
    <row r="54" spans="2:14" x14ac:dyDescent="0.2">
      <c r="B54" s="244" t="s">
        <v>290</v>
      </c>
      <c r="C54" s="19">
        <v>1765.4274949999999</v>
      </c>
      <c r="D54" s="19">
        <v>1584.762191</v>
      </c>
      <c r="E54" s="19">
        <v>1846.842185</v>
      </c>
      <c r="F54" s="19">
        <v>1933.725383</v>
      </c>
      <c r="G54" s="123"/>
      <c r="H54" s="123"/>
      <c r="I54" s="123"/>
      <c r="J54" s="89"/>
      <c r="K54" s="89"/>
      <c r="L54" s="89"/>
      <c r="M54" s="89"/>
      <c r="N54" s="89"/>
    </row>
    <row r="55" spans="2:14" x14ac:dyDescent="0.2">
      <c r="B55" s="245" t="s">
        <v>291</v>
      </c>
      <c r="C55" s="22">
        <v>-90.928836000000004</v>
      </c>
      <c r="D55" s="22">
        <v>-80.915249000000003</v>
      </c>
      <c r="E55" s="22">
        <v>-77.412413999999998</v>
      </c>
      <c r="F55" s="22">
        <v>-11.980743</v>
      </c>
      <c r="G55" s="123"/>
      <c r="H55" s="123"/>
      <c r="I55" s="123"/>
      <c r="J55" s="89"/>
      <c r="K55" s="89"/>
      <c r="L55" s="89"/>
      <c r="M55" s="89"/>
      <c r="N55" s="89"/>
    </row>
    <row r="56" spans="2:14" x14ac:dyDescent="0.2">
      <c r="B56" s="239" t="s">
        <v>292</v>
      </c>
      <c r="C56" s="19">
        <v>1948.689934</v>
      </c>
      <c r="D56" s="19">
        <v>1853.3502120000001</v>
      </c>
      <c r="E56" s="19">
        <v>2221.7848410000001</v>
      </c>
      <c r="F56" s="19">
        <v>2051.2407149999999</v>
      </c>
      <c r="G56" s="122"/>
      <c r="H56" s="122"/>
      <c r="I56" s="122"/>
      <c r="J56" s="89"/>
      <c r="K56" s="89"/>
      <c r="L56" s="89"/>
      <c r="M56" s="89"/>
      <c r="N56" s="89"/>
    </row>
    <row r="57" spans="2:14" x14ac:dyDescent="0.2">
      <c r="B57" s="237" t="s">
        <v>293</v>
      </c>
      <c r="C57" s="238">
        <v>6530.3862499999996</v>
      </c>
      <c r="D57" s="238">
        <v>5962.3009089999996</v>
      </c>
      <c r="E57" s="238">
        <v>7199.5450979999996</v>
      </c>
      <c r="F57" s="238">
        <v>8752.9114389999995</v>
      </c>
      <c r="G57" s="34"/>
      <c r="H57" s="34"/>
      <c r="I57" s="34"/>
      <c r="J57" s="89"/>
      <c r="K57" s="89"/>
      <c r="L57" s="89"/>
      <c r="M57" s="89"/>
      <c r="N57" s="89"/>
    </row>
    <row r="58" spans="2:14" x14ac:dyDescent="0.2">
      <c r="B58" s="239" t="s">
        <v>294</v>
      </c>
      <c r="C58" s="19">
        <v>5256.5301159999999</v>
      </c>
      <c r="D58" s="19">
        <v>4409.2350390000001</v>
      </c>
      <c r="E58" s="19">
        <v>5213.0738149999997</v>
      </c>
      <c r="F58" s="19">
        <v>6656.1415699999998</v>
      </c>
      <c r="G58" s="122"/>
      <c r="H58" s="122"/>
      <c r="I58" s="122"/>
      <c r="J58" s="89"/>
      <c r="K58" s="89"/>
      <c r="L58" s="89"/>
      <c r="M58" s="89"/>
      <c r="N58" s="89"/>
    </row>
    <row r="59" spans="2:14" x14ac:dyDescent="0.2">
      <c r="B59" s="240" t="s">
        <v>295</v>
      </c>
      <c r="C59" s="18">
        <v>478.78299700000002</v>
      </c>
      <c r="D59" s="18">
        <v>579.09906999999998</v>
      </c>
      <c r="E59" s="18">
        <v>645.01540499999999</v>
      </c>
      <c r="F59" s="18">
        <v>566.01597700000002</v>
      </c>
      <c r="G59" s="34"/>
      <c r="H59" s="34"/>
      <c r="I59" s="34"/>
      <c r="J59" s="89"/>
      <c r="K59" s="89"/>
      <c r="L59" s="89"/>
      <c r="M59" s="89"/>
      <c r="N59" s="89"/>
    </row>
    <row r="60" spans="2:14" x14ac:dyDescent="0.2">
      <c r="B60" s="239" t="s">
        <v>296</v>
      </c>
      <c r="C60" s="19">
        <v>795.07313799999997</v>
      </c>
      <c r="D60" s="19">
        <v>973.96680000000003</v>
      </c>
      <c r="E60" s="19">
        <v>1341.4558790000001</v>
      </c>
      <c r="F60" s="19">
        <v>1530.753892</v>
      </c>
      <c r="G60" s="124"/>
      <c r="H60" s="124"/>
      <c r="I60" s="124"/>
      <c r="J60" s="89"/>
      <c r="K60" s="89"/>
      <c r="L60" s="89"/>
      <c r="M60" s="89"/>
      <c r="N60" s="89"/>
    </row>
    <row r="61" spans="2:14" x14ac:dyDescent="0.2">
      <c r="B61" s="237" t="s">
        <v>297</v>
      </c>
      <c r="C61" s="238">
        <v>320.231041</v>
      </c>
      <c r="D61" s="238">
        <v>495.01494600000001</v>
      </c>
      <c r="E61" s="238">
        <v>473.45748099999997</v>
      </c>
      <c r="F61" s="238">
        <v>422.03974099999999</v>
      </c>
    </row>
    <row r="62" spans="2:14" x14ac:dyDescent="0.2">
      <c r="B62" s="239" t="s">
        <v>298</v>
      </c>
      <c r="C62" s="19">
        <v>113.325962</v>
      </c>
      <c r="D62" s="19">
        <v>292.825245</v>
      </c>
      <c r="E62" s="19">
        <v>148.57018199999999</v>
      </c>
      <c r="F62" s="19">
        <v>84.216939999999994</v>
      </c>
    </row>
    <row r="63" spans="2:14" x14ac:dyDescent="0.2">
      <c r="B63" s="240" t="s">
        <v>299</v>
      </c>
      <c r="C63" s="18">
        <v>206.905079</v>
      </c>
      <c r="D63" s="18">
        <v>202.18970100000001</v>
      </c>
      <c r="E63" s="18">
        <v>324.88729899999998</v>
      </c>
      <c r="F63" s="18">
        <v>337.82280200000002</v>
      </c>
    </row>
    <row r="64" spans="2:14" x14ac:dyDescent="0.2">
      <c r="B64" s="16" t="s">
        <v>300</v>
      </c>
      <c r="C64" s="19">
        <v>24020.418363000001</v>
      </c>
      <c r="D64" s="19">
        <v>24568.230366</v>
      </c>
      <c r="E64" s="19">
        <v>27004.465134999999</v>
      </c>
      <c r="F64" s="19">
        <v>29091.001485000001</v>
      </c>
    </row>
    <row r="65" spans="2:6" x14ac:dyDescent="0.2">
      <c r="B65" s="237" t="s">
        <v>301</v>
      </c>
      <c r="C65" s="238">
        <v>14341.999526</v>
      </c>
      <c r="D65" s="238">
        <v>13109.427089000001</v>
      </c>
      <c r="E65" s="238">
        <v>12165.585309</v>
      </c>
      <c r="F65" s="238">
        <v>12504.211111000001</v>
      </c>
    </row>
    <row r="66" spans="2:6" x14ac:dyDescent="0.2">
      <c r="B66" s="246" t="s">
        <v>302</v>
      </c>
      <c r="C66" s="242">
        <v>26547.292926999999</v>
      </c>
      <c r="D66" s="242">
        <v>25621.118725</v>
      </c>
      <c r="E66" s="242">
        <v>25164.275382</v>
      </c>
      <c r="F66" s="242">
        <v>26108.284754</v>
      </c>
    </row>
    <row r="67" spans="2:6" x14ac:dyDescent="0.2">
      <c r="B67" s="245" t="s">
        <v>303</v>
      </c>
      <c r="C67" s="18">
        <v>4458.7671140000002</v>
      </c>
      <c r="D67" s="18">
        <v>4216.6672099999996</v>
      </c>
      <c r="E67" s="18">
        <v>4112.3842409999997</v>
      </c>
      <c r="F67" s="18">
        <v>4111.4968799999997</v>
      </c>
    </row>
    <row r="68" spans="2:6" x14ac:dyDescent="0.2">
      <c r="B68" s="244" t="s">
        <v>304</v>
      </c>
      <c r="C68" s="19">
        <v>4547.2334620000001</v>
      </c>
      <c r="D68" s="19">
        <v>4174.6945480000004</v>
      </c>
      <c r="E68" s="19">
        <v>4002.4981229999999</v>
      </c>
      <c r="F68" s="19">
        <v>3939.7125860000001</v>
      </c>
    </row>
    <row r="69" spans="2:6" x14ac:dyDescent="0.2">
      <c r="B69" s="245" t="s">
        <v>305</v>
      </c>
      <c r="C69" s="18">
        <v>8655.7566490000008</v>
      </c>
      <c r="D69" s="18">
        <v>8273.5346250000002</v>
      </c>
      <c r="E69" s="18">
        <v>7985.5949010000004</v>
      </c>
      <c r="F69" s="18">
        <v>7682.0930870000002</v>
      </c>
    </row>
    <row r="70" spans="2:6" x14ac:dyDescent="0.2">
      <c r="B70" s="244" t="s">
        <v>306</v>
      </c>
      <c r="C70" s="19">
        <v>797.81363299999998</v>
      </c>
      <c r="D70" s="19">
        <v>892.29445299999998</v>
      </c>
      <c r="E70" s="19">
        <v>958.68245999999999</v>
      </c>
      <c r="F70" s="19">
        <v>1565.5655999999999</v>
      </c>
    </row>
    <row r="71" spans="2:6" x14ac:dyDescent="0.2">
      <c r="B71" s="245" t="s">
        <v>307</v>
      </c>
      <c r="C71" s="18">
        <v>337.70227199999999</v>
      </c>
      <c r="D71" s="18">
        <v>363.79222900000002</v>
      </c>
      <c r="E71" s="18">
        <v>381.79753899999997</v>
      </c>
      <c r="F71" s="18">
        <v>445.50118900000001</v>
      </c>
    </row>
    <row r="72" spans="2:6" x14ac:dyDescent="0.2">
      <c r="B72" s="244" t="s">
        <v>308</v>
      </c>
      <c r="C72" s="19">
        <v>361.71221300000002</v>
      </c>
      <c r="D72" s="19">
        <v>346.904742</v>
      </c>
      <c r="E72" s="19">
        <v>358.72676100000001</v>
      </c>
      <c r="F72" s="19">
        <v>481.87047200000001</v>
      </c>
    </row>
    <row r="73" spans="2:6" x14ac:dyDescent="0.2">
      <c r="B73" s="245" t="s">
        <v>309</v>
      </c>
      <c r="C73" s="18">
        <v>7388.3075840000001</v>
      </c>
      <c r="D73" s="18">
        <v>7353.2309180000002</v>
      </c>
      <c r="E73" s="18">
        <v>7364.5913579999997</v>
      </c>
      <c r="F73" s="18">
        <v>7882.0449399999998</v>
      </c>
    </row>
    <row r="74" spans="2:6" x14ac:dyDescent="0.2">
      <c r="B74" s="244" t="s">
        <v>310</v>
      </c>
      <c r="C74" s="19">
        <v>236.854446</v>
      </c>
      <c r="D74" s="19">
        <v>224.979186</v>
      </c>
      <c r="E74" s="19">
        <v>207.85843700000001</v>
      </c>
      <c r="F74" s="19">
        <v>230.945718</v>
      </c>
    </row>
    <row r="75" spans="2:6" x14ac:dyDescent="0.2">
      <c r="B75" s="243" t="s">
        <v>311</v>
      </c>
      <c r="C75" s="238">
        <v>12205.293401000001</v>
      </c>
      <c r="D75" s="238">
        <v>12511.691634999999</v>
      </c>
      <c r="E75" s="238">
        <v>12998.690073</v>
      </c>
      <c r="F75" s="238">
        <v>13604.073643</v>
      </c>
    </row>
    <row r="76" spans="2:6" x14ac:dyDescent="0.2">
      <c r="B76" s="244" t="s">
        <v>303</v>
      </c>
      <c r="C76" s="19">
        <v>1839.669412</v>
      </c>
      <c r="D76" s="19">
        <v>1834.5413779999999</v>
      </c>
      <c r="E76" s="19">
        <v>1872.8943790000001</v>
      </c>
      <c r="F76" s="19">
        <v>1945.1998759999999</v>
      </c>
    </row>
    <row r="77" spans="2:6" x14ac:dyDescent="0.2">
      <c r="B77" s="245" t="s">
        <v>305</v>
      </c>
      <c r="C77" s="18">
        <v>4951.5821450000003</v>
      </c>
      <c r="D77" s="18">
        <v>5016.7345299999997</v>
      </c>
      <c r="E77" s="18">
        <v>5135.0461379999997</v>
      </c>
      <c r="F77" s="18">
        <v>5111.4859779999997</v>
      </c>
    </row>
    <row r="78" spans="2:6" x14ac:dyDescent="0.2">
      <c r="B78" s="244" t="s">
        <v>307</v>
      </c>
      <c r="C78" s="19">
        <v>100.847826</v>
      </c>
      <c r="D78" s="19">
        <v>138.81304299999999</v>
      </c>
      <c r="E78" s="19">
        <v>173.93910199999999</v>
      </c>
      <c r="F78" s="19">
        <v>214.55547100000001</v>
      </c>
    </row>
    <row r="79" spans="2:6" x14ac:dyDescent="0.2">
      <c r="B79" s="245" t="s">
        <v>308</v>
      </c>
      <c r="C79" s="18">
        <v>150.409639</v>
      </c>
      <c r="D79" s="18">
        <v>150.12156100000001</v>
      </c>
      <c r="E79" s="18">
        <v>156.155789</v>
      </c>
      <c r="F79" s="18">
        <v>178.687781</v>
      </c>
    </row>
    <row r="80" spans="2:6" x14ac:dyDescent="0.2">
      <c r="B80" s="244" t="s">
        <v>309</v>
      </c>
      <c r="C80" s="19">
        <v>5162.7843789999997</v>
      </c>
      <c r="D80" s="19">
        <v>5371.4811229999996</v>
      </c>
      <c r="E80" s="19">
        <v>5660.6546660000004</v>
      </c>
      <c r="F80" s="19">
        <v>6154.1445370000001</v>
      </c>
    </row>
    <row r="81" spans="2:6" x14ac:dyDescent="0.2">
      <c r="B81" s="237" t="s">
        <v>312</v>
      </c>
      <c r="C81" s="238">
        <v>14206.147559999999</v>
      </c>
      <c r="D81" s="238">
        <v>15351.813695000001</v>
      </c>
      <c r="E81" s="238">
        <v>15976.308031</v>
      </c>
      <c r="F81" s="238">
        <v>17385.433876999999</v>
      </c>
    </row>
    <row r="82" spans="2:6" x14ac:dyDescent="0.2">
      <c r="B82" s="239" t="s">
        <v>313</v>
      </c>
      <c r="C82" s="19">
        <v>13452.599781000001</v>
      </c>
      <c r="D82" s="19">
        <v>14304.768448999999</v>
      </c>
      <c r="E82" s="19">
        <v>14907.958511999999</v>
      </c>
      <c r="F82" s="19">
        <v>16121.157964</v>
      </c>
    </row>
    <row r="83" spans="2:6" x14ac:dyDescent="0.2">
      <c r="B83" s="240" t="s">
        <v>314</v>
      </c>
      <c r="C83" s="18">
        <v>570.73088800000005</v>
      </c>
      <c r="D83" s="18">
        <v>849.35859500000004</v>
      </c>
      <c r="E83" s="18">
        <v>891.32303100000001</v>
      </c>
      <c r="F83" s="18">
        <v>792.15076299999998</v>
      </c>
    </row>
    <row r="84" spans="2:6" x14ac:dyDescent="0.2">
      <c r="B84" s="239" t="s">
        <v>315</v>
      </c>
      <c r="C84" s="19">
        <v>182.816891</v>
      </c>
      <c r="D84" s="19">
        <v>197.68665100000001</v>
      </c>
      <c r="E84" s="19">
        <v>177.026488</v>
      </c>
      <c r="F84" s="19">
        <v>472.12515000000002</v>
      </c>
    </row>
    <row r="85" spans="2:6" x14ac:dyDescent="0.2">
      <c r="B85" s="237" t="s">
        <v>316</v>
      </c>
      <c r="C85" s="238">
        <v>2453.807276</v>
      </c>
      <c r="D85" s="238">
        <v>2381.9222559999998</v>
      </c>
      <c r="E85" s="238">
        <v>2298.125685</v>
      </c>
      <c r="F85" s="238">
        <v>2570.1730689999999</v>
      </c>
    </row>
    <row r="86" spans="2:6" x14ac:dyDescent="0.2">
      <c r="B86" s="239" t="s">
        <v>317</v>
      </c>
      <c r="C86" s="19">
        <v>34.277822</v>
      </c>
      <c r="D86" s="19">
        <v>31.335436999999999</v>
      </c>
      <c r="E86" s="19">
        <v>29.48359</v>
      </c>
      <c r="F86" s="19">
        <v>29.152884</v>
      </c>
    </row>
    <row r="87" spans="2:6" x14ac:dyDescent="0.2">
      <c r="B87" s="240" t="s">
        <v>318</v>
      </c>
      <c r="C87" s="18">
        <v>2419.529454</v>
      </c>
      <c r="D87" s="18">
        <v>2350.5868190000001</v>
      </c>
      <c r="E87" s="18">
        <v>2268.6420950000002</v>
      </c>
      <c r="F87" s="18">
        <v>2541.0201849999999</v>
      </c>
    </row>
    <row r="88" spans="2:6" x14ac:dyDescent="0.2">
      <c r="B88" s="16" t="s">
        <v>319</v>
      </c>
      <c r="C88" s="19">
        <v>493.26518299999998</v>
      </c>
      <c r="D88" s="19">
        <v>406.328508</v>
      </c>
      <c r="E88" s="19">
        <v>53.788057000000002</v>
      </c>
      <c r="F88" s="19">
        <v>436.19068399999998</v>
      </c>
    </row>
    <row r="89" spans="2:6" x14ac:dyDescent="0.2">
      <c r="B89" s="237" t="s">
        <v>320</v>
      </c>
      <c r="C89" s="238">
        <v>169.20003</v>
      </c>
      <c r="D89" s="238">
        <v>417.81873000000002</v>
      </c>
      <c r="E89" s="238">
        <v>794.30444999999997</v>
      </c>
      <c r="F89" s="238">
        <v>617.09214999999995</v>
      </c>
    </row>
    <row r="90" spans="2:6" x14ac:dyDescent="0.2">
      <c r="B90" s="239" t="s">
        <v>321</v>
      </c>
      <c r="C90" s="19">
        <v>119.005793</v>
      </c>
      <c r="D90" s="19">
        <v>362.26877999999999</v>
      </c>
      <c r="E90" s="23"/>
      <c r="F90" s="23"/>
    </row>
    <row r="91" spans="2:6" x14ac:dyDescent="0.2">
      <c r="B91" s="240" t="s">
        <v>322</v>
      </c>
      <c r="C91" s="18">
        <v>50.194234000000002</v>
      </c>
      <c r="D91" s="18">
        <v>55.549948999999998</v>
      </c>
      <c r="E91" s="18">
        <v>794.30444899999998</v>
      </c>
      <c r="F91" s="18">
        <v>617.09214599999996</v>
      </c>
    </row>
    <row r="92" spans="2:6" x14ac:dyDescent="0.2">
      <c r="B92" s="16" t="s">
        <v>265</v>
      </c>
      <c r="C92" s="19">
        <v>55684.837935000003</v>
      </c>
      <c r="D92" s="19">
        <v>56235.540643</v>
      </c>
      <c r="E92" s="19">
        <v>58292.576666000001</v>
      </c>
      <c r="F92" s="19">
        <v>62604.102372000001</v>
      </c>
    </row>
    <row r="93" spans="2:6" x14ac:dyDescent="0.2">
      <c r="B93" s="21" t="s">
        <v>323</v>
      </c>
      <c r="C93" s="21"/>
      <c r="D93" s="21"/>
      <c r="E93" s="21"/>
      <c r="F93" s="21"/>
    </row>
    <row r="94" spans="2:6" x14ac:dyDescent="0.2">
      <c r="B94" s="241" t="s">
        <v>324</v>
      </c>
      <c r="C94" s="15"/>
      <c r="D94" s="15"/>
      <c r="E94" s="15"/>
      <c r="F94" s="15"/>
    </row>
    <row r="95" spans="2:6" x14ac:dyDescent="0.2">
      <c r="B95" s="240" t="s">
        <v>325</v>
      </c>
      <c r="C95" s="18">
        <v>4893.2428319999999</v>
      </c>
      <c r="D95" s="18">
        <v>3757.6732950000001</v>
      </c>
      <c r="E95" s="18">
        <v>2755.838604</v>
      </c>
      <c r="F95" s="18">
        <v>902.50792999999999</v>
      </c>
    </row>
    <row r="96" spans="2:6" x14ac:dyDescent="0.2">
      <c r="B96" s="239" t="s">
        <v>326</v>
      </c>
      <c r="C96" s="19">
        <v>6722.2724580000004</v>
      </c>
      <c r="D96" s="19">
        <v>6662.713968</v>
      </c>
      <c r="E96" s="19">
        <v>7673.6012350000001</v>
      </c>
      <c r="F96" s="19">
        <v>8051.38184</v>
      </c>
    </row>
    <row r="97" spans="2:6" x14ac:dyDescent="0.2">
      <c r="B97" s="240" t="s">
        <v>327</v>
      </c>
      <c r="C97" s="18">
        <v>276.65560399999998</v>
      </c>
      <c r="D97" s="18">
        <v>653.88182800000004</v>
      </c>
      <c r="E97" s="18">
        <v>583.16803600000003</v>
      </c>
      <c r="F97" s="18">
        <v>1355.4204090000001</v>
      </c>
    </row>
    <row r="98" spans="2:6" x14ac:dyDescent="0.2">
      <c r="B98" s="246" t="s">
        <v>328</v>
      </c>
      <c r="C98" s="242">
        <v>7529.3404399999999</v>
      </c>
      <c r="D98" s="242">
        <v>7064.6471030000002</v>
      </c>
      <c r="E98" s="242">
        <v>9056.8285639999995</v>
      </c>
      <c r="F98" s="242">
        <v>9625.5482620000002</v>
      </c>
    </row>
    <row r="99" spans="2:6" x14ac:dyDescent="0.2">
      <c r="B99" s="245" t="s">
        <v>329</v>
      </c>
      <c r="C99" s="18">
        <v>2.1173000000000001E-2</v>
      </c>
      <c r="D99" s="18">
        <v>1.9348000000000001E-2</v>
      </c>
      <c r="E99" s="18">
        <v>1.8189E-2</v>
      </c>
      <c r="F99" s="18">
        <v>0</v>
      </c>
    </row>
    <row r="100" spans="2:6" x14ac:dyDescent="0.2">
      <c r="B100" s="244" t="s">
        <v>330</v>
      </c>
      <c r="C100" s="19">
        <v>7529.3192669999999</v>
      </c>
      <c r="D100" s="19">
        <v>7064.6277550000004</v>
      </c>
      <c r="E100" s="19">
        <v>9056.8103749999991</v>
      </c>
      <c r="F100" s="19">
        <v>9625.5482620000002</v>
      </c>
    </row>
    <row r="101" spans="2:6" x14ac:dyDescent="0.2">
      <c r="B101" s="240" t="s">
        <v>331</v>
      </c>
      <c r="C101" s="18">
        <v>19421.511332999999</v>
      </c>
      <c r="D101" s="18">
        <v>18138.916194000001</v>
      </c>
      <c r="E101" s="18">
        <v>20069.436440000001</v>
      </c>
      <c r="F101" s="18">
        <v>19934.858441</v>
      </c>
    </row>
    <row r="102" spans="2:6" x14ac:dyDescent="0.2">
      <c r="B102" s="241" t="s">
        <v>332</v>
      </c>
      <c r="C102" s="15"/>
      <c r="D102" s="15"/>
      <c r="E102" s="15"/>
      <c r="F102" s="15"/>
    </row>
    <row r="103" spans="2:6" x14ac:dyDescent="0.2">
      <c r="B103" s="243" t="s">
        <v>333</v>
      </c>
      <c r="C103" s="238">
        <v>4705.6546989999997</v>
      </c>
      <c r="D103" s="238">
        <v>4331.7511249999998</v>
      </c>
      <c r="E103" s="238">
        <v>3369.4202420000001</v>
      </c>
      <c r="F103" s="238">
        <v>2302.423252</v>
      </c>
    </row>
    <row r="104" spans="2:6" x14ac:dyDescent="0.2">
      <c r="B104" s="244" t="s">
        <v>334</v>
      </c>
      <c r="C104" s="19">
        <v>4509.5477419999997</v>
      </c>
      <c r="D104" s="19">
        <v>4145.7473339999997</v>
      </c>
      <c r="E104" s="19">
        <v>3198.4032430000002</v>
      </c>
      <c r="F104" s="19">
        <v>2098.1915629999999</v>
      </c>
    </row>
    <row r="105" spans="2:6" x14ac:dyDescent="0.2">
      <c r="B105" s="245" t="s">
        <v>335</v>
      </c>
      <c r="C105" s="18">
        <v>196.10695699999999</v>
      </c>
      <c r="D105" s="18">
        <v>186.00379100000001</v>
      </c>
      <c r="E105" s="18">
        <v>171.016999</v>
      </c>
      <c r="F105" s="18">
        <v>204.23168899999999</v>
      </c>
    </row>
    <row r="106" spans="2:6" x14ac:dyDescent="0.2">
      <c r="B106" s="239" t="s">
        <v>336</v>
      </c>
      <c r="C106" s="19">
        <v>1297.9977140000001</v>
      </c>
      <c r="D106" s="19">
        <v>1449.785952</v>
      </c>
      <c r="E106" s="19">
        <v>1409.100005</v>
      </c>
      <c r="F106" s="19">
        <v>1527.2186799999999</v>
      </c>
    </row>
    <row r="107" spans="2:6" x14ac:dyDescent="0.2">
      <c r="B107" s="240" t="s">
        <v>337</v>
      </c>
      <c r="C107" s="18">
        <v>1257.049544</v>
      </c>
      <c r="D107" s="18">
        <v>1476.4896329999999</v>
      </c>
      <c r="E107" s="18">
        <v>643.87977899999998</v>
      </c>
      <c r="F107" s="18">
        <v>922.71213799999998</v>
      </c>
    </row>
    <row r="108" spans="2:6" x14ac:dyDescent="0.2">
      <c r="B108" s="246" t="s">
        <v>338</v>
      </c>
      <c r="C108" s="242">
        <v>1485.66778</v>
      </c>
      <c r="D108" s="242">
        <v>1469.46461</v>
      </c>
      <c r="E108" s="242">
        <v>1687.1933200000001</v>
      </c>
      <c r="F108" s="242">
        <v>1766.3863100000001</v>
      </c>
    </row>
    <row r="109" spans="2:6" x14ac:dyDescent="0.2">
      <c r="B109" s="245" t="s">
        <v>339</v>
      </c>
      <c r="C109" s="18">
        <v>909.59490200000005</v>
      </c>
      <c r="D109" s="18">
        <v>778.34786699999995</v>
      </c>
      <c r="E109" s="18">
        <v>928.96083099999998</v>
      </c>
      <c r="F109" s="18">
        <v>855.245722</v>
      </c>
    </row>
    <row r="110" spans="2:6" x14ac:dyDescent="0.2">
      <c r="B110" s="244" t="s">
        <v>340</v>
      </c>
      <c r="C110" s="19">
        <v>576.07287399999996</v>
      </c>
      <c r="D110" s="19">
        <v>691.11673900000005</v>
      </c>
      <c r="E110" s="19">
        <v>758.232484</v>
      </c>
      <c r="F110" s="19">
        <v>911.14058799999998</v>
      </c>
    </row>
    <row r="111" spans="2:6" x14ac:dyDescent="0.2">
      <c r="B111" s="240" t="s">
        <v>266</v>
      </c>
      <c r="C111" s="18">
        <v>28167.881066999998</v>
      </c>
      <c r="D111" s="18">
        <v>26866.407509000001</v>
      </c>
      <c r="E111" s="18">
        <v>27179.029781000001</v>
      </c>
      <c r="F111" s="18">
        <v>26453.598819999999</v>
      </c>
    </row>
    <row r="112" spans="2:6" x14ac:dyDescent="0.2">
      <c r="B112" s="241" t="s">
        <v>341</v>
      </c>
      <c r="C112" s="15"/>
      <c r="D112" s="15"/>
      <c r="E112" s="15"/>
      <c r="F112" s="15"/>
    </row>
    <row r="113" spans="2:6" x14ac:dyDescent="0.2">
      <c r="B113" s="243" t="s">
        <v>145</v>
      </c>
      <c r="C113" s="238">
        <v>27516.956867000001</v>
      </c>
      <c r="D113" s="238">
        <v>29367.343859000001</v>
      </c>
      <c r="E113" s="238">
        <v>31109.479664999999</v>
      </c>
      <c r="F113" s="238">
        <v>36145.960498</v>
      </c>
    </row>
    <row r="114" spans="2:6" x14ac:dyDescent="0.2">
      <c r="B114" s="244" t="s">
        <v>342</v>
      </c>
      <c r="C114" s="19">
        <v>1969.3610180000001</v>
      </c>
      <c r="D114" s="19">
        <v>1799.635804</v>
      </c>
      <c r="E114" s="19">
        <v>1691.8283489999999</v>
      </c>
      <c r="F114" s="19">
        <v>1661.089318</v>
      </c>
    </row>
    <row r="115" spans="2:6" x14ac:dyDescent="0.2">
      <c r="B115" s="245" t="s">
        <v>343</v>
      </c>
      <c r="C115" s="18">
        <v>1469.1207830000001</v>
      </c>
      <c r="D115" s="18">
        <v>1350.945991</v>
      </c>
      <c r="E115" s="18">
        <v>1279.084192</v>
      </c>
      <c r="F115" s="18">
        <v>1272.0847490000001</v>
      </c>
    </row>
    <row r="116" spans="2:6" x14ac:dyDescent="0.2">
      <c r="B116" s="244" t="s">
        <v>344</v>
      </c>
      <c r="C116" s="19">
        <v>6601.7965379999996</v>
      </c>
      <c r="D116" s="19">
        <v>10277.162864</v>
      </c>
      <c r="E116" s="19">
        <v>12404.021048000001</v>
      </c>
      <c r="F116" s="19">
        <v>16859.457498</v>
      </c>
    </row>
    <row r="117" spans="2:6" x14ac:dyDescent="0.2">
      <c r="B117" s="245" t="s">
        <v>345</v>
      </c>
      <c r="C117" s="22">
        <v>-545.81511999999998</v>
      </c>
      <c r="D117" s="22">
        <v>-301.92471999999998</v>
      </c>
      <c r="E117" s="22">
        <v>-259.9391</v>
      </c>
      <c r="F117" s="22">
        <v>-48.535598999999998</v>
      </c>
    </row>
    <row r="118" spans="2:6" x14ac:dyDescent="0.2">
      <c r="B118" s="244" t="s">
        <v>346</v>
      </c>
      <c r="C118" s="20">
        <v>-32.329005000000002</v>
      </c>
      <c r="D118" s="20">
        <v>-8.1043109999999992</v>
      </c>
      <c r="E118" s="20">
        <v>-163.22261399999999</v>
      </c>
      <c r="F118" s="20">
        <v>-113.51890299999999</v>
      </c>
    </row>
    <row r="119" spans="2:6" x14ac:dyDescent="0.2">
      <c r="B119" s="245" t="s">
        <v>347</v>
      </c>
      <c r="C119" s="18">
        <v>216.59116800000001</v>
      </c>
      <c r="D119" s="18">
        <v>435.76362999999998</v>
      </c>
      <c r="E119" s="18">
        <v>475.075512</v>
      </c>
      <c r="F119" s="18">
        <v>624.41026099999999</v>
      </c>
    </row>
    <row r="120" spans="2:6" x14ac:dyDescent="0.2">
      <c r="B120" s="244" t="s">
        <v>348</v>
      </c>
      <c r="C120" s="19">
        <v>18037.245557999999</v>
      </c>
      <c r="D120" s="19">
        <v>16008.374807</v>
      </c>
      <c r="E120" s="19">
        <v>15879.453149999999</v>
      </c>
      <c r="F120" s="19">
        <v>16197.579268</v>
      </c>
    </row>
    <row r="121" spans="2:6" x14ac:dyDescent="0.2">
      <c r="B121" s="245" t="s">
        <v>349</v>
      </c>
      <c r="C121" s="22">
        <v>-199.014073</v>
      </c>
      <c r="D121" s="22">
        <v>-194.51020500000001</v>
      </c>
      <c r="E121" s="22">
        <v>-196.82087300000001</v>
      </c>
      <c r="F121" s="22">
        <v>-306.60609299999999</v>
      </c>
    </row>
    <row r="122" spans="2:6" x14ac:dyDescent="0.2">
      <c r="B122" s="239" t="s">
        <v>267</v>
      </c>
      <c r="C122" s="19">
        <v>27516.956867000001</v>
      </c>
      <c r="D122" s="19">
        <v>29367.343859000001</v>
      </c>
      <c r="E122" s="19">
        <v>31109.479664999999</v>
      </c>
      <c r="F122" s="19">
        <v>36145.960498</v>
      </c>
    </row>
    <row r="123" spans="2:6" x14ac:dyDescent="0.2">
      <c r="B123" s="240" t="s">
        <v>350</v>
      </c>
      <c r="C123" s="18">
        <v>0</v>
      </c>
      <c r="D123" s="18">
        <v>1.789274</v>
      </c>
      <c r="E123" s="18">
        <v>4.0672199999999998</v>
      </c>
      <c r="F123" s="18">
        <v>4.5430539999999997</v>
      </c>
    </row>
    <row r="124" spans="2:6" x14ac:dyDescent="0.2">
      <c r="B124" s="239" t="s">
        <v>233</v>
      </c>
      <c r="C124" s="19">
        <v>27516.956867000001</v>
      </c>
      <c r="D124" s="19">
        <v>29369.133134</v>
      </c>
      <c r="E124" s="19">
        <v>31113.546885</v>
      </c>
      <c r="F124" s="19">
        <v>36150.503552000002</v>
      </c>
    </row>
    <row r="125" spans="2:6" x14ac:dyDescent="0.2">
      <c r="B125" s="17" t="s">
        <v>351</v>
      </c>
      <c r="C125" s="18">
        <v>55684.837935000003</v>
      </c>
      <c r="D125" s="18">
        <v>56235.540643</v>
      </c>
      <c r="E125" s="18">
        <v>58292.576666000001</v>
      </c>
      <c r="F125" s="18">
        <v>62604.102372000001</v>
      </c>
    </row>
    <row r="126" spans="2:6" x14ac:dyDescent="0.2">
      <c r="B126" s="15" t="s">
        <v>352</v>
      </c>
      <c r="C126" s="15"/>
      <c r="D126" s="15"/>
      <c r="E126" s="15"/>
      <c r="F126" s="15"/>
    </row>
    <row r="127" spans="2:6" x14ac:dyDescent="0.2">
      <c r="B127" s="17" t="s">
        <v>353</v>
      </c>
      <c r="C127" s="113">
        <v>68.632599999999996</v>
      </c>
      <c r="D127" s="113">
        <v>73.247870000000006</v>
      </c>
      <c r="E127" s="113">
        <v>77.593220000000002</v>
      </c>
      <c r="F127" s="113">
        <v>91.230029999999999</v>
      </c>
    </row>
    <row r="128" spans="2:6" x14ac:dyDescent="0.2">
      <c r="B128" s="16" t="s">
        <v>354</v>
      </c>
      <c r="C128" s="247">
        <v>62.512335</v>
      </c>
      <c r="D128" s="247">
        <v>67.306894999999997</v>
      </c>
      <c r="E128" s="247">
        <v>71.861238999999998</v>
      </c>
      <c r="F128" s="247">
        <v>84.743082999999999</v>
      </c>
    </row>
    <row r="129" spans="2:6" x14ac:dyDescent="0.2">
      <c r="B129" s="114" t="s">
        <v>355</v>
      </c>
      <c r="C129" s="13"/>
      <c r="D129" s="13"/>
      <c r="E129" s="13"/>
      <c r="F129" s="1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F1D83-FD77-4397-B076-4D50516C7D8C}">
  <sheetPr codeName="Sheet13"/>
  <dimension ref="B1:P34"/>
  <sheetViews>
    <sheetView showGridLines="0" workbookViewId="0">
      <selection activeCell="A2" sqref="A2"/>
    </sheetView>
  </sheetViews>
  <sheetFormatPr baseColWidth="10" defaultColWidth="10.5" defaultRowHeight="15" customHeight="1" x14ac:dyDescent="0.2"/>
  <cols>
    <col min="1" max="1" width="2.5" customWidth="1"/>
    <col min="2" max="2" width="28.5" customWidth="1"/>
  </cols>
  <sheetData>
    <row r="1" spans="2:16" x14ac:dyDescent="0.2">
      <c r="B1" s="49" t="s">
        <v>356</v>
      </c>
      <c r="C1" s="127">
        <v>44166</v>
      </c>
      <c r="D1" s="127">
        <v>44531</v>
      </c>
      <c r="E1" s="127">
        <v>44896</v>
      </c>
      <c r="F1" s="127">
        <v>45261</v>
      </c>
      <c r="H1" s="128"/>
    </row>
    <row r="2" spans="2:16" ht="12" customHeight="1" x14ac:dyDescent="0.2">
      <c r="B2" s="41" t="s">
        <v>73</v>
      </c>
      <c r="C2" s="42">
        <f>'DCF Dataset'!C10</f>
        <v>50147.220187999999</v>
      </c>
      <c r="D2" s="42">
        <f>'DCF Dataset'!D10</f>
        <v>61006.677688000003</v>
      </c>
      <c r="E2" s="42">
        <f>'DCF Dataset'!E10</f>
        <v>66990.885477999997</v>
      </c>
      <c r="F2" s="42">
        <f>'DCF Dataset'!F10</f>
        <v>76382.356184000004</v>
      </c>
    </row>
    <row r="3" spans="2:16" x14ac:dyDescent="0.2">
      <c r="B3" s="41" t="s">
        <v>357</v>
      </c>
      <c r="C3" s="42">
        <f>'DCF Dataset'!C10-'DCF Dataset'!C11</f>
        <v>41716.397743000001</v>
      </c>
      <c r="D3" s="42">
        <f>'DCF Dataset'!D10-'DCF Dataset'!D11</f>
        <v>49683.398309000004</v>
      </c>
      <c r="E3" s="42">
        <f>'DCF Dataset'!E10-'DCF Dataset'!E11</f>
        <v>52961.972987999994</v>
      </c>
      <c r="F3" s="42">
        <f>'DCF Dataset'!F10-'DCF Dataset'!F11</f>
        <v>58964.151303999999</v>
      </c>
    </row>
    <row r="4" spans="2:16" x14ac:dyDescent="0.2">
      <c r="B4" s="41"/>
    </row>
    <row r="5" spans="2:16" x14ac:dyDescent="0.2">
      <c r="B5" s="41" t="s">
        <v>358</v>
      </c>
    </row>
    <row r="6" spans="2:16" x14ac:dyDescent="0.2">
      <c r="B6" t="s">
        <v>359</v>
      </c>
      <c r="C6" s="42">
        <f>'DCF Dataset'!C53</f>
        <v>1674.4986590000001</v>
      </c>
      <c r="D6" s="42">
        <f>'DCF Dataset'!D53</f>
        <v>1503.8469419999999</v>
      </c>
      <c r="E6" s="42">
        <f>'DCF Dataset'!E53</f>
        <v>1769.4297710000001</v>
      </c>
      <c r="F6" s="42">
        <f>'DCF Dataset'!F53</f>
        <v>1921.7446399999999</v>
      </c>
      <c r="J6" s="45"/>
      <c r="K6" s="45"/>
      <c r="L6" s="45"/>
      <c r="M6" s="45"/>
      <c r="N6" s="45"/>
      <c r="O6" s="45"/>
      <c r="P6" s="45"/>
    </row>
    <row r="7" spans="2:16" x14ac:dyDescent="0.2">
      <c r="B7" t="s">
        <v>293</v>
      </c>
      <c r="C7" s="42">
        <f>'DCF Dataset'!C57</f>
        <v>6530.3862499999996</v>
      </c>
      <c r="D7" s="42">
        <f>'DCF Dataset'!D57</f>
        <v>5962.3009089999996</v>
      </c>
      <c r="E7" s="42">
        <f>'DCF Dataset'!E57</f>
        <v>7199.5450979999996</v>
      </c>
      <c r="F7" s="42">
        <f>'DCF Dataset'!F57</f>
        <v>8752.9114389999995</v>
      </c>
    </row>
    <row r="8" spans="2:16" x14ac:dyDescent="0.2">
      <c r="B8" t="s">
        <v>360</v>
      </c>
      <c r="C8" s="42">
        <f>'DCF Dataset'!C61</f>
        <v>320.231041</v>
      </c>
      <c r="D8" s="42">
        <f>'DCF Dataset'!D61</f>
        <v>495.01494600000001</v>
      </c>
      <c r="E8" s="42">
        <f>'DCF Dataset'!E61</f>
        <v>473.45748099999997</v>
      </c>
      <c r="F8" s="42">
        <f>'DCF Dataset'!F61</f>
        <v>422.03974099999999</v>
      </c>
    </row>
    <row r="9" spans="2:16" x14ac:dyDescent="0.2">
      <c r="B9" t="s">
        <v>361</v>
      </c>
      <c r="C9" s="42">
        <f t="shared" ref="C9:F9" si="0">SUM(C6:C8)</f>
        <v>8525.1159499999994</v>
      </c>
      <c r="D9" s="42">
        <f t="shared" si="0"/>
        <v>7961.162797</v>
      </c>
      <c r="E9" s="42">
        <f t="shared" si="0"/>
        <v>9442.4323499999991</v>
      </c>
      <c r="F9" s="42">
        <f t="shared" si="0"/>
        <v>11096.695820000001</v>
      </c>
    </row>
    <row r="10" spans="2:16" x14ac:dyDescent="0.2">
      <c r="C10" s="42"/>
      <c r="D10" s="42"/>
      <c r="E10" s="42"/>
      <c r="F10" s="42"/>
    </row>
    <row r="11" spans="2:16" x14ac:dyDescent="0.2">
      <c r="B11" s="41" t="s">
        <v>362</v>
      </c>
      <c r="C11" s="42"/>
      <c r="D11" s="42"/>
      <c r="E11" s="42"/>
      <c r="F11" s="42"/>
      <c r="J11" s="46"/>
      <c r="K11" s="46"/>
      <c r="L11" s="46"/>
      <c r="M11" s="46"/>
      <c r="N11" s="46"/>
      <c r="O11" s="46"/>
      <c r="P11" s="46"/>
    </row>
    <row r="12" spans="2:16" x14ac:dyDescent="0.2">
      <c r="B12" t="s">
        <v>326</v>
      </c>
      <c r="C12" s="42">
        <f>'DCF Dataset'!C96</f>
        <v>6722.2724580000004</v>
      </c>
      <c r="D12" s="42">
        <f>'DCF Dataset'!D96</f>
        <v>6662.713968</v>
      </c>
      <c r="E12" s="42">
        <f>'DCF Dataset'!E96</f>
        <v>7673.6012350000001</v>
      </c>
      <c r="F12" s="42">
        <f>'DCF Dataset'!F96</f>
        <v>8051.38184</v>
      </c>
      <c r="J12" s="129"/>
      <c r="K12" s="129"/>
      <c r="L12" s="129"/>
      <c r="M12" s="129"/>
      <c r="N12" s="129"/>
      <c r="O12" s="129"/>
      <c r="P12" s="129"/>
    </row>
    <row r="13" spans="2:16" x14ac:dyDescent="0.2">
      <c r="B13" t="s">
        <v>363</v>
      </c>
      <c r="C13" s="42">
        <f>SUM('DCF Dataset'!C95,'DCF Dataset'!C97,'DCF Dataset'!C99)</f>
        <v>5169.9196089999996</v>
      </c>
      <c r="D13" s="42">
        <f>SUM('DCF Dataset'!D95,'DCF Dataset'!D97,'DCF Dataset'!D99)</f>
        <v>4411.5744709999999</v>
      </c>
      <c r="E13" s="42">
        <f>SUM('DCF Dataset'!E95,'DCF Dataset'!E97,'DCF Dataset'!E99)</f>
        <v>3339.024829</v>
      </c>
      <c r="F13" s="42">
        <f>SUM('DCF Dataset'!F95,'DCF Dataset'!F97,'DCF Dataset'!F99)</f>
        <v>2257.9283390000001</v>
      </c>
    </row>
    <row r="14" spans="2:16" x14ac:dyDescent="0.2">
      <c r="B14" t="s">
        <v>328</v>
      </c>
      <c r="C14" s="42">
        <f>'DCF Dataset'!C100</f>
        <v>7529.3192669999999</v>
      </c>
      <c r="D14" s="42">
        <f>'DCF Dataset'!D100</f>
        <v>7064.6277550000004</v>
      </c>
      <c r="E14" s="42">
        <f>'DCF Dataset'!E100</f>
        <v>9056.8103749999991</v>
      </c>
      <c r="F14" s="42">
        <f>'DCF Dataset'!F100</f>
        <v>9625.5482620000002</v>
      </c>
    </row>
    <row r="15" spans="2:16" x14ac:dyDescent="0.2">
      <c r="B15" t="s">
        <v>364</v>
      </c>
      <c r="C15" s="42">
        <f t="shared" ref="C15:F15" si="1">SUM(C12:C14)</f>
        <v>19421.511333999999</v>
      </c>
      <c r="D15" s="42">
        <f t="shared" si="1"/>
        <v>18138.916194000001</v>
      </c>
      <c r="E15" s="42">
        <f t="shared" si="1"/>
        <v>20069.436438999997</v>
      </c>
      <c r="F15" s="42">
        <f t="shared" si="1"/>
        <v>19934.858441</v>
      </c>
    </row>
    <row r="17" spans="2:12" x14ac:dyDescent="0.2">
      <c r="B17" s="41" t="s">
        <v>365</v>
      </c>
      <c r="C17" s="42">
        <f t="shared" ref="C17:E17" si="2">C9-C15</f>
        <v>-10896.395383999999</v>
      </c>
      <c r="D17" s="42">
        <f t="shared" si="2"/>
        <v>-10177.753397</v>
      </c>
      <c r="E17" s="42">
        <f t="shared" si="2"/>
        <v>-10627.004088999998</v>
      </c>
      <c r="F17" s="42">
        <f>F9-F15</f>
        <v>-8838.1626209999995</v>
      </c>
      <c r="G17" s="42"/>
    </row>
    <row r="18" spans="2:12" x14ac:dyDescent="0.2">
      <c r="B18" t="s">
        <v>366</v>
      </c>
      <c r="C18" s="39">
        <f t="shared" ref="C18:F18" si="3">C17/C2</f>
        <v>-0.21728812371154038</v>
      </c>
      <c r="D18" s="39">
        <f t="shared" si="3"/>
        <v>-0.16683015339814122</v>
      </c>
      <c r="E18" s="39">
        <f t="shared" si="3"/>
        <v>-0.15863358146668979</v>
      </c>
      <c r="F18" s="39">
        <f t="shared" si="3"/>
        <v>-0.11570947876639803</v>
      </c>
    </row>
    <row r="20" spans="2:12" x14ac:dyDescent="0.2">
      <c r="B20" s="41" t="s">
        <v>367</v>
      </c>
      <c r="D20" s="42">
        <f t="shared" ref="D20:F20" si="4">C17-D17</f>
        <v>-718.64198699999906</v>
      </c>
      <c r="E20" s="42">
        <f t="shared" si="4"/>
        <v>449.2506919999978</v>
      </c>
      <c r="F20" s="42">
        <f t="shared" si="4"/>
        <v>-1788.8414679999987</v>
      </c>
      <c r="G20" s="42"/>
      <c r="H20" s="64">
        <f>AVERAGE(D20:F20)</f>
        <v>-686.07758766666666</v>
      </c>
      <c r="I20" s="11" t="s">
        <v>368</v>
      </c>
      <c r="J20" s="11"/>
      <c r="K20" s="11"/>
      <c r="L20" s="11"/>
    </row>
    <row r="21" spans="2:12" x14ac:dyDescent="0.2">
      <c r="I21" t="s">
        <v>369</v>
      </c>
    </row>
    <row r="22" spans="2:12" x14ac:dyDescent="0.2">
      <c r="B22" s="41" t="s">
        <v>370</v>
      </c>
    </row>
    <row r="23" spans="2:12" x14ac:dyDescent="0.2">
      <c r="B23" s="48" t="s">
        <v>358</v>
      </c>
    </row>
    <row r="24" spans="2:12" x14ac:dyDescent="0.2">
      <c r="B24" t="s">
        <v>371</v>
      </c>
      <c r="C24">
        <f t="shared" ref="C24:F25" si="5">(C6/C2)*365</f>
        <v>12.187953953253336</v>
      </c>
      <c r="D24">
        <f t="shared" si="5"/>
        <v>8.9974434706509072</v>
      </c>
      <c r="E24">
        <f t="shared" si="5"/>
        <v>9.6407423458687731</v>
      </c>
      <c r="F24">
        <f t="shared" si="5"/>
        <v>9.1832306391581522</v>
      </c>
    </row>
    <row r="25" spans="2:12" x14ac:dyDescent="0.2">
      <c r="B25" t="s">
        <v>372</v>
      </c>
      <c r="C25">
        <f t="shared" si="5"/>
        <v>57.137986744072734</v>
      </c>
      <c r="D25">
        <f t="shared" si="5"/>
        <v>43.802153352114409</v>
      </c>
      <c r="E25">
        <f t="shared" si="5"/>
        <v>49.617372852884635</v>
      </c>
      <c r="F25">
        <f t="shared" si="5"/>
        <v>54.18228880737356</v>
      </c>
    </row>
    <row r="26" spans="2:12" x14ac:dyDescent="0.2">
      <c r="B26" t="s">
        <v>373</v>
      </c>
      <c r="C26" s="39">
        <f t="shared" ref="C26:F26" si="6">C8/C2</f>
        <v>6.385818392314991E-3</v>
      </c>
      <c r="D26" s="39">
        <f t="shared" si="6"/>
        <v>8.1141108606438556E-3</v>
      </c>
      <c r="E26" s="39">
        <f t="shared" si="6"/>
        <v>7.0674910119748278E-3</v>
      </c>
      <c r="F26" s="39">
        <f t="shared" si="6"/>
        <v>5.5253564053894125E-3</v>
      </c>
    </row>
    <row r="28" spans="2:12" x14ac:dyDescent="0.2">
      <c r="B28" s="48" t="s">
        <v>362</v>
      </c>
    </row>
    <row r="29" spans="2:12" x14ac:dyDescent="0.2">
      <c r="B29" t="s">
        <v>374</v>
      </c>
      <c r="C29">
        <f t="shared" ref="C29:F29" si="7">(C12/C3)*365</f>
        <v>58.816906059002143</v>
      </c>
      <c r="D29">
        <f t="shared" si="7"/>
        <v>48.947750779750308</v>
      </c>
      <c r="E29">
        <f t="shared" si="7"/>
        <v>52.884443172266522</v>
      </c>
      <c r="F29">
        <f t="shared" si="7"/>
        <v>49.839678967797525</v>
      </c>
    </row>
    <row r="30" spans="2:12" x14ac:dyDescent="0.2">
      <c r="B30" t="s">
        <v>375</v>
      </c>
      <c r="C30" s="39">
        <f t="shared" ref="C30:F30" si="8">C13/C2</f>
        <v>0.10309483934738894</v>
      </c>
      <c r="D30" s="39">
        <f t="shared" si="8"/>
        <v>7.2312976844299715E-2</v>
      </c>
      <c r="E30" s="39">
        <f t="shared" si="8"/>
        <v>4.9842971997982405E-2</v>
      </c>
      <c r="F30" s="39">
        <f t="shared" si="8"/>
        <v>2.9560862636402591E-2</v>
      </c>
    </row>
    <row r="31" spans="2:12" x14ac:dyDescent="0.2">
      <c r="B31" t="s">
        <v>376</v>
      </c>
      <c r="C31" s="39">
        <f t="shared" ref="C31:F31" si="9">C14/C2</f>
        <v>0.15014429989883529</v>
      </c>
      <c r="D31" s="39">
        <f t="shared" si="9"/>
        <v>0.11580089299617131</v>
      </c>
      <c r="E31" s="39">
        <f t="shared" si="9"/>
        <v>0.13519466581725184</v>
      </c>
      <c r="F31" s="39">
        <f t="shared" si="9"/>
        <v>0.12601795418319769</v>
      </c>
    </row>
    <row r="34" spans="2:2" x14ac:dyDescent="0.2">
      <c r="B34" s="47" t="s">
        <v>377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AB743-6C80-475F-899F-D17862A6737B}">
  <sheetPr codeName="Sheet14"/>
  <dimension ref="A2:U26"/>
  <sheetViews>
    <sheetView showGridLines="0" zoomScale="67" workbookViewId="0">
      <selection activeCell="C30" sqref="C30"/>
    </sheetView>
  </sheetViews>
  <sheetFormatPr baseColWidth="10" defaultColWidth="8.83203125" defaultRowHeight="15" x14ac:dyDescent="0.2"/>
  <cols>
    <col min="1" max="1" width="15.83203125" bestFit="1" customWidth="1"/>
    <col min="2" max="2" width="23.5" bestFit="1" customWidth="1"/>
    <col min="3" max="3" width="8" bestFit="1" customWidth="1"/>
    <col min="4" max="4" width="14.1640625" bestFit="1" customWidth="1"/>
    <col min="5" max="6" width="12.5" bestFit="1" customWidth="1"/>
    <col min="7" max="7" width="9.83203125" bestFit="1" customWidth="1"/>
    <col min="8" max="8" width="10.1640625" bestFit="1" customWidth="1"/>
    <col min="9" max="9" width="9.83203125" bestFit="1" customWidth="1"/>
    <col min="10" max="10" width="13.6640625" bestFit="1" customWidth="1"/>
    <col min="11" max="11" width="10.5" bestFit="1" customWidth="1"/>
    <col min="12" max="12" width="8.83203125" bestFit="1" customWidth="1"/>
    <col min="13" max="14" width="11.6640625" bestFit="1" customWidth="1"/>
    <col min="15" max="15" width="13.5" bestFit="1" customWidth="1"/>
    <col min="16" max="16" width="10.1640625" bestFit="1" customWidth="1"/>
    <col min="17" max="17" width="10.6640625" bestFit="1" customWidth="1"/>
    <col min="18" max="18" width="13.5" bestFit="1" customWidth="1"/>
    <col min="19" max="19" width="10.5" bestFit="1" customWidth="1"/>
    <col min="20" max="20" width="12.5" bestFit="1" customWidth="1"/>
    <col min="21" max="21" width="13.6640625" bestFit="1" customWidth="1"/>
  </cols>
  <sheetData>
    <row r="2" spans="1:21" x14ac:dyDescent="0.2">
      <c r="A2" s="90"/>
      <c r="B2" s="90"/>
      <c r="C2" s="90"/>
      <c r="D2" s="90"/>
      <c r="E2" s="90"/>
      <c r="F2" s="90"/>
      <c r="G2" s="90"/>
      <c r="H2" s="90"/>
      <c r="I2" s="90"/>
      <c r="J2" s="90" t="s">
        <v>378</v>
      </c>
      <c r="K2" s="90"/>
      <c r="L2" s="90"/>
      <c r="M2" s="90" t="s">
        <v>379</v>
      </c>
      <c r="N2" s="90" t="s">
        <v>70</v>
      </c>
      <c r="O2" s="90"/>
      <c r="P2" s="90"/>
      <c r="Q2" s="90"/>
      <c r="R2" s="90"/>
      <c r="S2" s="90"/>
      <c r="T2" s="90"/>
      <c r="U2" s="90"/>
    </row>
    <row r="3" spans="1:21" x14ac:dyDescent="0.2">
      <c r="A3" s="90" t="s">
        <v>380</v>
      </c>
      <c r="B3" s="90"/>
      <c r="C3" s="90"/>
      <c r="D3" s="90" t="s">
        <v>381</v>
      </c>
      <c r="E3" s="90" t="s">
        <v>382</v>
      </c>
      <c r="F3" s="90" t="s">
        <v>383</v>
      </c>
      <c r="G3" s="90"/>
      <c r="H3" s="90"/>
      <c r="I3" s="90"/>
      <c r="J3" s="90" t="s">
        <v>384</v>
      </c>
      <c r="K3" s="90"/>
      <c r="L3" s="90"/>
      <c r="M3" s="90" t="s">
        <v>385</v>
      </c>
      <c r="N3" s="90" t="s">
        <v>386</v>
      </c>
      <c r="O3" s="90" t="s">
        <v>387</v>
      </c>
      <c r="P3" s="90" t="s">
        <v>387</v>
      </c>
      <c r="Q3" s="90" t="s">
        <v>387</v>
      </c>
      <c r="R3" s="90" t="s">
        <v>387</v>
      </c>
      <c r="S3" s="90" t="s">
        <v>78</v>
      </c>
      <c r="T3" s="90" t="s">
        <v>388</v>
      </c>
      <c r="U3" s="90" t="s">
        <v>77</v>
      </c>
    </row>
    <row r="4" spans="1:21" x14ac:dyDescent="0.2">
      <c r="A4" s="90" t="s">
        <v>389</v>
      </c>
      <c r="B4" s="90" t="s">
        <v>67</v>
      </c>
      <c r="C4" s="90" t="s">
        <v>70</v>
      </c>
      <c r="D4" s="90" t="s">
        <v>390</v>
      </c>
      <c r="E4" s="90" t="s">
        <v>391</v>
      </c>
      <c r="F4" s="90" t="s">
        <v>391</v>
      </c>
      <c r="G4" s="90" t="s">
        <v>191</v>
      </c>
      <c r="H4" s="90" t="s">
        <v>74</v>
      </c>
      <c r="I4" s="90" t="s">
        <v>392</v>
      </c>
      <c r="J4" s="90" t="s">
        <v>393</v>
      </c>
      <c r="K4" s="90" t="s">
        <v>79</v>
      </c>
      <c r="L4" s="90" t="s">
        <v>80</v>
      </c>
      <c r="M4" s="90" t="s">
        <v>394</v>
      </c>
      <c r="N4" s="90" t="s">
        <v>394</v>
      </c>
      <c r="O4" s="90" t="s">
        <v>395</v>
      </c>
      <c r="P4" s="90" t="s">
        <v>396</v>
      </c>
      <c r="Q4" s="90" t="s">
        <v>397</v>
      </c>
      <c r="R4" s="90" t="s">
        <v>395</v>
      </c>
      <c r="S4" s="90" t="s">
        <v>398</v>
      </c>
      <c r="T4" s="90" t="s">
        <v>398</v>
      </c>
      <c r="U4" s="90" t="s">
        <v>398</v>
      </c>
    </row>
    <row r="6" spans="1:21" x14ac:dyDescent="0.2">
      <c r="A6" s="52" t="s">
        <v>86</v>
      </c>
      <c r="B6" s="92" t="s">
        <v>5</v>
      </c>
      <c r="C6" s="53">
        <v>69.836494000000002</v>
      </c>
      <c r="D6" s="54">
        <v>389.64946300000003</v>
      </c>
      <c r="E6" s="54">
        <v>27924.709901999999</v>
      </c>
      <c r="F6" s="54">
        <v>14045.240234000001</v>
      </c>
      <c r="G6" s="54">
        <v>8885.4718699999994</v>
      </c>
      <c r="H6" s="54">
        <v>10686.531440000001</v>
      </c>
      <c r="I6" s="53">
        <v>13.34046</v>
      </c>
      <c r="J6" s="53">
        <v>101.99773</v>
      </c>
      <c r="K6" s="55">
        <v>0.68468700000000005</v>
      </c>
      <c r="L6" s="55">
        <v>3.8269510000000002</v>
      </c>
      <c r="M6" s="55">
        <v>5.2349389999999998</v>
      </c>
      <c r="N6" s="55">
        <v>0.35175899999999999</v>
      </c>
      <c r="O6" s="55">
        <v>1.271706</v>
      </c>
      <c r="P6" s="55">
        <v>1.52118</v>
      </c>
      <c r="Q6" s="55">
        <v>0.18054600000000001</v>
      </c>
      <c r="R6" s="60">
        <v>-0.39334799999999998</v>
      </c>
      <c r="S6" s="60">
        <v>-0.47702800000000001</v>
      </c>
      <c r="T6" s="60">
        <v>-5.5087999999999998E-2</v>
      </c>
      <c r="U6" s="60">
        <v>-0.39278999999999997</v>
      </c>
    </row>
    <row r="7" spans="1:21" x14ac:dyDescent="0.2">
      <c r="A7" s="56" t="s">
        <v>87</v>
      </c>
      <c r="B7" s="91" t="s">
        <v>5</v>
      </c>
      <c r="C7" s="57">
        <v>12.791886999999999</v>
      </c>
      <c r="D7" s="58">
        <v>3831.3107279999999</v>
      </c>
      <c r="E7" s="58">
        <v>37926.665462999998</v>
      </c>
      <c r="F7" s="58">
        <v>30577.671875</v>
      </c>
      <c r="G7" s="58">
        <v>24848.36103</v>
      </c>
      <c r="H7" s="58">
        <v>33009.702720000001</v>
      </c>
      <c r="I7" s="57">
        <v>0.90519799999999995</v>
      </c>
      <c r="J7" s="57">
        <v>29.775590000000001</v>
      </c>
      <c r="K7" s="59">
        <v>0.42960999999999999</v>
      </c>
      <c r="L7" s="59">
        <v>2.7099730000000002</v>
      </c>
      <c r="M7" s="59">
        <v>14.131588000000001</v>
      </c>
      <c r="N7" s="59">
        <v>0.20307900000000001</v>
      </c>
      <c r="O7" s="59">
        <v>1.157637</v>
      </c>
      <c r="P7" s="59">
        <v>1.6613739999999999</v>
      </c>
      <c r="Q7" s="59">
        <v>0.16050500000000001</v>
      </c>
      <c r="R7" s="59">
        <v>0.76458300000000001</v>
      </c>
      <c r="S7" s="59">
        <v>1.829048</v>
      </c>
      <c r="T7" s="59">
        <v>0.11751499999999999</v>
      </c>
      <c r="U7" s="59">
        <v>1.0528660000000001</v>
      </c>
    </row>
    <row r="8" spans="1:21" x14ac:dyDescent="0.2">
      <c r="A8" s="52" t="s">
        <v>88</v>
      </c>
      <c r="B8" s="92" t="s">
        <v>5</v>
      </c>
      <c r="C8" s="53">
        <v>4.2502950000000004</v>
      </c>
      <c r="D8" s="54">
        <v>20.037600000000001</v>
      </c>
      <c r="E8" s="54">
        <v>85.165709000000007</v>
      </c>
      <c r="F8" s="61">
        <v>-142.825119</v>
      </c>
      <c r="G8" s="54">
        <v>36.249040000000001</v>
      </c>
      <c r="H8" s="54">
        <v>50.810369999999999</v>
      </c>
      <c r="I8" s="53">
        <v>2.5462880000000001</v>
      </c>
      <c r="J8" s="53">
        <v>17.902750000000001</v>
      </c>
      <c r="K8" s="55">
        <v>0.23741000000000001</v>
      </c>
      <c r="L8" s="55">
        <v>2.8156970000000001</v>
      </c>
      <c r="M8" s="55">
        <v>1.6692119999999999</v>
      </c>
      <c r="N8" s="55">
        <v>0.13508800000000001</v>
      </c>
      <c r="O8" s="60">
        <v>-3.2728809999999999</v>
      </c>
      <c r="P8" s="60">
        <v>-4.8272870000000001</v>
      </c>
      <c r="Q8" s="60">
        <v>-0.226545</v>
      </c>
      <c r="R8" s="60">
        <v>-3.5824009999999999</v>
      </c>
      <c r="S8" s="52" t="s">
        <v>91</v>
      </c>
      <c r="T8" s="52" t="s">
        <v>91</v>
      </c>
      <c r="U8" s="52" t="s">
        <v>91</v>
      </c>
    </row>
    <row r="9" spans="1:21" x14ac:dyDescent="0.2">
      <c r="A9" s="56" t="s">
        <v>89</v>
      </c>
      <c r="B9" s="91" t="s">
        <v>5</v>
      </c>
      <c r="C9" s="57">
        <v>15.82375</v>
      </c>
      <c r="D9" s="58">
        <v>730.81208300000003</v>
      </c>
      <c r="E9" s="58">
        <v>11599.717729</v>
      </c>
      <c r="F9" s="58">
        <v>7614.2734380000002</v>
      </c>
      <c r="G9" s="58">
        <v>3333.6536000000001</v>
      </c>
      <c r="H9" s="58">
        <v>4839.71533</v>
      </c>
      <c r="I9" s="57">
        <v>4.8556400000000002</v>
      </c>
      <c r="J9" s="57">
        <v>24.233989999999999</v>
      </c>
      <c r="K9" s="59">
        <v>0.65295700000000001</v>
      </c>
      <c r="L9" s="59">
        <v>4.4853170000000002</v>
      </c>
      <c r="M9" s="59">
        <v>3.258839</v>
      </c>
      <c r="N9" s="59">
        <v>0.36976399999999998</v>
      </c>
      <c r="O9" s="59">
        <v>1.5440210000000001</v>
      </c>
      <c r="P9" s="59">
        <v>2.2016200000000001</v>
      </c>
      <c r="Q9" s="59">
        <v>0.24077299999999999</v>
      </c>
      <c r="R9" s="59">
        <v>1.5931649999999999</v>
      </c>
      <c r="S9" s="59">
        <v>2.8486850000000001</v>
      </c>
      <c r="T9" s="59">
        <v>0.25128800000000001</v>
      </c>
      <c r="U9" s="59">
        <v>2.207897</v>
      </c>
    </row>
    <row r="10" spans="1:21" x14ac:dyDescent="0.2">
      <c r="A10" s="52" t="s">
        <v>90</v>
      </c>
      <c r="B10" s="92" t="s">
        <v>5</v>
      </c>
      <c r="C10" s="53">
        <v>2.6696909999999998</v>
      </c>
      <c r="D10" s="54">
        <v>3458.5486639999999</v>
      </c>
      <c r="E10" s="54">
        <v>9915.2271290000008</v>
      </c>
      <c r="F10" s="54">
        <v>55944.3125</v>
      </c>
      <c r="G10" s="54">
        <v>3932.9801400000001</v>
      </c>
      <c r="H10" s="54">
        <v>8629.9660800000001</v>
      </c>
      <c r="I10" s="62">
        <v>-2.448283</v>
      </c>
      <c r="J10" s="53">
        <v>11.035410000000001</v>
      </c>
      <c r="K10" s="55">
        <v>0.24192</v>
      </c>
      <c r="L10" s="55">
        <v>10.078108</v>
      </c>
      <c r="M10" s="52" t="s">
        <v>91</v>
      </c>
      <c r="N10" s="55">
        <v>0.11645999999999999</v>
      </c>
      <c r="O10" s="55">
        <v>8.8678899999999992</v>
      </c>
      <c r="P10" s="55">
        <v>31.760767000000001</v>
      </c>
      <c r="Q10" s="55">
        <v>0.66734000000000004</v>
      </c>
      <c r="R10" s="55">
        <v>8.635427</v>
      </c>
      <c r="S10" s="55">
        <v>25.122150999999999</v>
      </c>
      <c r="T10" s="55">
        <v>0.65564199999999995</v>
      </c>
      <c r="U10" s="55">
        <v>10.168979999999999</v>
      </c>
    </row>
    <row r="11" spans="1:21" x14ac:dyDescent="0.2">
      <c r="A11" s="56" t="s">
        <v>92</v>
      </c>
      <c r="B11" s="91" t="s">
        <v>15</v>
      </c>
      <c r="C11" s="57">
        <v>10.8</v>
      </c>
      <c r="D11" s="58">
        <v>3974.2885930000002</v>
      </c>
      <c r="E11" s="58">
        <v>42922.317631999998</v>
      </c>
      <c r="F11" s="58">
        <v>165377.3125</v>
      </c>
      <c r="G11" s="58">
        <v>5378</v>
      </c>
      <c r="H11" s="58">
        <v>11901</v>
      </c>
      <c r="I11" s="57">
        <v>1.5943259999999999</v>
      </c>
      <c r="J11" s="57">
        <v>11.15042</v>
      </c>
      <c r="K11" s="59">
        <v>0.96857300000000002</v>
      </c>
      <c r="L11" s="59">
        <v>12.317518</v>
      </c>
      <c r="M11" s="59">
        <v>6.7740239999999998</v>
      </c>
      <c r="N11" s="59">
        <v>0.23746100000000001</v>
      </c>
      <c r="O11" s="59">
        <v>17.182058000000001</v>
      </c>
      <c r="P11" s="59">
        <v>47.116042999999998</v>
      </c>
      <c r="Q11" s="59">
        <v>0.904972</v>
      </c>
      <c r="R11" s="59">
        <v>16.461452000000001</v>
      </c>
      <c r="S11" s="59">
        <v>16.201969999999999</v>
      </c>
      <c r="T11" s="59">
        <v>0.86816599999999999</v>
      </c>
      <c r="U11" s="59">
        <v>10.509733000000001</v>
      </c>
    </row>
    <row r="12" spans="1:21" x14ac:dyDescent="0.2">
      <c r="A12" s="52" t="s">
        <v>31</v>
      </c>
      <c r="B12" s="92" t="s">
        <v>5</v>
      </c>
      <c r="C12" s="53">
        <v>55.68</v>
      </c>
      <c r="D12" s="54">
        <v>1099.59584</v>
      </c>
      <c r="E12" s="54">
        <v>61225.495882000003</v>
      </c>
      <c r="F12" s="54">
        <v>157587.5</v>
      </c>
      <c r="G12" s="54">
        <v>9298</v>
      </c>
      <c r="H12" s="54">
        <v>21035</v>
      </c>
      <c r="I12" s="62">
        <v>-5.5641030000000002</v>
      </c>
      <c r="J12" s="53">
        <v>64.486360000000005</v>
      </c>
      <c r="K12" s="55">
        <v>0.86343800000000004</v>
      </c>
      <c r="L12" s="55">
        <v>5.9440189999999999</v>
      </c>
      <c r="M12" s="52" t="s">
        <v>91</v>
      </c>
      <c r="N12" s="55">
        <v>0.34465200000000001</v>
      </c>
      <c r="O12" s="55">
        <v>6.4760210000000002</v>
      </c>
      <c r="P12" s="55">
        <v>12.939280999999999</v>
      </c>
      <c r="Q12" s="55">
        <v>0.86246299999999998</v>
      </c>
      <c r="R12" s="55">
        <v>1.7637100000000001</v>
      </c>
      <c r="S12" s="55">
        <v>3.1641309999999998</v>
      </c>
      <c r="T12" s="55">
        <v>0.24024699999999999</v>
      </c>
      <c r="U12" s="55">
        <v>2.3450690000000001</v>
      </c>
    </row>
    <row r="13" spans="1:21" x14ac:dyDescent="0.2">
      <c r="A13" s="56" t="s">
        <v>93</v>
      </c>
      <c r="B13" s="91" t="s">
        <v>5</v>
      </c>
      <c r="C13" s="57">
        <v>87.871955999999997</v>
      </c>
      <c r="D13" s="58">
        <v>501.29526399999997</v>
      </c>
      <c r="E13" s="58">
        <v>43538.284296999998</v>
      </c>
      <c r="F13" s="58">
        <v>272139.9375</v>
      </c>
      <c r="G13" s="58">
        <v>23336.96142</v>
      </c>
      <c r="H13" s="58">
        <v>52268.696080000002</v>
      </c>
      <c r="I13" s="63">
        <v>-16.762333999999999</v>
      </c>
      <c r="J13" s="57">
        <v>363.67365999999998</v>
      </c>
      <c r="K13" s="59">
        <v>0.241623</v>
      </c>
      <c r="L13" s="59">
        <v>3.3160099999999999</v>
      </c>
      <c r="M13" s="56" t="s">
        <v>91</v>
      </c>
      <c r="N13" s="59">
        <v>0.125247</v>
      </c>
      <c r="O13" s="59">
        <v>4.6197489999999997</v>
      </c>
      <c r="P13" s="59">
        <v>9.7514269999999996</v>
      </c>
      <c r="Q13" s="59">
        <v>0.77377899999999999</v>
      </c>
      <c r="R13" s="59">
        <v>3.7124830000000002</v>
      </c>
      <c r="S13" s="59">
        <v>10.340419000000001</v>
      </c>
      <c r="T13" s="59">
        <v>0.64267399999999997</v>
      </c>
      <c r="U13" s="59">
        <v>4.6085960000000004</v>
      </c>
    </row>
    <row r="14" spans="1:21" x14ac:dyDescent="0.2">
      <c r="A14" s="52" t="s">
        <v>17</v>
      </c>
      <c r="B14" s="92" t="s">
        <v>15</v>
      </c>
      <c r="C14" s="53">
        <v>6.5154709999999998</v>
      </c>
      <c r="D14" s="54">
        <v>629.86549600000001</v>
      </c>
      <c r="E14" s="54">
        <v>4116.5001739999998</v>
      </c>
      <c r="F14" s="54">
        <v>2146.533203</v>
      </c>
      <c r="G14" s="54">
        <v>1732.35826</v>
      </c>
      <c r="H14" s="54">
        <v>2516.2185100000002</v>
      </c>
      <c r="I14" s="53">
        <v>2.3026230000000001</v>
      </c>
      <c r="J14" s="53">
        <v>18.990760000000002</v>
      </c>
      <c r="K14" s="55">
        <v>0.343086</v>
      </c>
      <c r="L14" s="55">
        <v>4.576435</v>
      </c>
      <c r="M14" s="55">
        <v>2.8295870000000001</v>
      </c>
      <c r="N14" s="55">
        <v>0.12593299999999999</v>
      </c>
      <c r="O14" s="55">
        <v>0.95023500000000005</v>
      </c>
      <c r="P14" s="55">
        <v>1.441435</v>
      </c>
      <c r="Q14" s="55">
        <v>6.5818000000000002E-2</v>
      </c>
      <c r="R14" s="55">
        <v>0.83610099999999998</v>
      </c>
      <c r="S14" s="55">
        <v>1.261757</v>
      </c>
      <c r="T14" s="55">
        <v>5.6566999999999999E-2</v>
      </c>
      <c r="U14" s="55">
        <v>0.828206</v>
      </c>
    </row>
    <row r="15" spans="1:21" x14ac:dyDescent="0.2">
      <c r="A15" s="56" t="s">
        <v>40</v>
      </c>
      <c r="B15" s="91" t="s">
        <v>5</v>
      </c>
      <c r="C15" s="57">
        <v>9.1567539999999994</v>
      </c>
      <c r="D15" s="58">
        <v>3680.9917730000002</v>
      </c>
      <c r="E15" s="58">
        <v>33705.937984999997</v>
      </c>
      <c r="F15" s="58">
        <v>41307.257812000003</v>
      </c>
      <c r="G15" s="58">
        <v>4064.89788</v>
      </c>
      <c r="H15" s="58">
        <v>7358.72012</v>
      </c>
      <c r="I15" s="56" t="s">
        <v>91</v>
      </c>
      <c r="J15" s="57">
        <v>3.1261700000000001</v>
      </c>
      <c r="K15" s="59">
        <v>2.929065</v>
      </c>
      <c r="L15" s="59">
        <v>8.8334499999999991</v>
      </c>
      <c r="M15" s="56" t="s">
        <v>91</v>
      </c>
      <c r="N15" s="59">
        <v>0.66928399999999999</v>
      </c>
      <c r="O15" s="59">
        <v>5.787865</v>
      </c>
      <c r="P15" s="59">
        <v>10.459967000000001</v>
      </c>
      <c r="Q15" s="59">
        <v>0.78265499999999999</v>
      </c>
      <c r="R15" s="59">
        <v>5.5727520000000004</v>
      </c>
      <c r="S15" s="59">
        <v>8.7867239999999995</v>
      </c>
      <c r="T15" s="59">
        <v>0.699766</v>
      </c>
      <c r="U15" s="59">
        <v>4.9494829999999999</v>
      </c>
    </row>
    <row r="16" spans="1:21" x14ac:dyDescent="0.2">
      <c r="A16" s="52" t="s">
        <v>94</v>
      </c>
      <c r="B16" s="92" t="s">
        <v>5</v>
      </c>
      <c r="C16" s="53">
        <v>17.330310999999998</v>
      </c>
      <c r="D16" s="54">
        <v>13469.570195</v>
      </c>
      <c r="E16" s="54">
        <v>273732.02256100002</v>
      </c>
      <c r="F16" s="54">
        <v>481914</v>
      </c>
      <c r="G16" s="54">
        <v>37018.323770000003</v>
      </c>
      <c r="H16" s="54">
        <v>51451.468379999998</v>
      </c>
      <c r="I16" s="62">
        <v>-0.80774000000000001</v>
      </c>
      <c r="J16" s="53">
        <v>18.27196</v>
      </c>
      <c r="K16" s="55">
        <v>0.948465</v>
      </c>
      <c r="L16" s="55">
        <v>8.2266729999999999</v>
      </c>
      <c r="M16" s="52" t="s">
        <v>91</v>
      </c>
      <c r="N16" s="55">
        <v>0.74675499999999995</v>
      </c>
      <c r="O16" s="55">
        <v>9.7237039999999997</v>
      </c>
      <c r="P16" s="55">
        <v>13.783189999999999</v>
      </c>
      <c r="Q16" s="55">
        <v>1.561984</v>
      </c>
      <c r="R16" s="55">
        <v>8.1756569999999993</v>
      </c>
      <c r="S16" s="55">
        <v>12.661045</v>
      </c>
      <c r="T16" s="55">
        <v>1.301817</v>
      </c>
      <c r="U16" s="55">
        <v>9.3886939999999992</v>
      </c>
    </row>
    <row r="17" spans="1:21" x14ac:dyDescent="0.2">
      <c r="A17" s="56" t="s">
        <v>95</v>
      </c>
      <c r="B17" s="91" t="s">
        <v>5</v>
      </c>
      <c r="C17" s="57">
        <v>8.7186140000000005</v>
      </c>
      <c r="D17" s="58">
        <v>4822.1434760000002</v>
      </c>
      <c r="E17" s="58">
        <v>46034.279218999996</v>
      </c>
      <c r="F17" s="58">
        <v>88985.796875</v>
      </c>
      <c r="G17" s="58">
        <v>9557.0882199999996</v>
      </c>
      <c r="H17" s="58">
        <v>20480.053690000001</v>
      </c>
      <c r="I17" s="57">
        <v>9.5119999999999996E-3</v>
      </c>
      <c r="J17" s="57">
        <v>18.50038</v>
      </c>
      <c r="K17" s="59">
        <v>0.47126699999999999</v>
      </c>
      <c r="L17" s="59">
        <v>6.4187690000000002</v>
      </c>
      <c r="M17" s="59">
        <v>916.59004100000004</v>
      </c>
      <c r="N17" s="59">
        <v>0.28400399999999998</v>
      </c>
      <c r="O17" s="59">
        <v>4.459765</v>
      </c>
      <c r="P17" s="59">
        <v>9.3708279999999995</v>
      </c>
      <c r="Q17" s="59">
        <v>0.61903300000000006</v>
      </c>
      <c r="R17" s="59">
        <v>3.8708019999999999</v>
      </c>
      <c r="S17" s="59">
        <v>7.9150140000000002</v>
      </c>
      <c r="T17" s="59">
        <v>0.55494299999999996</v>
      </c>
      <c r="U17" s="59">
        <v>5.7878819999999997</v>
      </c>
    </row>
    <row r="18" spans="1:21" x14ac:dyDescent="0.2">
      <c r="A18" s="52" t="s">
        <v>399</v>
      </c>
      <c r="B18" s="92" t="s">
        <v>5</v>
      </c>
      <c r="C18" s="53">
        <v>17.145636</v>
      </c>
      <c r="D18" s="54">
        <v>3883.572647</v>
      </c>
      <c r="E18" s="54">
        <v>68966.452241999999</v>
      </c>
      <c r="F18" s="54">
        <v>102378.96875</v>
      </c>
      <c r="G18" s="54">
        <v>4615.6041100000002</v>
      </c>
      <c r="H18" s="54">
        <v>8760.2821199999998</v>
      </c>
      <c r="I18" s="53">
        <v>1.8205420000000001</v>
      </c>
      <c r="J18" s="53">
        <v>16.32067</v>
      </c>
      <c r="K18" s="55">
        <v>1.0505469999999999</v>
      </c>
      <c r="L18" s="55">
        <v>9.446631</v>
      </c>
      <c r="M18" s="55">
        <v>9.4178759999999997</v>
      </c>
      <c r="N18" s="55">
        <v>0.53625</v>
      </c>
      <c r="O18" s="55">
        <v>13.728033999999999</v>
      </c>
      <c r="P18" s="55">
        <v>29.537504999999999</v>
      </c>
      <c r="Q18" s="55">
        <v>0.79517800000000005</v>
      </c>
      <c r="R18" s="55">
        <v>7.9489239999999999</v>
      </c>
      <c r="S18" s="55">
        <v>15.744866999999999</v>
      </c>
      <c r="T18" s="55">
        <v>0.4839</v>
      </c>
      <c r="U18" s="55">
        <v>8.5572219999999994</v>
      </c>
    </row>
    <row r="19" spans="1:21" x14ac:dyDescent="0.2">
      <c r="A19" s="52" t="s">
        <v>97</v>
      </c>
      <c r="B19" s="92" t="s">
        <v>5</v>
      </c>
      <c r="C19" s="53">
        <v>339.64001500000001</v>
      </c>
      <c r="D19" s="54">
        <v>3210.059659</v>
      </c>
      <c r="E19" s="54">
        <v>1090264.7624029999</v>
      </c>
      <c r="F19" s="54">
        <v>1069695.75</v>
      </c>
      <c r="G19" s="54">
        <v>8891</v>
      </c>
      <c r="H19" s="54">
        <v>13558</v>
      </c>
      <c r="I19" s="53">
        <v>1.032313</v>
      </c>
      <c r="J19" s="53">
        <v>21.80574</v>
      </c>
      <c r="K19" s="55">
        <v>15.575715000000001</v>
      </c>
      <c r="L19" s="55">
        <v>93.041858000000005</v>
      </c>
      <c r="M19" s="55">
        <v>329.00860899999998</v>
      </c>
      <c r="N19" s="55">
        <v>12.225642000000001</v>
      </c>
      <c r="O19" s="55">
        <v>80.199115000000006</v>
      </c>
      <c r="P19" s="55">
        <v>129.912048</v>
      </c>
      <c r="Q19" s="55">
        <v>11.010764999999999</v>
      </c>
      <c r="R19" s="55">
        <v>90.156679999999994</v>
      </c>
      <c r="S19" s="55">
        <v>100.523949</v>
      </c>
      <c r="T19" s="55">
        <v>10.447858999999999</v>
      </c>
      <c r="U19" s="55">
        <v>64.010069000000001</v>
      </c>
    </row>
    <row r="20" spans="1:21" x14ac:dyDescent="0.2">
      <c r="A20" s="56" t="s">
        <v>36</v>
      </c>
      <c r="B20" s="91" t="s">
        <v>5</v>
      </c>
      <c r="C20" s="57">
        <v>10.860198</v>
      </c>
      <c r="D20" s="58">
        <v>1959.0874389999999</v>
      </c>
      <c r="E20" s="58">
        <v>21335.797277000001</v>
      </c>
      <c r="F20" s="58">
        <v>24627.099609000001</v>
      </c>
      <c r="G20" s="58">
        <v>3219.6097799999998</v>
      </c>
      <c r="H20" s="58">
        <v>4583.4538599999996</v>
      </c>
      <c r="I20" s="57">
        <v>0.84739100000000001</v>
      </c>
      <c r="J20" s="57">
        <v>10.064399999999999</v>
      </c>
      <c r="K20" s="59">
        <v>1.0790709999999999</v>
      </c>
      <c r="L20" s="59">
        <v>8.8546250000000004</v>
      </c>
      <c r="M20" s="59">
        <v>12.816037</v>
      </c>
      <c r="N20" s="59">
        <v>0.55623900000000004</v>
      </c>
      <c r="O20" s="59">
        <v>4.6734210000000003</v>
      </c>
      <c r="P20" s="59">
        <v>6.5396239999999999</v>
      </c>
      <c r="Q20" s="59">
        <v>0.65375300000000003</v>
      </c>
      <c r="R20" s="59">
        <v>4.5705590000000003</v>
      </c>
      <c r="S20" s="59">
        <v>6.6549569999999996</v>
      </c>
      <c r="T20" s="59">
        <v>0.63563599999999998</v>
      </c>
      <c r="U20" s="59">
        <v>4.7816780000000003</v>
      </c>
    </row>
    <row r="21" spans="1:21" x14ac:dyDescent="0.2">
      <c r="A21" s="52" t="s">
        <v>98</v>
      </c>
      <c r="B21" s="92" t="s">
        <v>5</v>
      </c>
      <c r="C21" s="53">
        <v>42.622101000000001</v>
      </c>
      <c r="D21" s="54">
        <v>289.57907699999998</v>
      </c>
      <c r="E21" s="54">
        <v>12604.306495000001</v>
      </c>
      <c r="F21" s="54">
        <v>66067.476561999996</v>
      </c>
      <c r="G21" s="54">
        <v>4450.9529400000001</v>
      </c>
      <c r="H21" s="54">
        <v>7352.6672200000003</v>
      </c>
      <c r="I21" s="53">
        <v>19.550709000000001</v>
      </c>
      <c r="J21" s="53">
        <v>113.20166</v>
      </c>
      <c r="K21" s="55">
        <v>0.37651499999999999</v>
      </c>
      <c r="L21" s="55">
        <v>7.7215350000000003</v>
      </c>
      <c r="M21" s="55">
        <v>2.1800799999999998</v>
      </c>
      <c r="N21" s="55">
        <v>0.20814299999999999</v>
      </c>
      <c r="O21" s="55">
        <v>8.6535679999999999</v>
      </c>
      <c r="P21" s="55">
        <v>14.370376</v>
      </c>
      <c r="Q21" s="55">
        <v>1.164196</v>
      </c>
      <c r="R21" s="55">
        <v>6.0977220000000001</v>
      </c>
      <c r="S21" s="55">
        <v>11.262438</v>
      </c>
      <c r="T21" s="55">
        <v>0.79603999999999997</v>
      </c>
      <c r="U21" s="55">
        <v>6.3450110000000004</v>
      </c>
    </row>
    <row r="22" spans="1:21" x14ac:dyDescent="0.2">
      <c r="A22" s="56" t="s">
        <v>99</v>
      </c>
      <c r="B22" s="91" t="s">
        <v>5</v>
      </c>
      <c r="C22" s="57">
        <v>71.411736000000005</v>
      </c>
      <c r="D22" s="58">
        <v>629.82503999999994</v>
      </c>
      <c r="E22" s="58">
        <v>45312.080823999997</v>
      </c>
      <c r="F22" s="58">
        <v>147633.78125</v>
      </c>
      <c r="G22" s="58">
        <v>19991.989740000001</v>
      </c>
      <c r="H22" s="58">
        <v>29693.921170000001</v>
      </c>
      <c r="I22" s="63">
        <v>-12.6043</v>
      </c>
      <c r="J22" s="57">
        <v>162.68655999999999</v>
      </c>
      <c r="K22" s="59">
        <v>0.43895299999999998</v>
      </c>
      <c r="L22" s="59">
        <v>5.1122310000000004</v>
      </c>
      <c r="M22" s="56" t="s">
        <v>91</v>
      </c>
      <c r="N22" s="59">
        <v>0.27531</v>
      </c>
      <c r="O22" s="59">
        <v>6.0012429999999997</v>
      </c>
      <c r="P22" s="59">
        <v>9.7570180000000004</v>
      </c>
      <c r="Q22" s="59">
        <v>0.91449899999999995</v>
      </c>
      <c r="R22" s="59">
        <v>4.2198399999999996</v>
      </c>
      <c r="S22" s="59">
        <v>7.7585879999999996</v>
      </c>
      <c r="T22" s="59">
        <v>0.65761099999999995</v>
      </c>
      <c r="U22" s="59">
        <v>4.5754469999999996</v>
      </c>
    </row>
    <row r="23" spans="1:21" x14ac:dyDescent="0.2">
      <c r="A23" s="52" t="s">
        <v>100</v>
      </c>
      <c r="B23" s="92" t="s">
        <v>5</v>
      </c>
      <c r="C23" s="53">
        <v>60.143943999999998</v>
      </c>
      <c r="D23" s="54">
        <v>909.02768500000002</v>
      </c>
      <c r="E23" s="54">
        <v>54672.510549999999</v>
      </c>
      <c r="F23" s="54">
        <v>59151.222655999998</v>
      </c>
      <c r="G23" s="54">
        <v>7595.9182300000002</v>
      </c>
      <c r="H23" s="54">
        <v>11410.094080000001</v>
      </c>
      <c r="I23" s="53">
        <v>1.859016</v>
      </c>
      <c r="J23" s="53">
        <v>27.43262</v>
      </c>
      <c r="K23" s="55">
        <v>2.1924239999999999</v>
      </c>
      <c r="L23" s="55">
        <v>12.647239000000001</v>
      </c>
      <c r="M23" s="55">
        <v>32.35257</v>
      </c>
      <c r="N23" s="55">
        <v>1.294535</v>
      </c>
      <c r="O23" s="55">
        <v>5.7477799999999997</v>
      </c>
      <c r="P23" s="55">
        <v>9.8875569999999993</v>
      </c>
      <c r="Q23" s="55">
        <v>1.4005810000000001</v>
      </c>
      <c r="R23" s="55">
        <v>6.2111770000000002</v>
      </c>
      <c r="S23" s="55">
        <v>9.4974720000000001</v>
      </c>
      <c r="T23" s="55">
        <v>1.4946950000000001</v>
      </c>
      <c r="U23" s="55">
        <v>6.0985240000000003</v>
      </c>
    </row>
    <row r="24" spans="1:21" x14ac:dyDescent="0.2">
      <c r="A24" s="56" t="s">
        <v>101</v>
      </c>
      <c r="B24" s="91" t="s">
        <v>5</v>
      </c>
      <c r="C24" s="57">
        <v>30.159922000000002</v>
      </c>
      <c r="D24" s="58">
        <v>13.909357999999999</v>
      </c>
      <c r="E24" s="58">
        <v>441.032623</v>
      </c>
      <c r="F24" s="58">
        <v>99.181365999999997</v>
      </c>
      <c r="G24" s="58">
        <v>89.254720000000006</v>
      </c>
      <c r="H24" s="58">
        <v>112.37658</v>
      </c>
      <c r="I24" s="57">
        <v>4.8773470000000003</v>
      </c>
      <c r="J24" s="57">
        <v>60.643859999999997</v>
      </c>
      <c r="K24" s="59">
        <v>0.49732900000000002</v>
      </c>
      <c r="L24" s="59">
        <v>7.2567839999999997</v>
      </c>
      <c r="M24" s="59">
        <v>6.1836739999999999</v>
      </c>
      <c r="N24" s="59">
        <v>0.50759799999999999</v>
      </c>
      <c r="O24" s="59">
        <v>1.020974</v>
      </c>
      <c r="P24" s="59">
        <v>1.3145720000000001</v>
      </c>
      <c r="Q24" s="59">
        <v>0.137824</v>
      </c>
      <c r="R24" s="59">
        <v>0.96389999999999998</v>
      </c>
      <c r="S24" s="59">
        <v>1.2075849999999999</v>
      </c>
      <c r="T24" s="59">
        <v>0.125856</v>
      </c>
      <c r="U24" s="59">
        <v>0.92412000000000005</v>
      </c>
    </row>
    <row r="25" spans="1:21" x14ac:dyDescent="0.2">
      <c r="A25" s="52" t="s">
        <v>6</v>
      </c>
      <c r="B25" s="52"/>
      <c r="C25" s="52"/>
      <c r="D25" s="52"/>
      <c r="E25" s="52"/>
      <c r="F25" s="52"/>
      <c r="G25" s="52"/>
      <c r="H25" s="52"/>
      <c r="I25" s="52"/>
      <c r="J25" s="52"/>
      <c r="K25" s="55">
        <v>1.7377180000000001</v>
      </c>
      <c r="L25" s="55">
        <v>12.784357</v>
      </c>
      <c r="M25" s="55">
        <v>97.242739</v>
      </c>
      <c r="N25" s="55">
        <v>1.099834</v>
      </c>
      <c r="O25" s="55">
        <v>9.8617749999999997</v>
      </c>
      <c r="P25" s="55">
        <v>18.165896</v>
      </c>
      <c r="Q25" s="55">
        <v>1.2817970000000001</v>
      </c>
      <c r="R25" s="55">
        <v>9.3188800000000001</v>
      </c>
      <c r="S25" s="55">
        <v>13.765841</v>
      </c>
      <c r="T25" s="55">
        <v>1.1932910000000001</v>
      </c>
      <c r="U25" s="55">
        <v>8.4767700000000001</v>
      </c>
    </row>
    <row r="26" spans="1:21" x14ac:dyDescent="0.2">
      <c r="C26" s="56"/>
      <c r="D26" s="56"/>
      <c r="E26" s="56"/>
      <c r="F26" s="56"/>
      <c r="G26" s="56"/>
      <c r="H26" s="56"/>
      <c r="I26" s="56"/>
      <c r="J26" s="56"/>
      <c r="K26" s="59">
        <v>0.66882200000000003</v>
      </c>
      <c r="L26" s="59">
        <v>7.4891589999999999</v>
      </c>
      <c r="M26" s="59">
        <v>8.0959500000000002</v>
      </c>
      <c r="N26" s="59">
        <v>0.34820600000000002</v>
      </c>
      <c r="O26" s="59">
        <v>5.7678219999999998</v>
      </c>
      <c r="P26" s="59">
        <v>9.8222869999999993</v>
      </c>
      <c r="Q26" s="59">
        <v>0.77821700000000005</v>
      </c>
      <c r="R26" s="59">
        <v>4.3952</v>
      </c>
      <c r="S26" s="59">
        <v>8.7867239999999995</v>
      </c>
      <c r="T26" s="59">
        <v>0.64267399999999997</v>
      </c>
      <c r="U26" s="59">
        <v>4.9494829999999999</v>
      </c>
    </row>
  </sheetData>
  <dataValidations count="1">
    <dataValidation type="list" allowBlank="1" showInputMessage="1" showErrorMessage="1" sqref="B6:B24" xr:uid="{C82C4BFD-426A-4A81-AFE7-F47981328BFB}">
      <formula1>$X$3:$X$4</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AADB740074F67C41A4C35EB618A06C22" ma:contentTypeVersion="8" ma:contentTypeDescription="Create a new document." ma:contentTypeScope="" ma:versionID="a0c0714de9c21d498f4b3e9f114630cb">
  <xsd:schema xmlns:xsd="http://www.w3.org/2001/XMLSchema" xmlns:xs="http://www.w3.org/2001/XMLSchema" xmlns:p="http://schemas.microsoft.com/office/2006/metadata/properties" xmlns:ns3="1fd0f161-8cac-428d-bb0d-db3eea82b135" xmlns:ns4="39c253dd-750e-49f2-b9e0-df4649350370" targetNamespace="http://schemas.microsoft.com/office/2006/metadata/properties" ma:root="true" ma:fieldsID="1ac3211dd1d7b116419b21abf581f383" ns3:_="" ns4:_="">
    <xsd:import namespace="1fd0f161-8cac-428d-bb0d-db3eea82b135"/>
    <xsd:import namespace="39c253dd-750e-49f2-b9e0-df4649350370"/>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d0f161-8cac-428d-bb0d-db3eea82b1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9c253dd-750e-49f2-b9e0-df464935037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1fd0f161-8cac-428d-bb0d-db3eea82b135"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EB617F-ED07-41B7-8F85-1B1D5F1E17A2}">
  <ds:schemaRefs>
    <ds:schemaRef ds:uri="http://schemas.microsoft.com/DataMashup"/>
  </ds:schemaRefs>
</ds:datastoreItem>
</file>

<file path=customXml/itemProps2.xml><?xml version="1.0" encoding="utf-8"?>
<ds:datastoreItem xmlns:ds="http://schemas.openxmlformats.org/officeDocument/2006/customXml" ds:itemID="{5A136535-3C87-4589-B2E7-6C39A14BE0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d0f161-8cac-428d-bb0d-db3eea82b135"/>
    <ds:schemaRef ds:uri="39c253dd-750e-49f2-b9e0-df46493503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4BEB853-E059-4758-B87F-953FED5BC2D8}">
  <ds:schemaRefs>
    <ds:schemaRef ds:uri="http://schemas.microsoft.com/office/2006/metadata/properties"/>
    <ds:schemaRef ds:uri="http://schemas.microsoft.com/office/infopath/2007/PartnerControls"/>
    <ds:schemaRef ds:uri="1fd0f161-8cac-428d-bb0d-db3eea82b135"/>
  </ds:schemaRefs>
</ds:datastoreItem>
</file>

<file path=customXml/itemProps4.xml><?xml version="1.0" encoding="utf-8"?>
<ds:datastoreItem xmlns:ds="http://schemas.openxmlformats.org/officeDocument/2006/customXml" ds:itemID="{FD41D29E-83C5-4194-89FA-68C471B3C033}">
  <ds:schemaRefs>
    <ds:schemaRef ds:uri="http://schemas.microsoft.com/sharepoint/v3/contenttype/forms"/>
  </ds:schemaRefs>
</ds:datastoreItem>
</file>

<file path=docMetadata/LabelInfo.xml><?xml version="1.0" encoding="utf-8"?>
<clbl:labelList xmlns:clbl="http://schemas.microsoft.com/office/2020/mipLabelMetadata">
  <clbl:label id="{78aac226-2f03-4b4d-9037-b46d56c55210}" enabled="0" method="" siteId="{78aac226-2f03-4b4d-9037-b46d56c55210}"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Precedents - Can Delete</vt:lpstr>
      <vt:lpstr>Problem</vt:lpstr>
      <vt:lpstr>Precedents - Buyer Case</vt:lpstr>
      <vt:lpstr>Precedents - Seller Case</vt:lpstr>
      <vt:lpstr>Comps - Buyer Case</vt:lpstr>
      <vt:lpstr>Comps - Seller Case </vt:lpstr>
      <vt:lpstr>DCF Model - Buyer Case</vt:lpstr>
      <vt:lpstr>DCF Model - Seller Case</vt:lpstr>
      <vt:lpstr>Precedents</vt:lpstr>
      <vt:lpstr>Comps Analysis - Buyer Case</vt:lpstr>
      <vt:lpstr>Comps Analysis - Seller Case</vt:lpstr>
      <vt:lpstr>Data Validation Sheet</vt:lpstr>
      <vt:lpstr>Final Share Price Range</vt:lpstr>
      <vt:lpstr>DCF Model</vt:lpstr>
      <vt:lpstr>DCF Dataset</vt:lpstr>
      <vt:lpstr>DCF NWC</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Nayaz Khan</dc:creator>
  <cp:keywords/>
  <dc:description/>
  <cp:lastModifiedBy>Jacob Hanna</cp:lastModifiedBy>
  <cp:revision/>
  <dcterms:created xsi:type="dcterms:W3CDTF">2024-11-19T18:38:34Z</dcterms:created>
  <dcterms:modified xsi:type="dcterms:W3CDTF">2024-11-28T02:07:47Z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0x010100AADB740074F67C41A4C35EB618A06C22</vt:lpwstr>
  </property>
</Properties>
</file>