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Box Sync\UMass Amherst Graduate Studies\NREL TCF Project\Optimization Tools\+Cost_Modeling\"/>
    </mc:Choice>
  </mc:AlternateContent>
  <xr:revisionPtr revIDLastSave="0" documentId="13_ncr:1_{1F49BE2B-148B-4938-AB59-FDE3F24BF321}" xr6:coauthVersionLast="45" xr6:coauthVersionMax="45" xr10:uidLastSave="{00000000-0000-0000-0000-000000000000}"/>
  <bookViews>
    <workbookView xWindow="1245" yWindow="-120" windowWidth="27675" windowHeight="16440" activeTab="1" xr2:uid="{5A2CAE26-13C1-41B1-9CBA-1FF092275F4F}"/>
  </bookViews>
  <sheets>
    <sheet name="MMC" sheetId="2" r:id="rId1"/>
    <sheet name="ACE Estimates v0" sheetId="5" r:id="rId2"/>
    <sheet name="ACE Estimates RM5" sheetId="7" r:id="rId3"/>
    <sheet name="Reference Model Multiplier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7" l="1"/>
  <c r="M10" i="7" s="1"/>
  <c r="G10" i="7"/>
  <c r="H10" i="7"/>
  <c r="I10" i="7"/>
  <c r="E10" i="7"/>
  <c r="F10" i="7"/>
  <c r="D10" i="7"/>
  <c r="G9" i="7"/>
  <c r="F9" i="7"/>
  <c r="E9" i="7"/>
  <c r="D9" i="7"/>
  <c r="C8" i="7"/>
  <c r="D8" i="7"/>
  <c r="E8" i="7"/>
  <c r="F8" i="7"/>
  <c r="G8" i="7"/>
  <c r="H8" i="7"/>
  <c r="I8" i="7"/>
  <c r="B8" i="7"/>
  <c r="M6" i="7"/>
  <c r="L6" i="7"/>
  <c r="K6" i="7"/>
  <c r="D6" i="7"/>
  <c r="E6" i="7"/>
  <c r="F6" i="7"/>
  <c r="G6" i="7"/>
  <c r="H6" i="7"/>
  <c r="I6" i="7"/>
  <c r="C6" i="7"/>
  <c r="B6" i="7"/>
  <c r="F5" i="7"/>
  <c r="E5" i="7"/>
  <c r="D5" i="7"/>
  <c r="F4" i="7"/>
  <c r="E4" i="7"/>
  <c r="D4" i="7"/>
  <c r="F3" i="7"/>
  <c r="E3" i="7"/>
  <c r="D3" i="7"/>
  <c r="B4" i="7"/>
  <c r="B5" i="7"/>
  <c r="B3" i="7"/>
  <c r="O9" i="7"/>
  <c r="K10" i="7" l="1"/>
  <c r="L10" i="7"/>
  <c r="C24" i="5"/>
  <c r="H4" i="7" l="1"/>
  <c r="I5" i="7"/>
  <c r="G4" i="7"/>
  <c r="H5" i="7"/>
  <c r="G5" i="7"/>
  <c r="I4" i="7"/>
  <c r="I3" i="7"/>
  <c r="H3" i="7"/>
  <c r="G3" i="7"/>
  <c r="C27" i="5"/>
  <c r="C16" i="5"/>
  <c r="C17" i="5" s="1"/>
  <c r="D3" i="5" s="1"/>
  <c r="E3" i="5" s="1"/>
  <c r="M3" i="5" s="1"/>
  <c r="P3" i="5" s="1"/>
  <c r="C15" i="5"/>
  <c r="Z8" i="5"/>
  <c r="I9" i="7" l="1"/>
  <c r="H9" i="7"/>
  <c r="B7" i="5"/>
  <c r="B5" i="5"/>
  <c r="C5" i="5" s="1"/>
  <c r="B4" i="5"/>
  <c r="B3" i="5"/>
  <c r="D7" i="5"/>
  <c r="E7" i="5" s="1"/>
  <c r="D4" i="5"/>
  <c r="E4" i="5" s="1"/>
  <c r="M4" i="5" s="1"/>
  <c r="P4" i="5" s="1"/>
  <c r="D5" i="5"/>
  <c r="E5" i="5" s="1"/>
  <c r="N3" i="5"/>
  <c r="Q3" i="5" s="1"/>
  <c r="L3" i="5"/>
  <c r="O3" i="5" s="1"/>
  <c r="F6" i="6"/>
  <c r="E6" i="6"/>
  <c r="F5" i="6"/>
  <c r="E5" i="6"/>
  <c r="B7" i="6"/>
  <c r="D7" i="6"/>
  <c r="C7" i="6"/>
  <c r="C6" i="6"/>
  <c r="D6" i="6"/>
  <c r="B6" i="6"/>
  <c r="C5" i="6"/>
  <c r="D5" i="6"/>
  <c r="B5" i="6"/>
  <c r="F4" i="6"/>
  <c r="E4" i="6"/>
  <c r="F3" i="6"/>
  <c r="F2" i="6"/>
  <c r="E3" i="6"/>
  <c r="E2" i="6"/>
  <c r="N7" i="5" l="1"/>
  <c r="Q7" i="5" s="1"/>
  <c r="L7" i="5"/>
  <c r="O7" i="5" s="1"/>
  <c r="M7" i="5"/>
  <c r="P7" i="5" s="1"/>
  <c r="N4" i="5"/>
  <c r="Q4" i="5" s="1"/>
  <c r="L4" i="5"/>
  <c r="O4" i="5" s="1"/>
  <c r="L5" i="5"/>
  <c r="O5" i="5" s="1"/>
  <c r="M5" i="5"/>
  <c r="P5" i="5" s="1"/>
  <c r="N5" i="5"/>
  <c r="Q5" i="5" s="1"/>
  <c r="C7" i="5"/>
  <c r="C4" i="5" l="1"/>
  <c r="C3" i="5"/>
  <c r="G3" i="5" s="1"/>
  <c r="J3" i="5" s="1"/>
  <c r="S3" i="5" s="1"/>
  <c r="W3" i="5" s="1"/>
  <c r="H3" i="5" l="1"/>
  <c r="K3" i="5" s="1"/>
  <c r="T3" i="5" s="1"/>
  <c r="V3" i="5" s="1"/>
  <c r="H4" i="5"/>
  <c r="K4" i="5" s="1"/>
  <c r="T4" i="5" s="1"/>
  <c r="V4" i="5" s="1"/>
  <c r="G5" i="5"/>
  <c r="J5" i="5" s="1"/>
  <c r="S5" i="5" s="1"/>
  <c r="W5" i="5" s="1"/>
  <c r="F5" i="5"/>
  <c r="I5" i="5" s="1"/>
  <c r="R5" i="5" s="1"/>
  <c r="X5" i="5" s="1"/>
  <c r="H5" i="5"/>
  <c r="K5" i="5" s="1"/>
  <c r="T5" i="5" s="1"/>
  <c r="V5" i="5" s="1"/>
  <c r="H7" i="5"/>
  <c r="H8" i="5" s="1"/>
  <c r="F7" i="5"/>
  <c r="F8" i="5" s="1"/>
  <c r="G7" i="5"/>
  <c r="G8" i="5" s="1"/>
  <c r="F4" i="5"/>
  <c r="I4" i="5" s="1"/>
  <c r="R4" i="5" s="1"/>
  <c r="X4" i="5" s="1"/>
  <c r="G4" i="5"/>
  <c r="J4" i="5" s="1"/>
  <c r="S4" i="5" s="1"/>
  <c r="W4" i="5" s="1"/>
  <c r="F3" i="5"/>
  <c r="I3" i="5" s="1"/>
  <c r="R3" i="5" s="1"/>
  <c r="X3" i="5" s="1"/>
  <c r="K7" i="5" l="1"/>
  <c r="J7" i="5"/>
  <c r="I7" i="5"/>
  <c r="J8" i="5" l="1"/>
  <c r="S9" i="5" s="1"/>
  <c r="W9" i="5" s="1"/>
  <c r="I8" i="5"/>
  <c r="R9" i="5" s="1"/>
  <c r="K8" i="5"/>
  <c r="T9" i="5" s="1"/>
  <c r="X9" i="5" l="1"/>
  <c r="V9" i="5"/>
</calcChain>
</file>

<file path=xl/sharedStrings.xml><?xml version="1.0" encoding="utf-8"?>
<sst xmlns="http://schemas.openxmlformats.org/spreadsheetml/2006/main" count="191" uniqueCount="86">
  <si>
    <t>Density and MMC Reference Table</t>
  </si>
  <si>
    <t>Material</t>
  </si>
  <si>
    <t>Type</t>
  </si>
  <si>
    <t>Density</t>
  </si>
  <si>
    <r>
      <t>[kg/m</t>
    </r>
    <r>
      <rPr>
        <b/>
        <vertAlign val="superscript"/>
        <sz val="11"/>
        <color rgb="FF000000"/>
        <rFont val="Calibri"/>
        <family val="2"/>
        <scheme val="minor"/>
      </rPr>
      <t>3</t>
    </r>
    <r>
      <rPr>
        <b/>
        <sz val="11"/>
        <color rgb="FF000000"/>
        <rFont val="Calibri"/>
        <family val="2"/>
        <scheme val="minor"/>
      </rPr>
      <t>]</t>
    </r>
  </si>
  <si>
    <t>Typical Manufactured</t>
  </si>
  <si>
    <t>Material Cost</t>
  </si>
  <si>
    <t>[USD/Tonne]</t>
  </si>
  <si>
    <t>Low</t>
  </si>
  <si>
    <t>Med</t>
  </si>
  <si>
    <t>High</t>
  </si>
  <si>
    <t>Aluminum</t>
  </si>
  <si>
    <t>Fiberglass</t>
  </si>
  <si>
    <t>Filament Wound FRP</t>
  </si>
  <si>
    <t>High-Density Polyethylene (HDPE)</t>
  </si>
  <si>
    <t>Reinforced Concrete</t>
  </si>
  <si>
    <t>Steel</t>
  </si>
  <si>
    <t>Weight [kg]</t>
  </si>
  <si>
    <t>Weight [Tonne]</t>
  </si>
  <si>
    <t>ACCW</t>
  </si>
  <si>
    <t>Low [$]</t>
  </si>
  <si>
    <t>Med [$]</t>
  </si>
  <si>
    <t>High [$]</t>
  </si>
  <si>
    <t>Low [$M]</t>
  </si>
  <si>
    <t>Med [$M]</t>
  </si>
  <si>
    <t>High [$M]</t>
  </si>
  <si>
    <t>ACE [m/$M]</t>
  </si>
  <si>
    <t>Low [m/$M]</t>
  </si>
  <si>
    <t>Med [m/$M]</t>
  </si>
  <si>
    <t>High [m/$M]</t>
  </si>
  <si>
    <t>-</t>
  </si>
  <si>
    <t>PTO Inclusion</t>
  </si>
  <si>
    <t>RM3</t>
  </si>
  <si>
    <t>RM5</t>
  </si>
  <si>
    <t>Reference Model</t>
  </si>
  <si>
    <t>RM6</t>
  </si>
  <si>
    <t>Device Structural Components [cents/kWh]</t>
  </si>
  <si>
    <t>Mooring/Foundation [cents/kWh]</t>
  </si>
  <si>
    <t>PCC [cents/kWh]</t>
  </si>
  <si>
    <t>Mooring-to-Structure</t>
  </si>
  <si>
    <t>PCC-to-Structure</t>
  </si>
  <si>
    <t>Multiplier</t>
  </si>
  <si>
    <t>Average</t>
  </si>
  <si>
    <t>Std. Dev.</t>
  </si>
  <si>
    <t>Structural Weight VGOSWEC</t>
  </si>
  <si>
    <t>Structural Weight Foundation</t>
  </si>
  <si>
    <t>Cost [$] VGOSWEC</t>
  </si>
  <si>
    <t>Cost [$M] VGOSWEC</t>
  </si>
  <si>
    <t>Cost [$] Foundation</t>
  </si>
  <si>
    <t>Cost [$M] Foundation</t>
  </si>
  <si>
    <t>VGOSWEC Case</t>
  </si>
  <si>
    <t>VGOSWEC</t>
  </si>
  <si>
    <t>System</t>
  </si>
  <si>
    <t>Diameter</t>
  </si>
  <si>
    <t>D</t>
  </si>
  <si>
    <t>m</t>
  </si>
  <si>
    <t>Radius</t>
  </si>
  <si>
    <t>r</t>
  </si>
  <si>
    <t>Length</t>
  </si>
  <si>
    <t>L</t>
  </si>
  <si>
    <t>Water Depth</t>
  </si>
  <si>
    <t xml:space="preserve">h </t>
  </si>
  <si>
    <t xml:space="preserve">OSWEC Depth </t>
  </si>
  <si>
    <t>d</t>
  </si>
  <si>
    <t>Volume</t>
  </si>
  <si>
    <t>V</t>
  </si>
  <si>
    <t>System Cost [$M]</t>
  </si>
  <si>
    <t>VGOSWEC Preliminary Volume Estimates</t>
  </si>
  <si>
    <t>Width</t>
  </si>
  <si>
    <t>w</t>
  </si>
  <si>
    <t>Thickness</t>
  </si>
  <si>
    <t>t</t>
  </si>
  <si>
    <t>Mass Fraction</t>
  </si>
  <si>
    <r>
      <rPr>
        <i/>
        <sz val="11"/>
        <color theme="1"/>
        <rFont val="Calibri"/>
        <family val="2"/>
        <scheme val="minor"/>
      </rPr>
      <t>m</t>
    </r>
    <r>
      <rPr>
        <i/>
        <vertAlign val="subscript"/>
        <sz val="11"/>
        <color theme="1"/>
        <rFont val="Calibri"/>
        <family val="2"/>
        <scheme val="minor"/>
      </rPr>
      <t>f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</si>
  <si>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</si>
  <si>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Sea Water Density</t>
  </si>
  <si>
    <t>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</si>
  <si>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</si>
  <si>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Mass</t>
  </si>
  <si>
    <t>mf</t>
  </si>
  <si>
    <t>kg</t>
  </si>
  <si>
    <t>Foundation Preliminary Volume Estimates (Cylinder 0th Estimate)</t>
  </si>
  <si>
    <t>RM5 Case</t>
  </si>
  <si>
    <t>Flap Fiberglass</t>
  </si>
  <si>
    <t>Flap Steel</t>
  </si>
  <si>
    <t>Frame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</si>
</sst>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_);[Red]\(&quot;$&quot;#,##0.000\)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Border="1" applyAlignment="1"/>
    <xf numFmtId="2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8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40" fontId="0" fillId="0" borderId="16" xfId="0" applyNumberFormat="1" applyBorder="1" applyAlignment="1">
      <alignment horizontal="center"/>
    </xf>
    <xf numFmtId="0" fontId="0" fillId="0" borderId="16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5" borderId="16" xfId="0" applyFill="1" applyBorder="1" applyAlignment="1">
      <alignment horizontal="center"/>
    </xf>
    <xf numFmtId="10" fontId="0" fillId="5" borderId="16" xfId="1" applyNumberFormat="1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10" fontId="0" fillId="6" borderId="16" xfId="1" applyNumberFormat="1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165" fontId="6" fillId="6" borderId="16" xfId="0" applyNumberFormat="1" applyFont="1" applyFill="1" applyBorder="1" applyAlignment="1">
      <alignment horizontal="center"/>
    </xf>
    <xf numFmtId="166" fontId="6" fillId="6" borderId="16" xfId="1" applyNumberFormat="1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165" fontId="6" fillId="5" borderId="16" xfId="0" applyNumberFormat="1" applyFont="1" applyFill="1" applyBorder="1" applyAlignment="1">
      <alignment horizontal="center"/>
    </xf>
    <xf numFmtId="166" fontId="6" fillId="5" borderId="16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8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3" borderId="1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16" xfId="2" applyFont="1" applyBorder="1" applyAlignment="1">
      <alignment horizontal="center"/>
    </xf>
    <xf numFmtId="0" fontId="5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130969</xdr:colOff>
      <xdr:row>10</xdr:row>
      <xdr:rowOff>59531</xdr:rowOff>
    </xdr:from>
    <xdr:to>
      <xdr:col>11</xdr:col>
      <xdr:colOff>916782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A84871-AF1E-43AA-A8F5-F11CD042631E}"/>
            </a:ext>
          </a:extLst>
        </xdr:cNvPr>
        <xdr:cNvSpPr txBox="1"/>
      </xdr:nvSpPr>
      <xdr:spPr>
        <a:xfrm>
          <a:off x="4452938" y="1964531"/>
          <a:ext cx="7048500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154781</xdr:colOff>
      <xdr:row>11</xdr:row>
      <xdr:rowOff>83344</xdr:rowOff>
    </xdr:from>
    <xdr:to>
      <xdr:col>7</xdr:col>
      <xdr:colOff>147638</xdr:colOff>
      <xdr:row>28</xdr:row>
      <xdr:rowOff>23812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FCBFE2-5EBD-4B3D-9218-0A42687907C9}"/>
            </a:ext>
          </a:extLst>
        </xdr:cNvPr>
        <xdr:cNvSpPr txBox="1"/>
      </xdr:nvSpPr>
      <xdr:spPr>
        <a:xfrm>
          <a:off x="154781" y="2178844"/>
          <a:ext cx="7291388" cy="317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Refer to RM5 for initial mass estimates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0</xdr:col>
      <xdr:colOff>238125</xdr:colOff>
      <xdr:row>13</xdr:row>
      <xdr:rowOff>11906</xdr:rowOff>
    </xdr:from>
    <xdr:to>
      <xdr:col>6</xdr:col>
      <xdr:colOff>651604</xdr:colOff>
      <xdr:row>27</xdr:row>
      <xdr:rowOff>21096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922130-5BA2-4B6C-B641-087F1744A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488406"/>
          <a:ext cx="6866667" cy="2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F7BD-38F7-4F17-A09F-3EBA438ADA6C}">
  <dimension ref="A1:E11"/>
  <sheetViews>
    <sheetView workbookViewId="0">
      <selection activeCell="A11" sqref="A11"/>
    </sheetView>
  </sheetViews>
  <sheetFormatPr defaultRowHeight="15" x14ac:dyDescent="0.25"/>
  <cols>
    <col min="1" max="1" width="32" bestFit="1" customWidth="1"/>
    <col min="2" max="2" width="7.7109375" bestFit="1" customWidth="1"/>
    <col min="3" max="4" width="7.28515625" bestFit="1" customWidth="1"/>
    <col min="5" max="5" width="8.28515625" bestFit="1" customWidth="1"/>
  </cols>
  <sheetData>
    <row r="1" spans="1:5" ht="15.75" thickBot="1" x14ac:dyDescent="0.3">
      <c r="A1" s="60" t="s">
        <v>0</v>
      </c>
      <c r="B1" s="61"/>
      <c r="C1" s="61"/>
      <c r="D1" s="61"/>
      <c r="E1" s="62"/>
    </row>
    <row r="2" spans="1:5" ht="15" customHeight="1" x14ac:dyDescent="0.25">
      <c r="A2" s="2" t="s">
        <v>1</v>
      </c>
      <c r="B2" s="5" t="s">
        <v>3</v>
      </c>
      <c r="C2" s="63" t="s">
        <v>5</v>
      </c>
      <c r="D2" s="64"/>
      <c r="E2" s="65"/>
    </row>
    <row r="3" spans="1:5" ht="17.25" x14ac:dyDescent="0.25">
      <c r="A3" s="2" t="s">
        <v>2</v>
      </c>
      <c r="B3" s="5" t="s">
        <v>4</v>
      </c>
      <c r="C3" s="66" t="s">
        <v>6</v>
      </c>
      <c r="D3" s="67"/>
      <c r="E3" s="68"/>
    </row>
    <row r="4" spans="1:5" ht="15.75" thickBot="1" x14ac:dyDescent="0.3">
      <c r="A4" s="3"/>
      <c r="B4" s="6"/>
      <c r="C4" s="69" t="s">
        <v>7</v>
      </c>
      <c r="D4" s="70"/>
      <c r="E4" s="71"/>
    </row>
    <row r="5" spans="1:5" ht="15.75" thickBot="1" x14ac:dyDescent="0.3">
      <c r="A5" s="4"/>
      <c r="B5" s="7"/>
      <c r="C5" s="8" t="s">
        <v>8</v>
      </c>
      <c r="D5" s="8" t="s">
        <v>9</v>
      </c>
      <c r="E5" s="8" t="s">
        <v>10</v>
      </c>
    </row>
    <row r="6" spans="1:5" ht="15.75" thickBot="1" x14ac:dyDescent="0.3">
      <c r="A6" s="9" t="s">
        <v>11</v>
      </c>
      <c r="B6" s="10">
        <v>2660</v>
      </c>
      <c r="C6" s="11">
        <v>4900</v>
      </c>
      <c r="D6" s="11">
        <v>5900</v>
      </c>
      <c r="E6" s="11">
        <v>8000</v>
      </c>
    </row>
    <row r="7" spans="1:5" ht="15.75" thickBot="1" x14ac:dyDescent="0.3">
      <c r="A7" s="9" t="s">
        <v>12</v>
      </c>
      <c r="B7" s="10">
        <v>1550</v>
      </c>
      <c r="C7" s="12">
        <v>7500</v>
      </c>
      <c r="D7" s="12">
        <v>8200</v>
      </c>
      <c r="E7" s="12">
        <v>9500</v>
      </c>
    </row>
    <row r="8" spans="1:5" ht="15.75" thickBot="1" x14ac:dyDescent="0.3">
      <c r="A8" s="9" t="s">
        <v>13</v>
      </c>
      <c r="B8" s="10">
        <v>1682</v>
      </c>
      <c r="C8" s="13">
        <v>4630</v>
      </c>
      <c r="D8" s="13">
        <v>5510</v>
      </c>
      <c r="E8" s="13">
        <v>6620</v>
      </c>
    </row>
    <row r="9" spans="1:5" ht="15.75" thickBot="1" x14ac:dyDescent="0.3">
      <c r="A9" s="9" t="s">
        <v>14</v>
      </c>
      <c r="B9" s="10">
        <v>970</v>
      </c>
      <c r="C9" s="13">
        <v>6000</v>
      </c>
      <c r="D9" s="13">
        <v>7900</v>
      </c>
      <c r="E9" s="13">
        <v>12000</v>
      </c>
    </row>
    <row r="10" spans="1:5" ht="15.75" thickBot="1" x14ac:dyDescent="0.3">
      <c r="A10" s="9" t="s">
        <v>15</v>
      </c>
      <c r="B10" s="10">
        <v>2450</v>
      </c>
      <c r="C10" s="13">
        <v>424</v>
      </c>
      <c r="D10" s="13">
        <v>510</v>
      </c>
      <c r="E10" s="13">
        <v>557</v>
      </c>
    </row>
    <row r="11" spans="1:5" ht="15.75" thickBot="1" x14ac:dyDescent="0.3">
      <c r="A11" s="9" t="s">
        <v>16</v>
      </c>
      <c r="B11" s="10">
        <v>7850</v>
      </c>
      <c r="C11" s="13">
        <v>2250</v>
      </c>
      <c r="D11" s="13">
        <v>3000</v>
      </c>
      <c r="E11" s="13">
        <v>4500</v>
      </c>
    </row>
  </sheetData>
  <mergeCells count="4">
    <mergeCell ref="A1:E1"/>
    <mergeCell ref="C2:E2"/>
    <mergeCell ref="C3:E3"/>
    <mergeCell ref="C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6F46-CF79-4DE6-B67B-C30F21B5BA6F}">
  <dimension ref="A1:AF27"/>
  <sheetViews>
    <sheetView tabSelected="1" topLeftCell="C1" zoomScale="80" zoomScaleNormal="80" workbookViewId="0">
      <selection activeCell="Z4" sqref="Z4"/>
    </sheetView>
  </sheetViews>
  <sheetFormatPr defaultRowHeight="15" x14ac:dyDescent="0.25"/>
  <cols>
    <col min="1" max="1" width="22.28515625" style="1" customWidth="1"/>
    <col min="2" max="2" width="12.5703125" style="1" customWidth="1"/>
    <col min="3" max="3" width="15" style="1" bestFit="1" customWidth="1"/>
    <col min="4" max="5" width="15" style="44" customWidth="1"/>
    <col min="6" max="7" width="12.7109375" style="1" bestFit="1" customWidth="1"/>
    <col min="8" max="8" width="13.5703125" style="1" bestFit="1" customWidth="1"/>
    <col min="9" max="9" width="16.42578125" style="1" bestFit="1" customWidth="1"/>
    <col min="10" max="11" width="11.85546875" style="1" customWidth="1"/>
    <col min="12" max="12" width="17.7109375" style="44" bestFit="1" customWidth="1"/>
    <col min="13" max="14" width="13.7109375" style="44" bestFit="1" customWidth="1"/>
    <col min="15" max="20" width="11.85546875" style="44" customWidth="1"/>
    <col min="21" max="21" width="9.140625" style="1"/>
    <col min="22" max="22" width="11.7109375" style="1" bestFit="1" customWidth="1"/>
    <col min="23" max="24" width="12.140625" style="1" bestFit="1" customWidth="1"/>
    <col min="25" max="26" width="9.140625" style="1"/>
    <col min="27" max="27" width="16.5703125" style="1" bestFit="1" customWidth="1"/>
    <col min="28" max="28" width="14.28515625" style="1" bestFit="1" customWidth="1"/>
    <col min="29" max="29" width="12" style="1" bestFit="1" customWidth="1"/>
    <col min="30" max="30" width="11.5703125" style="1" bestFit="1" customWidth="1"/>
    <col min="31" max="32" width="12.140625" style="1" bestFit="1" customWidth="1"/>
    <col min="33" max="16384" width="9.140625" style="1"/>
  </cols>
  <sheetData>
    <row r="1" spans="1:32" x14ac:dyDescent="0.25">
      <c r="A1" s="88" t="s">
        <v>50</v>
      </c>
      <c r="B1" s="86" t="s">
        <v>44</v>
      </c>
      <c r="C1" s="86"/>
      <c r="D1" s="86" t="s">
        <v>45</v>
      </c>
      <c r="E1" s="86"/>
      <c r="F1" s="86" t="s">
        <v>46</v>
      </c>
      <c r="G1" s="86"/>
      <c r="H1" s="86"/>
      <c r="I1" s="86" t="s">
        <v>47</v>
      </c>
      <c r="J1" s="86"/>
      <c r="K1" s="86"/>
      <c r="L1" s="86" t="s">
        <v>48</v>
      </c>
      <c r="M1" s="86"/>
      <c r="N1" s="86"/>
      <c r="O1" s="86" t="s">
        <v>49</v>
      </c>
      <c r="P1" s="86"/>
      <c r="Q1" s="86"/>
      <c r="R1" s="89" t="s">
        <v>66</v>
      </c>
      <c r="S1" s="90"/>
      <c r="T1" s="91"/>
      <c r="U1" s="23" t="s">
        <v>19</v>
      </c>
      <c r="V1" s="86" t="s">
        <v>26</v>
      </c>
      <c r="W1" s="86"/>
      <c r="X1" s="86"/>
      <c r="AA1" s="22"/>
      <c r="AB1" s="22"/>
      <c r="AC1" s="22"/>
      <c r="AD1" s="87"/>
      <c r="AE1" s="87"/>
      <c r="AF1" s="87"/>
    </row>
    <row r="2" spans="1:32" x14ac:dyDescent="0.25">
      <c r="A2" s="88"/>
      <c r="B2" s="24" t="s">
        <v>17</v>
      </c>
      <c r="C2" s="24" t="s">
        <v>18</v>
      </c>
      <c r="D2" s="24" t="s">
        <v>17</v>
      </c>
      <c r="E2" s="24" t="s">
        <v>18</v>
      </c>
      <c r="F2" s="24" t="s">
        <v>20</v>
      </c>
      <c r="G2" s="24" t="s">
        <v>21</v>
      </c>
      <c r="H2" s="24" t="s">
        <v>22</v>
      </c>
      <c r="I2" s="24" t="s">
        <v>23</v>
      </c>
      <c r="J2" s="24" t="s">
        <v>24</v>
      </c>
      <c r="K2" s="24" t="s">
        <v>25</v>
      </c>
      <c r="L2" s="24" t="s">
        <v>20</v>
      </c>
      <c r="M2" s="24" t="s">
        <v>21</v>
      </c>
      <c r="N2" s="24" t="s">
        <v>22</v>
      </c>
      <c r="O2" s="24" t="s">
        <v>23</v>
      </c>
      <c r="P2" s="24" t="s">
        <v>24</v>
      </c>
      <c r="Q2" s="24" t="s">
        <v>25</v>
      </c>
      <c r="R2" s="24" t="s">
        <v>23</v>
      </c>
      <c r="S2" s="24" t="s">
        <v>24</v>
      </c>
      <c r="T2" s="24" t="s">
        <v>25</v>
      </c>
      <c r="U2" s="24" t="s">
        <v>19</v>
      </c>
      <c r="V2" s="24" t="s">
        <v>27</v>
      </c>
      <c r="W2" s="24" t="s">
        <v>28</v>
      </c>
      <c r="X2" s="24" t="s">
        <v>29</v>
      </c>
      <c r="AA2" s="22"/>
      <c r="AB2" s="22"/>
      <c r="AC2" s="22"/>
      <c r="AD2" s="22"/>
      <c r="AE2" s="22"/>
      <c r="AF2" s="22"/>
    </row>
    <row r="3" spans="1:32" x14ac:dyDescent="0.25">
      <c r="A3" s="20">
        <v>1</v>
      </c>
      <c r="B3" s="15">
        <f>C27</f>
        <v>153750</v>
      </c>
      <c r="C3" s="14">
        <f>B3/1000</f>
        <v>153.75</v>
      </c>
      <c r="D3" s="15">
        <f>C17*MMC!B10</f>
        <v>481056.37508093711</v>
      </c>
      <c r="E3" s="14">
        <f>D3/1000</f>
        <v>481.05637508093713</v>
      </c>
      <c r="F3" s="21">
        <f>'ACE Estimates v0'!C3*MMC!C11</f>
        <v>345937.5</v>
      </c>
      <c r="G3" s="21">
        <f>C3*MMC!D11</f>
        <v>461250</v>
      </c>
      <c r="H3" s="21">
        <f>C3*MMC!E11</f>
        <v>691875</v>
      </c>
      <c r="I3" s="16">
        <f>F3/(10^6)</f>
        <v>0.34593750000000001</v>
      </c>
      <c r="J3" s="16">
        <f t="shared" ref="J3:K4" si="0">G3/(10^6)</f>
        <v>0.46124999999999999</v>
      </c>
      <c r="K3" s="16">
        <f t="shared" si="0"/>
        <v>0.69187500000000002</v>
      </c>
      <c r="L3" s="16">
        <f>$E$3*MMC!C10</f>
        <v>203967.90303431734</v>
      </c>
      <c r="M3" s="16">
        <f>$E$3*MMC!D10</f>
        <v>245338.75129127793</v>
      </c>
      <c r="N3" s="16">
        <f>$E$3*MMC!E10</f>
        <v>267948.400920082</v>
      </c>
      <c r="O3" s="16">
        <f>L3/(10^6)</f>
        <v>0.20396790303431733</v>
      </c>
      <c r="P3" s="16">
        <f t="shared" ref="P3:Q3" si="1">M3/(10^6)</f>
        <v>0.24533875129127794</v>
      </c>
      <c r="Q3" s="16">
        <f t="shared" si="1"/>
        <v>0.26794840092008199</v>
      </c>
      <c r="R3" s="16">
        <f>I3+O3</f>
        <v>0.54990540303431734</v>
      </c>
      <c r="S3" s="16">
        <f t="shared" ref="S3:T3" si="2">J3+P3</f>
        <v>0.70658875129127796</v>
      </c>
      <c r="T3" s="16">
        <f t="shared" si="2"/>
        <v>0.959823400920082</v>
      </c>
      <c r="U3" s="14">
        <v>3.33</v>
      </c>
      <c r="V3" s="27">
        <f>U3/T3</f>
        <v>3.4693882195494279</v>
      </c>
      <c r="W3" s="27">
        <f>U3/S3</f>
        <v>4.7127837712028198</v>
      </c>
      <c r="X3" s="27">
        <f>U3/R3</f>
        <v>6.0555869820980615</v>
      </c>
      <c r="AA3" s="18"/>
      <c r="AB3" s="19"/>
      <c r="AC3" s="22"/>
      <c r="AD3" s="19"/>
      <c r="AE3" s="19"/>
      <c r="AF3" s="19"/>
    </row>
    <row r="4" spans="1:32" x14ac:dyDescent="0.25">
      <c r="A4" s="20">
        <v>2</v>
      </c>
      <c r="B4" s="15">
        <f>C27</f>
        <v>153750</v>
      </c>
      <c r="C4" s="14">
        <f>B4/1000</f>
        <v>153.75</v>
      </c>
      <c r="D4" s="15">
        <f>C17*MMC!B10</f>
        <v>481056.37508093711</v>
      </c>
      <c r="E4" s="14">
        <f t="shared" ref="E4:E5" si="3">D4/1000</f>
        <v>481.05637508093713</v>
      </c>
      <c r="F4" s="21">
        <f>$C$4*MMC!C11</f>
        <v>345937.5</v>
      </c>
      <c r="G4" s="21">
        <f>$C$4*MMC!D11</f>
        <v>461250</v>
      </c>
      <c r="H4" s="21">
        <f>$C$4*MMC!E11</f>
        <v>691875</v>
      </c>
      <c r="I4" s="16">
        <f>F4/(10^6)</f>
        <v>0.34593750000000001</v>
      </c>
      <c r="J4" s="16">
        <f t="shared" si="0"/>
        <v>0.46124999999999999</v>
      </c>
      <c r="K4" s="16">
        <f t="shared" si="0"/>
        <v>0.69187500000000002</v>
      </c>
      <c r="L4" s="16">
        <f>$E$4*MMC!C10</f>
        <v>203967.90303431734</v>
      </c>
      <c r="M4" s="16">
        <f>$E$4*MMC!D10</f>
        <v>245338.75129127793</v>
      </c>
      <c r="N4" s="16">
        <f>$E$4*MMC!E10</f>
        <v>267948.400920082</v>
      </c>
      <c r="O4" s="16">
        <f>L4/(10^6)</f>
        <v>0.20396790303431733</v>
      </c>
      <c r="P4" s="16">
        <f t="shared" ref="P4" si="4">M4/(10^6)</f>
        <v>0.24533875129127794</v>
      </c>
      <c r="Q4" s="16">
        <f t="shared" ref="Q4" si="5">N4/(10^6)</f>
        <v>0.26794840092008199</v>
      </c>
      <c r="R4" s="16">
        <f t="shared" ref="R4:R5" si="6">I4+O4</f>
        <v>0.54990540303431734</v>
      </c>
      <c r="S4" s="16">
        <f t="shared" ref="S4:S5" si="7">J4+P4</f>
        <v>0.70658875129127796</v>
      </c>
      <c r="T4" s="16">
        <f t="shared" ref="T4:T5" si="8">K4+Q4</f>
        <v>0.959823400920082</v>
      </c>
      <c r="U4" s="14">
        <v>6.52</v>
      </c>
      <c r="V4" s="27">
        <f>U4/T4</f>
        <v>6.7929162737123931</v>
      </c>
      <c r="W4" s="27">
        <f>U4/S4</f>
        <v>9.227432488961675</v>
      </c>
      <c r="X4" s="27">
        <f>U4/R4</f>
        <v>11.856584721705513</v>
      </c>
    </row>
    <row r="5" spans="1:32" x14ac:dyDescent="0.25">
      <c r="A5" s="20">
        <v>3</v>
      </c>
      <c r="B5" s="15">
        <f>C27</f>
        <v>153750</v>
      </c>
      <c r="C5" s="14">
        <f>B5/1000</f>
        <v>153.75</v>
      </c>
      <c r="D5" s="15">
        <f>C17*MMC!B10</f>
        <v>481056.37508093711</v>
      </c>
      <c r="E5" s="14">
        <f t="shared" si="3"/>
        <v>481.05637508093713</v>
      </c>
      <c r="F5" s="26">
        <f>$C$4*MMC!C11</f>
        <v>345937.5</v>
      </c>
      <c r="G5" s="26">
        <f>$C$4*MMC!D11</f>
        <v>461250</v>
      </c>
      <c r="H5" s="26">
        <f>$C$4*MMC!E11</f>
        <v>691875</v>
      </c>
      <c r="I5" s="16">
        <f>F5/(10^6)</f>
        <v>0.34593750000000001</v>
      </c>
      <c r="J5" s="16">
        <f t="shared" ref="J5" si="9">G5/(10^6)</f>
        <v>0.46124999999999999</v>
      </c>
      <c r="K5" s="16">
        <f t="shared" ref="K5" si="10">H5/(10^6)</f>
        <v>0.69187500000000002</v>
      </c>
      <c r="L5" s="16">
        <f>$E$5*MMC!C10</f>
        <v>203967.90303431734</v>
      </c>
      <c r="M5" s="16">
        <f>$E$5*MMC!D10</f>
        <v>245338.75129127793</v>
      </c>
      <c r="N5" s="16">
        <f>$E$5*MMC!E10</f>
        <v>267948.400920082</v>
      </c>
      <c r="O5" s="16">
        <f>L5/(10^6)</f>
        <v>0.20396790303431733</v>
      </c>
      <c r="P5" s="16">
        <f t="shared" ref="P5" si="11">M5/(10^6)</f>
        <v>0.24533875129127794</v>
      </c>
      <c r="Q5" s="16">
        <f t="shared" ref="Q5" si="12">N5/(10^6)</f>
        <v>0.26794840092008199</v>
      </c>
      <c r="R5" s="16">
        <f t="shared" si="6"/>
        <v>0.54990540303431734</v>
      </c>
      <c r="S5" s="16">
        <f t="shared" si="7"/>
        <v>0.70658875129127796</v>
      </c>
      <c r="T5" s="16">
        <f t="shared" si="8"/>
        <v>0.959823400920082</v>
      </c>
      <c r="U5" s="14">
        <v>8</v>
      </c>
      <c r="V5" s="27">
        <f>U5/T5</f>
        <v>8.3348665935121389</v>
      </c>
      <c r="W5" s="27">
        <f>U5/S5</f>
        <v>11.322003053940707</v>
      </c>
      <c r="X5" s="27">
        <f>U5/R5</f>
        <v>14.547956713749096</v>
      </c>
    </row>
    <row r="6" spans="1:32" x14ac:dyDescent="0.25">
      <c r="A6" s="83" t="s">
        <v>31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5"/>
    </row>
    <row r="7" spans="1:32" x14ac:dyDescent="0.25">
      <c r="A7" s="20" t="s">
        <v>51</v>
      </c>
      <c r="B7" s="15">
        <f>C27</f>
        <v>153750</v>
      </c>
      <c r="C7" s="14">
        <f>B7/1000</f>
        <v>153.75</v>
      </c>
      <c r="D7" s="15">
        <f>C17*MMC!B10</f>
        <v>481056.37508093711</v>
      </c>
      <c r="E7" s="14">
        <f>D7/1000</f>
        <v>481.05637508093713</v>
      </c>
      <c r="F7" s="25">
        <f>$C$4*MMC!C11</f>
        <v>345937.5</v>
      </c>
      <c r="G7" s="25">
        <f>$C$4*MMC!D11</f>
        <v>461250</v>
      </c>
      <c r="H7" s="25">
        <f>$C$4*MMC!E11</f>
        <v>691875</v>
      </c>
      <c r="I7" s="16">
        <f t="shared" ref="I7:K8" si="13">F7/(10^6)</f>
        <v>0.34593750000000001</v>
      </c>
      <c r="J7" s="16">
        <f t="shared" si="13"/>
        <v>0.46124999999999999</v>
      </c>
      <c r="K7" s="16">
        <f t="shared" si="13"/>
        <v>0.69187500000000002</v>
      </c>
      <c r="L7" s="16">
        <f>$E$7*MMC!C10</f>
        <v>203967.90303431734</v>
      </c>
      <c r="M7" s="16">
        <f>$E$7*MMC!D10</f>
        <v>245338.75129127793</v>
      </c>
      <c r="N7" s="16">
        <f>$E$7*MMC!E10</f>
        <v>267948.400920082</v>
      </c>
      <c r="O7" s="16">
        <f>L7/(10^6)</f>
        <v>0.20396790303431733</v>
      </c>
      <c r="P7" s="16">
        <f t="shared" ref="P7:Q7" si="14">M7/(10^6)</f>
        <v>0.24533875129127794</v>
      </c>
      <c r="Q7" s="16">
        <f t="shared" si="14"/>
        <v>0.26794840092008199</v>
      </c>
      <c r="R7" s="16" t="s">
        <v>30</v>
      </c>
      <c r="S7" s="16" t="s">
        <v>30</v>
      </c>
      <c r="T7" s="16" t="s">
        <v>30</v>
      </c>
      <c r="U7" s="75" t="s">
        <v>30</v>
      </c>
      <c r="V7" s="77" t="s">
        <v>30</v>
      </c>
      <c r="W7" s="78"/>
      <c r="X7" s="79"/>
      <c r="Y7" s="73" t="s">
        <v>41</v>
      </c>
      <c r="Z7" s="74"/>
      <c r="AA7" s="17"/>
      <c r="AB7" s="17"/>
      <c r="AC7" s="17"/>
      <c r="AD7" s="43"/>
      <c r="AE7" s="43"/>
      <c r="AF7" s="43"/>
    </row>
    <row r="8" spans="1:32" x14ac:dyDescent="0.25">
      <c r="A8" s="20" t="s">
        <v>31</v>
      </c>
      <c r="B8" s="15" t="s">
        <v>30</v>
      </c>
      <c r="C8" s="15" t="s">
        <v>30</v>
      </c>
      <c r="D8" s="15" t="s">
        <v>30</v>
      </c>
      <c r="E8" s="15" t="s">
        <v>30</v>
      </c>
      <c r="F8" s="21">
        <f>F7*Z8*4</f>
        <v>243943.76899696048</v>
      </c>
      <c r="G8" s="21">
        <f>G7*Z8*4</f>
        <v>325258.35866261396</v>
      </c>
      <c r="H8" s="21">
        <f>H7*Z8*4</f>
        <v>487887.53799392097</v>
      </c>
      <c r="I8" s="16">
        <f t="shared" si="13"/>
        <v>0.24394376899696049</v>
      </c>
      <c r="J8" s="16">
        <f t="shared" si="13"/>
        <v>0.32525835866261393</v>
      </c>
      <c r="K8" s="16">
        <f t="shared" si="13"/>
        <v>0.48788753799392098</v>
      </c>
      <c r="L8" s="16" t="s">
        <v>30</v>
      </c>
      <c r="M8" s="16" t="s">
        <v>30</v>
      </c>
      <c r="N8" s="16" t="s">
        <v>30</v>
      </c>
      <c r="O8" s="16" t="s">
        <v>30</v>
      </c>
      <c r="P8" s="16" t="s">
        <v>30</v>
      </c>
      <c r="Q8" s="16" t="s">
        <v>30</v>
      </c>
      <c r="R8" s="16" t="s">
        <v>30</v>
      </c>
      <c r="S8" s="16" t="s">
        <v>30</v>
      </c>
      <c r="T8" s="16" t="s">
        <v>30</v>
      </c>
      <c r="U8" s="76"/>
      <c r="V8" s="80"/>
      <c r="W8" s="81"/>
      <c r="X8" s="82"/>
      <c r="Y8" s="1" t="s">
        <v>32</v>
      </c>
      <c r="Z8" s="29">
        <f>'Reference Model Multipliers'!F3</f>
        <v>0.17629179331306991</v>
      </c>
      <c r="AA8" s="43"/>
      <c r="AB8" s="43"/>
      <c r="AC8" s="43"/>
      <c r="AD8" s="43"/>
      <c r="AE8" s="43"/>
      <c r="AF8" s="43"/>
    </row>
    <row r="9" spans="1:32" x14ac:dyDescent="0.25">
      <c r="A9" s="28" t="s">
        <v>52</v>
      </c>
      <c r="B9" s="15" t="s">
        <v>30</v>
      </c>
      <c r="C9" s="15" t="s">
        <v>30</v>
      </c>
      <c r="D9" s="15" t="s">
        <v>30</v>
      </c>
      <c r="E9" s="15" t="s">
        <v>30</v>
      </c>
      <c r="F9" s="42" t="s">
        <v>30</v>
      </c>
      <c r="G9" s="42" t="s">
        <v>30</v>
      </c>
      <c r="H9" s="42" t="s">
        <v>30</v>
      </c>
      <c r="I9" s="42" t="s">
        <v>30</v>
      </c>
      <c r="J9" s="42" t="s">
        <v>30</v>
      </c>
      <c r="K9" s="42" t="s">
        <v>30</v>
      </c>
      <c r="L9" s="16" t="s">
        <v>30</v>
      </c>
      <c r="M9" s="16" t="s">
        <v>30</v>
      </c>
      <c r="N9" s="16" t="s">
        <v>30</v>
      </c>
      <c r="O9" s="16" t="s">
        <v>30</v>
      </c>
      <c r="P9" s="16" t="s">
        <v>30</v>
      </c>
      <c r="Q9" s="16" t="s">
        <v>30</v>
      </c>
      <c r="R9" s="16">
        <f>I7+I8+O7</f>
        <v>0.79384917203127781</v>
      </c>
      <c r="S9" s="16">
        <f t="shared" ref="S9:T9" si="15">J7+J8+P7</f>
        <v>1.0318471099538919</v>
      </c>
      <c r="T9" s="16">
        <f t="shared" si="15"/>
        <v>1.4477109389140028</v>
      </c>
      <c r="U9" s="14">
        <v>3.33</v>
      </c>
      <c r="V9" s="27">
        <f>U9/T9</f>
        <v>2.3001829374156642</v>
      </c>
      <c r="W9" s="27">
        <f>U9/S9</f>
        <v>3.2272222966722279</v>
      </c>
      <c r="X9" s="27">
        <f>U9/T9</f>
        <v>2.3001829374156642</v>
      </c>
      <c r="AA9" s="43"/>
      <c r="AB9" s="43"/>
      <c r="AC9" s="45"/>
      <c r="AD9" s="43"/>
      <c r="AE9" s="43"/>
      <c r="AF9" s="43"/>
    </row>
    <row r="10" spans="1:32" x14ac:dyDescent="0.25">
      <c r="A10" s="22"/>
      <c r="B10" s="22"/>
      <c r="C10" s="22"/>
      <c r="D10" s="43"/>
      <c r="E10" s="43"/>
      <c r="F10" s="22"/>
      <c r="G10" s="22"/>
      <c r="H10" s="22"/>
      <c r="I10" s="22"/>
      <c r="J10" s="22"/>
      <c r="K10" s="22"/>
      <c r="L10" s="43"/>
      <c r="M10" s="43"/>
      <c r="N10" s="43"/>
      <c r="O10" s="43"/>
      <c r="P10" s="43"/>
      <c r="Q10" s="43"/>
      <c r="R10" s="46"/>
      <c r="S10" s="43"/>
      <c r="T10" s="43"/>
    </row>
    <row r="11" spans="1:32" x14ac:dyDescent="0.25">
      <c r="A11" s="72" t="s">
        <v>81</v>
      </c>
      <c r="B11" s="72"/>
      <c r="C11" s="72"/>
      <c r="D11" s="72"/>
      <c r="E11" s="43"/>
      <c r="F11" s="22"/>
      <c r="G11" s="22"/>
      <c r="H11" s="22"/>
      <c r="I11" s="22"/>
      <c r="J11" s="22"/>
      <c r="K11" s="22"/>
      <c r="L11" s="43"/>
      <c r="M11" s="43"/>
      <c r="N11" s="43"/>
      <c r="O11" s="43"/>
      <c r="P11" s="43"/>
      <c r="Q11" s="43"/>
      <c r="R11" s="43"/>
      <c r="S11" s="43"/>
      <c r="T11" s="43"/>
    </row>
    <row r="12" spans="1:32" x14ac:dyDescent="0.25">
      <c r="A12" s="41" t="s">
        <v>62</v>
      </c>
      <c r="B12" s="15" t="s">
        <v>63</v>
      </c>
      <c r="C12" s="41">
        <v>10</v>
      </c>
      <c r="D12" s="41" t="s">
        <v>55</v>
      </c>
      <c r="E12" s="43"/>
      <c r="F12" s="22"/>
      <c r="G12" s="19"/>
      <c r="H12" s="22"/>
      <c r="I12" s="22"/>
      <c r="J12" s="22"/>
      <c r="K12" s="22"/>
      <c r="L12" s="43"/>
      <c r="M12" s="43"/>
      <c r="N12" s="43"/>
      <c r="O12" s="43"/>
      <c r="P12" s="43"/>
      <c r="Q12" s="43"/>
      <c r="R12" s="43"/>
      <c r="S12" s="43"/>
      <c r="T12" s="43"/>
    </row>
    <row r="13" spans="1:32" x14ac:dyDescent="0.25">
      <c r="A13" s="41" t="s">
        <v>60</v>
      </c>
      <c r="B13" s="41" t="s">
        <v>61</v>
      </c>
      <c r="C13" s="41">
        <v>20</v>
      </c>
      <c r="D13" s="41" t="s">
        <v>55</v>
      </c>
    </row>
    <row r="14" spans="1:32" x14ac:dyDescent="0.25">
      <c r="A14" s="41" t="s">
        <v>53</v>
      </c>
      <c r="B14" s="41" t="s">
        <v>54</v>
      </c>
      <c r="C14" s="41">
        <v>5</v>
      </c>
      <c r="D14" s="41" t="s">
        <v>55</v>
      </c>
    </row>
    <row r="15" spans="1:32" x14ac:dyDescent="0.25">
      <c r="A15" s="41" t="s">
        <v>56</v>
      </c>
      <c r="B15" s="41" t="s">
        <v>57</v>
      </c>
      <c r="C15" s="41">
        <f>C14/2</f>
        <v>2.5</v>
      </c>
      <c r="D15" s="41" t="s">
        <v>55</v>
      </c>
    </row>
    <row r="16" spans="1:32" x14ac:dyDescent="0.25">
      <c r="A16" s="41" t="s">
        <v>58</v>
      </c>
      <c r="B16" s="41" t="s">
        <v>59</v>
      </c>
      <c r="C16" s="41">
        <f>C13-C12</f>
        <v>10</v>
      </c>
      <c r="D16" s="41" t="s">
        <v>55</v>
      </c>
    </row>
    <row r="17" spans="1:4" ht="17.25" x14ac:dyDescent="0.25">
      <c r="A17" s="41" t="s">
        <v>64</v>
      </c>
      <c r="B17" s="41" t="s">
        <v>65</v>
      </c>
      <c r="C17" s="14">
        <f>PI()*C15^2*C16</f>
        <v>196.34954084936209</v>
      </c>
      <c r="D17" s="41" t="s">
        <v>74</v>
      </c>
    </row>
    <row r="19" spans="1:4" x14ac:dyDescent="0.25">
      <c r="A19" s="72" t="s">
        <v>67</v>
      </c>
      <c r="B19" s="72"/>
      <c r="C19" s="72"/>
      <c r="D19" s="72"/>
    </row>
    <row r="20" spans="1:4" x14ac:dyDescent="0.25">
      <c r="A20" s="41" t="s">
        <v>62</v>
      </c>
      <c r="B20" s="15" t="s">
        <v>63</v>
      </c>
      <c r="C20" s="41">
        <v>10</v>
      </c>
      <c r="D20" s="41" t="s">
        <v>55</v>
      </c>
    </row>
    <row r="21" spans="1:4" x14ac:dyDescent="0.25">
      <c r="A21" s="41" t="s">
        <v>60</v>
      </c>
      <c r="B21" s="41" t="s">
        <v>61</v>
      </c>
      <c r="C21" s="41">
        <v>30</v>
      </c>
      <c r="D21" s="41" t="s">
        <v>55</v>
      </c>
    </row>
    <row r="22" spans="1:4" x14ac:dyDescent="0.25">
      <c r="A22" s="41" t="s">
        <v>68</v>
      </c>
      <c r="B22" s="41" t="s">
        <v>69</v>
      </c>
      <c r="C22" s="41">
        <v>20</v>
      </c>
      <c r="D22" s="41" t="s">
        <v>55</v>
      </c>
    </row>
    <row r="23" spans="1:4" x14ac:dyDescent="0.25">
      <c r="A23" s="41" t="s">
        <v>70</v>
      </c>
      <c r="B23" s="41" t="s">
        <v>71</v>
      </c>
      <c r="C23" s="41">
        <v>1.5</v>
      </c>
      <c r="D23" s="41" t="s">
        <v>55</v>
      </c>
    </row>
    <row r="24" spans="1:4" ht="17.25" x14ac:dyDescent="0.25">
      <c r="A24" s="41" t="s">
        <v>64</v>
      </c>
      <c r="B24" s="41" t="s">
        <v>65</v>
      </c>
      <c r="C24" s="14">
        <f>C20*C22*C23</f>
        <v>300</v>
      </c>
      <c r="D24" s="41" t="s">
        <v>74</v>
      </c>
    </row>
    <row r="25" spans="1:4" ht="18" x14ac:dyDescent="0.35">
      <c r="A25" s="41" t="s">
        <v>72</v>
      </c>
      <c r="B25" s="47" t="s">
        <v>73</v>
      </c>
      <c r="C25" s="14">
        <v>0.5</v>
      </c>
      <c r="D25" s="41" t="s">
        <v>30</v>
      </c>
    </row>
    <row r="26" spans="1:4" ht="17.25" x14ac:dyDescent="0.25">
      <c r="A26" s="41" t="s">
        <v>75</v>
      </c>
      <c r="B26" s="48" t="s">
        <v>76</v>
      </c>
      <c r="C26" s="41">
        <v>1025</v>
      </c>
      <c r="D26" s="41" t="s">
        <v>77</v>
      </c>
    </row>
    <row r="27" spans="1:4" x14ac:dyDescent="0.25">
      <c r="A27" s="41" t="s">
        <v>78</v>
      </c>
      <c r="B27" s="41" t="s">
        <v>79</v>
      </c>
      <c r="C27" s="15">
        <f>C24*C25*C26</f>
        <v>153750</v>
      </c>
      <c r="D27" s="41" t="s">
        <v>80</v>
      </c>
    </row>
  </sheetData>
  <mergeCells count="16">
    <mergeCell ref="A6:X6"/>
    <mergeCell ref="V1:X1"/>
    <mergeCell ref="AD1:AF1"/>
    <mergeCell ref="A1:A2"/>
    <mergeCell ref="B1:C1"/>
    <mergeCell ref="F1:H1"/>
    <mergeCell ref="I1:K1"/>
    <mergeCell ref="D1:E1"/>
    <mergeCell ref="L1:N1"/>
    <mergeCell ref="O1:Q1"/>
    <mergeCell ref="R1:T1"/>
    <mergeCell ref="A19:D19"/>
    <mergeCell ref="Y7:Z7"/>
    <mergeCell ref="U7:U8"/>
    <mergeCell ref="V7:X8"/>
    <mergeCell ref="A11: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F725-4FBB-4702-AD93-6012CE7EE13F}">
  <dimension ref="A1:U28"/>
  <sheetViews>
    <sheetView zoomScale="80" zoomScaleNormal="80" workbookViewId="0">
      <selection activeCell="A7" sqref="A7:M7"/>
    </sheetView>
  </sheetViews>
  <sheetFormatPr defaultRowHeight="15" x14ac:dyDescent="0.25"/>
  <cols>
    <col min="1" max="1" width="22.28515625" style="49" customWidth="1"/>
    <col min="2" max="2" width="12.5703125" style="49" customWidth="1"/>
    <col min="3" max="3" width="15" style="49" bestFit="1" customWidth="1"/>
    <col min="4" max="4" width="15.140625" style="49" bestFit="1" customWidth="1"/>
    <col min="5" max="5" width="15.7109375" style="49" customWidth="1"/>
    <col min="6" max="6" width="16" style="49" customWidth="1"/>
    <col min="7" max="7" width="12.7109375" style="49" bestFit="1" customWidth="1"/>
    <col min="8" max="8" width="13.5703125" style="49" bestFit="1" customWidth="1"/>
    <col min="9" max="9" width="16.42578125" style="49" bestFit="1" customWidth="1"/>
    <col min="10" max="10" width="11.85546875" style="49" customWidth="1"/>
    <col min="11" max="11" width="12.28515625" style="49" bestFit="1" customWidth="1"/>
    <col min="12" max="12" width="12.7109375" style="49" bestFit="1" customWidth="1"/>
    <col min="13" max="13" width="12.85546875" style="49" bestFit="1" customWidth="1"/>
    <col min="14" max="14" width="13.7109375" style="49" bestFit="1" customWidth="1"/>
    <col min="15" max="20" width="11.85546875" style="49" customWidth="1"/>
    <col min="21" max="21" width="9.140625" style="49"/>
    <col min="22" max="22" width="11.7109375" style="49" bestFit="1" customWidth="1"/>
    <col min="23" max="24" width="12.140625" style="49" bestFit="1" customWidth="1"/>
    <col min="25" max="26" width="9.140625" style="49"/>
    <col min="27" max="27" width="16.5703125" style="49" bestFit="1" customWidth="1"/>
    <col min="28" max="28" width="14.28515625" style="49" bestFit="1" customWidth="1"/>
    <col min="29" max="29" width="12" style="49" bestFit="1" customWidth="1"/>
    <col min="30" max="30" width="11.5703125" style="49" bestFit="1" customWidth="1"/>
    <col min="31" max="32" width="12.140625" style="49" bestFit="1" customWidth="1"/>
    <col min="33" max="16384" width="9.140625" style="49"/>
  </cols>
  <sheetData>
    <row r="1" spans="1:21" x14ac:dyDescent="0.25">
      <c r="A1" s="88" t="s">
        <v>82</v>
      </c>
      <c r="B1" s="86" t="s">
        <v>44</v>
      </c>
      <c r="C1" s="86"/>
      <c r="D1" s="86" t="s">
        <v>46</v>
      </c>
      <c r="E1" s="86"/>
      <c r="F1" s="86"/>
      <c r="G1" s="86" t="s">
        <v>47</v>
      </c>
      <c r="H1" s="86"/>
      <c r="I1" s="86"/>
      <c r="J1" s="50" t="s">
        <v>19</v>
      </c>
      <c r="K1" s="86" t="s">
        <v>26</v>
      </c>
      <c r="L1" s="86"/>
      <c r="M1" s="86"/>
      <c r="P1" s="51"/>
      <c r="Q1" s="51"/>
      <c r="R1" s="51"/>
      <c r="S1" s="87"/>
      <c r="T1" s="87"/>
      <c r="U1" s="87"/>
    </row>
    <row r="2" spans="1:21" x14ac:dyDescent="0.25">
      <c r="A2" s="88"/>
      <c r="B2" s="24" t="s">
        <v>17</v>
      </c>
      <c r="C2" s="24" t="s">
        <v>18</v>
      </c>
      <c r="D2" s="24" t="s">
        <v>20</v>
      </c>
      <c r="E2" s="24" t="s">
        <v>21</v>
      </c>
      <c r="F2" s="24" t="s">
        <v>22</v>
      </c>
      <c r="G2" s="24" t="s">
        <v>23</v>
      </c>
      <c r="H2" s="24" t="s">
        <v>24</v>
      </c>
      <c r="I2" s="24" t="s">
        <v>25</v>
      </c>
      <c r="J2" s="24" t="s">
        <v>19</v>
      </c>
      <c r="K2" s="24" t="s">
        <v>27</v>
      </c>
      <c r="L2" s="24" t="s">
        <v>28</v>
      </c>
      <c r="M2" s="24" t="s">
        <v>29</v>
      </c>
      <c r="P2" s="51"/>
      <c r="Q2" s="51"/>
      <c r="R2" s="51"/>
      <c r="S2" s="51"/>
      <c r="T2" s="51"/>
      <c r="U2" s="51"/>
    </row>
    <row r="3" spans="1:21" x14ac:dyDescent="0.25">
      <c r="A3" s="41" t="s">
        <v>83</v>
      </c>
      <c r="B3" s="15">
        <f>C3*1000</f>
        <v>72000</v>
      </c>
      <c r="C3" s="14">
        <v>72</v>
      </c>
      <c r="D3" s="42">
        <f>'ACE Estimates RM5'!C3*MMC!C7</f>
        <v>540000</v>
      </c>
      <c r="E3" s="52">
        <f>'ACE Estimates RM5'!C3*MMC!D7</f>
        <v>590400</v>
      </c>
      <c r="F3" s="52">
        <f>'ACE Estimates RM5'!C3*MMC!E7</f>
        <v>684000</v>
      </c>
      <c r="G3" s="52">
        <f>D3/(10^6)</f>
        <v>0.54</v>
      </c>
      <c r="H3" s="52">
        <f t="shared" ref="H3:I5" si="0">E3/(10^6)</f>
        <v>0.59040000000000004</v>
      </c>
      <c r="I3" s="52">
        <f t="shared" si="0"/>
        <v>0.68400000000000005</v>
      </c>
      <c r="J3" s="14" t="s">
        <v>30</v>
      </c>
      <c r="K3" s="27" t="s">
        <v>30</v>
      </c>
      <c r="L3" s="27" t="s">
        <v>30</v>
      </c>
      <c r="M3" s="27" t="s">
        <v>30</v>
      </c>
      <c r="P3" s="18"/>
      <c r="Q3" s="19"/>
      <c r="R3" s="51"/>
      <c r="S3" s="19"/>
      <c r="T3" s="19"/>
      <c r="U3" s="19"/>
    </row>
    <row r="4" spans="1:21" x14ac:dyDescent="0.25">
      <c r="A4" s="41" t="s">
        <v>84</v>
      </c>
      <c r="B4" s="15">
        <f t="shared" ref="B4:B5" si="1">C4*1000</f>
        <v>428000</v>
      </c>
      <c r="C4" s="14">
        <v>428</v>
      </c>
      <c r="D4" s="42">
        <f>$C$4*MMC!C11</f>
        <v>963000</v>
      </c>
      <c r="E4" s="52">
        <f>$C$4*MMC!D11</f>
        <v>1284000</v>
      </c>
      <c r="F4" s="52">
        <f>$C$4*MMC!E11</f>
        <v>1926000</v>
      </c>
      <c r="G4" s="52">
        <f>D4/(10^6)</f>
        <v>0.96299999999999997</v>
      </c>
      <c r="H4" s="52">
        <f t="shared" si="0"/>
        <v>1.284</v>
      </c>
      <c r="I4" s="52">
        <f t="shared" si="0"/>
        <v>1.9259999999999999</v>
      </c>
      <c r="J4" s="14" t="s">
        <v>30</v>
      </c>
      <c r="K4" s="27" t="s">
        <v>30</v>
      </c>
      <c r="L4" s="27" t="s">
        <v>30</v>
      </c>
      <c r="M4" s="27" t="s">
        <v>30</v>
      </c>
    </row>
    <row r="5" spans="1:21" x14ac:dyDescent="0.25">
      <c r="A5" s="41" t="s">
        <v>85</v>
      </c>
      <c r="B5" s="15">
        <f t="shared" si="1"/>
        <v>300000</v>
      </c>
      <c r="C5" s="14">
        <v>300</v>
      </c>
      <c r="D5" s="42">
        <f>$C$5*MMC!C11</f>
        <v>675000</v>
      </c>
      <c r="E5" s="52">
        <f>$C$4*MMC!D11</f>
        <v>1284000</v>
      </c>
      <c r="F5" s="52">
        <f>$C$4*MMC!E11</f>
        <v>1926000</v>
      </c>
      <c r="G5" s="52">
        <f>D5/(10^6)</f>
        <v>0.67500000000000004</v>
      </c>
      <c r="H5" s="52">
        <f t="shared" si="0"/>
        <v>1.284</v>
      </c>
      <c r="I5" s="52">
        <f t="shared" si="0"/>
        <v>1.9259999999999999</v>
      </c>
      <c r="J5" s="14" t="s">
        <v>30</v>
      </c>
      <c r="K5" s="27" t="s">
        <v>30</v>
      </c>
      <c r="L5" s="27" t="s">
        <v>30</v>
      </c>
      <c r="M5" s="27" t="s">
        <v>30</v>
      </c>
    </row>
    <row r="6" spans="1:21" x14ac:dyDescent="0.25">
      <c r="A6" s="41" t="s">
        <v>82</v>
      </c>
      <c r="B6" s="15">
        <f>SUM(B3:B5)</f>
        <v>800000</v>
      </c>
      <c r="C6" s="15">
        <f>SUM(C3:C5)</f>
        <v>800</v>
      </c>
      <c r="D6" s="52">
        <f t="shared" ref="D6:I6" si="2">SUM(D3:D5)</f>
        <v>2178000</v>
      </c>
      <c r="E6" s="52">
        <f t="shared" si="2"/>
        <v>3158400</v>
      </c>
      <c r="F6" s="52">
        <f t="shared" si="2"/>
        <v>4536000</v>
      </c>
      <c r="G6" s="52">
        <f t="shared" si="2"/>
        <v>2.1779999999999999</v>
      </c>
      <c r="H6" s="52">
        <f t="shared" si="2"/>
        <v>3.1584000000000003</v>
      </c>
      <c r="I6" s="52">
        <f t="shared" si="2"/>
        <v>4.5359999999999996</v>
      </c>
      <c r="J6" s="14">
        <v>3.53</v>
      </c>
      <c r="K6" s="27">
        <f>J6/I6</f>
        <v>0.77821869488536155</v>
      </c>
      <c r="L6" s="27">
        <f>J6/H6</f>
        <v>1.1176545086119551</v>
      </c>
      <c r="M6" s="27">
        <f>J6/G6</f>
        <v>1.620752984389348</v>
      </c>
    </row>
    <row r="7" spans="1:21" x14ac:dyDescent="0.25">
      <c r="A7" s="83" t="s">
        <v>31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5"/>
    </row>
    <row r="8" spans="1:21" x14ac:dyDescent="0.25">
      <c r="A8" s="41" t="s">
        <v>82</v>
      </c>
      <c r="B8" s="15">
        <f>B6</f>
        <v>800000</v>
      </c>
      <c r="C8" s="15">
        <f t="shared" ref="C8:I8" si="3">C6</f>
        <v>800</v>
      </c>
      <c r="D8" s="52">
        <f t="shared" si="3"/>
        <v>2178000</v>
      </c>
      <c r="E8" s="52">
        <f t="shared" si="3"/>
        <v>3158400</v>
      </c>
      <c r="F8" s="52">
        <f t="shared" si="3"/>
        <v>4536000</v>
      </c>
      <c r="G8" s="52">
        <f t="shared" si="3"/>
        <v>2.1779999999999999</v>
      </c>
      <c r="H8" s="52">
        <f t="shared" si="3"/>
        <v>3.1584000000000003</v>
      </c>
      <c r="I8" s="52">
        <f t="shared" si="3"/>
        <v>4.5359999999999996</v>
      </c>
      <c r="J8" s="75" t="s">
        <v>30</v>
      </c>
      <c r="K8" s="77" t="s">
        <v>30</v>
      </c>
      <c r="L8" s="78"/>
      <c r="M8" s="79"/>
      <c r="N8" s="73" t="s">
        <v>41</v>
      </c>
      <c r="O8" s="74"/>
      <c r="P8" s="17"/>
      <c r="Q8" s="17"/>
      <c r="R8" s="17"/>
      <c r="S8" s="51"/>
      <c r="T8" s="51"/>
      <c r="U8" s="51"/>
    </row>
    <row r="9" spans="1:21" x14ac:dyDescent="0.25">
      <c r="A9" s="41" t="s">
        <v>31</v>
      </c>
      <c r="B9" s="15" t="s">
        <v>30</v>
      </c>
      <c r="C9" s="15" t="s">
        <v>30</v>
      </c>
      <c r="D9" s="42">
        <f>D8*O9</f>
        <v>383963.52583586628</v>
      </c>
      <c r="E9" s="42">
        <f>E8*O9</f>
        <v>556800</v>
      </c>
      <c r="F9" s="42">
        <f>F8*O9</f>
        <v>799659.57446808508</v>
      </c>
      <c r="G9" s="52">
        <f>D9/(10^6)</f>
        <v>0.38396352583586629</v>
      </c>
      <c r="H9" s="52">
        <f t="shared" ref="H9:I9" si="4">E9/(10^6)</f>
        <v>0.55679999999999996</v>
      </c>
      <c r="I9" s="52">
        <f t="shared" si="4"/>
        <v>0.79965957446808511</v>
      </c>
      <c r="J9" s="76"/>
      <c r="K9" s="80"/>
      <c r="L9" s="81"/>
      <c r="M9" s="82"/>
      <c r="N9" s="49" t="s">
        <v>33</v>
      </c>
      <c r="O9" s="29">
        <f>'Reference Model Multipliers'!F3</f>
        <v>0.17629179331306991</v>
      </c>
      <c r="P9" s="51"/>
      <c r="Q9" s="51"/>
      <c r="R9" s="51"/>
      <c r="S9" s="51"/>
      <c r="T9" s="51"/>
      <c r="U9" s="51"/>
    </row>
    <row r="10" spans="1:21" x14ac:dyDescent="0.25">
      <c r="A10" s="28" t="s">
        <v>52</v>
      </c>
      <c r="B10" s="15" t="s">
        <v>30</v>
      </c>
      <c r="C10" s="15" t="s">
        <v>30</v>
      </c>
      <c r="D10" s="59">
        <f>SUM(D8:D9)</f>
        <v>2561963.5258358661</v>
      </c>
      <c r="E10" s="59">
        <f t="shared" ref="E10:F10" si="5">SUM(E8:E9)</f>
        <v>3715200</v>
      </c>
      <c r="F10" s="59">
        <f t="shared" si="5"/>
        <v>5335659.5744680855</v>
      </c>
      <c r="G10" s="59">
        <f t="shared" ref="G10" si="6">SUM(G8:G9)</f>
        <v>2.5619635258358664</v>
      </c>
      <c r="H10" s="59">
        <f t="shared" ref="H10" si="7">SUM(H8:H9)</f>
        <v>3.7152000000000003</v>
      </c>
      <c r="I10" s="59">
        <f t="shared" ref="I10" si="8">SUM(I8:I9)</f>
        <v>5.3356595744680844</v>
      </c>
      <c r="J10" s="14">
        <f>J6</f>
        <v>3.53</v>
      </c>
      <c r="K10" s="27">
        <f>J10/I10</f>
        <v>0.66158643570357611</v>
      </c>
      <c r="L10" s="27">
        <f>J10/H10</f>
        <v>0.95015073212747614</v>
      </c>
      <c r="M10" s="27">
        <f>J10/G10</f>
        <v>1.3778494363413318</v>
      </c>
      <c r="P10" s="51"/>
      <c r="Q10" s="51"/>
      <c r="R10" s="45"/>
      <c r="S10" s="51"/>
      <c r="T10" s="51"/>
      <c r="U10" s="51"/>
    </row>
    <row r="11" spans="1:21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46"/>
      <c r="S11" s="51"/>
      <c r="T11" s="51"/>
    </row>
    <row r="12" spans="1:21" x14ac:dyDescent="0.25">
      <c r="A12" s="53"/>
      <c r="B12" s="53"/>
      <c r="C12" s="53"/>
      <c r="D12" s="53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 spans="1:21" x14ac:dyDescent="0.25">
      <c r="A13" s="54"/>
      <c r="B13" s="55"/>
      <c r="C13" s="54"/>
      <c r="D13" s="54"/>
      <c r="E13" s="51"/>
      <c r="F13" s="51"/>
      <c r="G13" s="19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 spans="1:21" x14ac:dyDescent="0.25">
      <c r="A14" s="54"/>
      <c r="B14" s="54"/>
      <c r="C14" s="54"/>
      <c r="D14" s="54"/>
    </row>
    <row r="15" spans="1:21" x14ac:dyDescent="0.25">
      <c r="A15" s="54"/>
      <c r="B15" s="54"/>
      <c r="C15" s="54"/>
      <c r="D15" s="54"/>
    </row>
    <row r="16" spans="1:21" x14ac:dyDescent="0.25">
      <c r="A16" s="54"/>
      <c r="B16" s="54"/>
      <c r="C16" s="54"/>
      <c r="D16" s="54"/>
    </row>
    <row r="17" spans="1:4" x14ac:dyDescent="0.25">
      <c r="A17" s="54"/>
      <c r="B17" s="54"/>
      <c r="C17" s="54"/>
      <c r="D17" s="54"/>
    </row>
    <row r="18" spans="1:4" x14ac:dyDescent="0.25">
      <c r="A18" s="54"/>
      <c r="B18" s="54"/>
      <c r="C18" s="56"/>
      <c r="D18" s="54"/>
    </row>
    <row r="19" spans="1:4" x14ac:dyDescent="0.25">
      <c r="A19" s="54"/>
      <c r="B19" s="54"/>
      <c r="C19" s="54"/>
      <c r="D19" s="54"/>
    </row>
    <row r="20" spans="1:4" x14ac:dyDescent="0.25">
      <c r="A20" s="53"/>
      <c r="B20" s="53"/>
      <c r="C20" s="53"/>
      <c r="D20" s="53"/>
    </row>
    <row r="21" spans="1:4" x14ac:dyDescent="0.25">
      <c r="A21" s="54"/>
      <c r="B21" s="55"/>
      <c r="C21" s="54"/>
      <c r="D21" s="54"/>
    </row>
    <row r="22" spans="1:4" x14ac:dyDescent="0.25">
      <c r="A22" s="54"/>
      <c r="B22" s="54"/>
      <c r="C22" s="54"/>
      <c r="D22" s="54"/>
    </row>
    <row r="23" spans="1:4" x14ac:dyDescent="0.25">
      <c r="A23" s="54"/>
      <c r="B23" s="54"/>
      <c r="C23" s="54"/>
      <c r="D23" s="54"/>
    </row>
    <row r="24" spans="1:4" x14ac:dyDescent="0.25">
      <c r="A24" s="54"/>
      <c r="B24" s="54"/>
      <c r="C24" s="54"/>
      <c r="D24" s="54"/>
    </row>
    <row r="25" spans="1:4" x14ac:dyDescent="0.25">
      <c r="A25" s="54"/>
      <c r="B25" s="54"/>
      <c r="C25" s="56"/>
      <c r="D25" s="54"/>
    </row>
    <row r="26" spans="1:4" x14ac:dyDescent="0.25">
      <c r="A26" s="54"/>
      <c r="B26" s="57"/>
      <c r="C26" s="56"/>
      <c r="D26" s="54"/>
    </row>
    <row r="27" spans="1:4" x14ac:dyDescent="0.25">
      <c r="A27" s="54"/>
      <c r="B27" s="58"/>
      <c r="C27" s="54"/>
      <c r="D27" s="54"/>
    </row>
    <row r="28" spans="1:4" x14ac:dyDescent="0.25">
      <c r="A28" s="54"/>
      <c r="B28" s="54"/>
      <c r="C28" s="55"/>
      <c r="D28" s="54"/>
    </row>
  </sheetData>
  <mergeCells count="10">
    <mergeCell ref="A7:M7"/>
    <mergeCell ref="K1:M1"/>
    <mergeCell ref="S1:U1"/>
    <mergeCell ref="J8:J9"/>
    <mergeCell ref="K8:M9"/>
    <mergeCell ref="N8:O8"/>
    <mergeCell ref="A1:A2"/>
    <mergeCell ref="B1:C1"/>
    <mergeCell ref="D1:F1"/>
    <mergeCell ref="G1:I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2701-ECD9-415A-882C-788B1FA3501A}">
  <dimension ref="A1:H7"/>
  <sheetViews>
    <sheetView workbookViewId="0">
      <selection activeCell="B34" sqref="B34"/>
    </sheetView>
  </sheetViews>
  <sheetFormatPr defaultRowHeight="15" x14ac:dyDescent="0.25"/>
  <cols>
    <col min="1" max="1" width="16.5703125" bestFit="1" customWidth="1"/>
    <col min="2" max="2" width="40.28515625" bestFit="1" customWidth="1"/>
    <col min="3" max="3" width="31.85546875" bestFit="1" customWidth="1"/>
    <col min="4" max="4" width="16.140625" bestFit="1" customWidth="1"/>
    <col min="5" max="5" width="20.28515625" bestFit="1" customWidth="1"/>
    <col min="6" max="6" width="16" bestFit="1" customWidth="1"/>
  </cols>
  <sheetData>
    <row r="1" spans="1:8" x14ac:dyDescent="0.25">
      <c r="A1" s="24" t="s">
        <v>34</v>
      </c>
      <c r="B1" s="24" t="s">
        <v>36</v>
      </c>
      <c r="C1" s="24" t="s">
        <v>37</v>
      </c>
      <c r="D1" s="24" t="s">
        <v>38</v>
      </c>
      <c r="E1" s="24" t="s">
        <v>39</v>
      </c>
      <c r="F1" s="24" t="s">
        <v>40</v>
      </c>
      <c r="G1" s="1"/>
      <c r="H1" s="1"/>
    </row>
    <row r="2" spans="1:8" x14ac:dyDescent="0.25">
      <c r="A2" s="31" t="s">
        <v>32</v>
      </c>
      <c r="B2" s="31">
        <v>33.200000000000003</v>
      </c>
      <c r="C2" s="31">
        <v>7.6</v>
      </c>
      <c r="D2" s="31">
        <v>7.9</v>
      </c>
      <c r="E2" s="32">
        <f>C2/B2</f>
        <v>0.22891566265060237</v>
      </c>
      <c r="F2" s="32">
        <f>D2/B2</f>
        <v>0.23795180722891565</v>
      </c>
      <c r="G2" s="1"/>
      <c r="H2" s="1"/>
    </row>
    <row r="3" spans="1:8" x14ac:dyDescent="0.25">
      <c r="A3" s="33" t="s">
        <v>33</v>
      </c>
      <c r="B3" s="33">
        <v>32.9</v>
      </c>
      <c r="C3" s="33">
        <v>10.199999999999999</v>
      </c>
      <c r="D3" s="33">
        <v>5.8</v>
      </c>
      <c r="E3" s="34">
        <f>C3/B3</f>
        <v>0.3100303951367781</v>
      </c>
      <c r="F3" s="34">
        <f>D3/B3</f>
        <v>0.17629179331306991</v>
      </c>
      <c r="G3" s="1"/>
      <c r="H3" s="1"/>
    </row>
    <row r="4" spans="1:8" x14ac:dyDescent="0.25">
      <c r="A4" s="31" t="s">
        <v>35</v>
      </c>
      <c r="B4" s="31">
        <v>64.599999999999994</v>
      </c>
      <c r="C4" s="31">
        <v>8.9</v>
      </c>
      <c r="D4" s="31">
        <v>11.7</v>
      </c>
      <c r="E4" s="32">
        <f>C4/B4</f>
        <v>0.13777089783281735</v>
      </c>
      <c r="F4" s="32">
        <f>D4/B4</f>
        <v>0.18111455108359134</v>
      </c>
      <c r="G4" s="1"/>
      <c r="H4" s="1"/>
    </row>
    <row r="5" spans="1:8" x14ac:dyDescent="0.25">
      <c r="A5" s="35" t="s">
        <v>42</v>
      </c>
      <c r="B5" s="36">
        <f>AVERAGE(B2:B4)</f>
        <v>43.566666666666663</v>
      </c>
      <c r="C5" s="36">
        <f t="shared" ref="C5:D5" si="0">AVERAGE(C2:C4)</f>
        <v>8.8999999999999986</v>
      </c>
      <c r="D5" s="36">
        <f t="shared" si="0"/>
        <v>8.4666666666666668</v>
      </c>
      <c r="E5" s="37">
        <f>AVERAGE(E2:E4)</f>
        <v>0.22557231854006596</v>
      </c>
      <c r="F5" s="37">
        <f>AVERAGE(F2:F4)</f>
        <v>0.19845271720852564</v>
      </c>
      <c r="G5" s="1"/>
      <c r="H5" s="1"/>
    </row>
    <row r="6" spans="1:8" x14ac:dyDescent="0.25">
      <c r="A6" s="38" t="s">
        <v>43</v>
      </c>
      <c r="B6" s="39">
        <f>_xlfn.STDEV.P(B2:B4)</f>
        <v>14.873316898242834</v>
      </c>
      <c r="C6" s="39">
        <f t="shared" ref="C6:D6" si="1">_xlfn.STDEV.P(C2:C4)</f>
        <v>1.0614455552060551</v>
      </c>
      <c r="D6" s="39">
        <f t="shared" si="1"/>
        <v>2.441766209574991</v>
      </c>
      <c r="E6" s="40">
        <f>_xlfn.STDEV.P(E2:E4)</f>
        <v>7.0364371027930472E-2</v>
      </c>
      <c r="F6" s="40">
        <f>_xlfn.STDEV.P(F2:F4)</f>
        <v>2.7999384903451392E-2</v>
      </c>
    </row>
    <row r="7" spans="1:8" x14ac:dyDescent="0.25">
      <c r="B7" s="30">
        <f>B6/B5</f>
        <v>0.3413921246727506</v>
      </c>
      <c r="C7" s="30">
        <f>C6/C5</f>
        <v>0.11926354552877025</v>
      </c>
      <c r="D7" s="30">
        <f>D6/D5</f>
        <v>0.28839758380806979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MMC</vt:lpstr>
      <vt:lpstr>ACE Estimates v0</vt:lpstr>
      <vt:lpstr>ACE Estimates RM5</vt:lpstr>
      <vt:lpstr>Reference Model Multipliers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Tom, Nathan</dc:creator>
  <cp:lastModifiedBy>Jacob Davis</cp:lastModifiedBy>
  <dcterms:created xsi:type="dcterms:W3CDTF">2019-04-22T18:10:58Z</dcterms:created>
  <dcterms:modified xsi:type="dcterms:W3CDTF">2020-10-13T13:56:02Z</dcterms:modified>
</cp:coreProperties>
</file>