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us Chandra\Documents\UCLA Documents\Rotations\jjacobs_fall2023\tl1a_humanizedmice\metabolomics\03-data\raw_data\Flow files\"/>
    </mc:Choice>
  </mc:AlternateContent>
  <xr:revisionPtr revIDLastSave="0" documentId="13_ncr:1_{7FFC6A04-40E5-4EC9-B961-8AF258F3631C}" xr6:coauthVersionLast="47" xr6:coauthVersionMax="47" xr10:uidLastSave="{00000000-0000-0000-0000-000000000000}"/>
  <bookViews>
    <workbookView xWindow="-108" yWindow="-108" windowWidth="23256" windowHeight="13176" activeTab="6" xr2:uid="{BC2C6D99-3F1F-43A0-8593-2CBA71F33106}"/>
  </bookViews>
  <sheets>
    <sheet name="clean (2)" sheetId="7" r:id="rId1"/>
    <sheet name="Sheet1" sheetId="1" r:id="rId2"/>
    <sheet name="Sheet2" sheetId="2" r:id="rId3"/>
    <sheet name="Sheet4" sheetId="4" r:id="rId4"/>
    <sheet name="Sheet5" sheetId="5" r:id="rId5"/>
    <sheet name="Sheet6" sheetId="6" r:id="rId6"/>
    <sheet name="clean" sheetId="3" r:id="rId7"/>
  </sheets>
  <definedNames>
    <definedName name="_xlnm._FilterDatabase" localSheetId="6" hidden="1">clean!$A$1:$AG$1</definedName>
    <definedName name="_xlnm._FilterDatabase" localSheetId="0" hidden="1">'clean (2)'!$A$1:$AG$1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7" i="7" l="1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E117" i="7"/>
  <c r="D117" i="7"/>
  <c r="C117" i="7"/>
  <c r="B117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E116" i="7"/>
  <c r="D116" i="7"/>
  <c r="C116" i="7"/>
  <c r="B116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E115" i="7"/>
  <c r="D115" i="7"/>
  <c r="C115" i="7"/>
  <c r="B115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E114" i="7"/>
  <c r="D114" i="7"/>
  <c r="C114" i="7"/>
  <c r="B114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E113" i="7"/>
  <c r="D113" i="7"/>
  <c r="C113" i="7"/>
  <c r="B113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E112" i="7"/>
  <c r="D112" i="7"/>
  <c r="C112" i="7"/>
  <c r="B112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E111" i="7"/>
  <c r="D111" i="7"/>
  <c r="C111" i="7"/>
  <c r="B111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E110" i="7"/>
  <c r="D110" i="7"/>
  <c r="C110" i="7"/>
  <c r="B110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E109" i="7"/>
  <c r="D109" i="7"/>
  <c r="C109" i="7"/>
  <c r="B109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E108" i="7"/>
  <c r="D108" i="7"/>
  <c r="C108" i="7"/>
  <c r="B108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E107" i="7"/>
  <c r="D107" i="7"/>
  <c r="C107" i="7"/>
  <c r="B107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E106" i="7"/>
  <c r="D106" i="7"/>
  <c r="C106" i="7"/>
  <c r="B106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E105" i="7"/>
  <c r="D105" i="7"/>
  <c r="C105" i="7"/>
  <c r="B105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E104" i="7"/>
  <c r="D104" i="7"/>
  <c r="C104" i="7"/>
  <c r="B104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E103" i="7"/>
  <c r="D103" i="7"/>
  <c r="C103" i="7"/>
  <c r="B103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E102" i="7"/>
  <c r="D102" i="7"/>
  <c r="C102" i="7"/>
  <c r="B102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E101" i="7"/>
  <c r="D101" i="7"/>
  <c r="C101" i="7"/>
  <c r="B101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E100" i="7"/>
  <c r="D100" i="7"/>
  <c r="C100" i="7"/>
  <c r="B100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E99" i="7"/>
  <c r="D99" i="7"/>
  <c r="C99" i="7"/>
  <c r="B99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E98" i="7"/>
  <c r="D98" i="7"/>
  <c r="C98" i="7"/>
  <c r="B98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E97" i="7"/>
  <c r="D97" i="7"/>
  <c r="C97" i="7"/>
  <c r="B97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E96" i="7"/>
  <c r="D96" i="7"/>
  <c r="C96" i="7"/>
  <c r="B96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E95" i="7"/>
  <c r="D95" i="7"/>
  <c r="C95" i="7"/>
  <c r="B95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E94" i="7"/>
  <c r="D94" i="7"/>
  <c r="C94" i="7"/>
  <c r="B94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E93" i="7"/>
  <c r="D93" i="7"/>
  <c r="C93" i="7"/>
  <c r="B93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E92" i="7"/>
  <c r="D92" i="7"/>
  <c r="C92" i="7"/>
  <c r="B92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E91" i="7"/>
  <c r="D91" i="7"/>
  <c r="C91" i="7"/>
  <c r="B91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E90" i="7"/>
  <c r="D90" i="7"/>
  <c r="C90" i="7"/>
  <c r="B90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E89" i="7"/>
  <c r="D89" i="7"/>
  <c r="C89" i="7"/>
  <c r="B89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E88" i="7"/>
  <c r="D88" i="7"/>
  <c r="C88" i="7"/>
  <c r="B88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E87" i="7"/>
  <c r="D87" i="7"/>
  <c r="C87" i="7"/>
  <c r="B87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E86" i="7"/>
  <c r="D86" i="7"/>
  <c r="C86" i="7"/>
  <c r="B86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E85" i="7"/>
  <c r="D85" i="7"/>
  <c r="C85" i="7"/>
  <c r="B85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E84" i="7"/>
  <c r="D84" i="7"/>
  <c r="C84" i="7"/>
  <c r="B84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E83" i="7"/>
  <c r="D83" i="7"/>
  <c r="C83" i="7"/>
  <c r="B83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E82" i="7"/>
  <c r="D82" i="7"/>
  <c r="C82" i="7"/>
  <c r="B82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E81" i="7"/>
  <c r="D81" i="7"/>
  <c r="C81" i="7"/>
  <c r="B81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E80" i="7"/>
  <c r="D80" i="7"/>
  <c r="C80" i="7"/>
  <c r="B80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E79" i="7"/>
  <c r="D79" i="7"/>
  <c r="C79" i="7"/>
  <c r="B79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E78" i="7"/>
  <c r="D78" i="7"/>
  <c r="C78" i="7"/>
  <c r="B78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E77" i="7"/>
  <c r="D77" i="7"/>
  <c r="C77" i="7"/>
  <c r="B77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E76" i="7"/>
  <c r="D76" i="7"/>
  <c r="C76" i="7"/>
  <c r="B76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E75" i="7"/>
  <c r="D75" i="7"/>
  <c r="C75" i="7"/>
  <c r="B75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E74" i="7"/>
  <c r="D74" i="7"/>
  <c r="C74" i="7"/>
  <c r="B74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E73" i="7"/>
  <c r="D73" i="7"/>
  <c r="C73" i="7"/>
  <c r="B73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E72" i="7"/>
  <c r="D72" i="7"/>
  <c r="C72" i="7"/>
  <c r="B72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E71" i="7"/>
  <c r="D71" i="7"/>
  <c r="C71" i="7"/>
  <c r="B71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E70" i="7"/>
  <c r="D70" i="7"/>
  <c r="C70" i="7"/>
  <c r="B70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E69" i="7"/>
  <c r="D69" i="7"/>
  <c r="C69" i="7"/>
  <c r="B69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E68" i="7"/>
  <c r="D68" i="7"/>
  <c r="C68" i="7"/>
  <c r="B68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E67" i="7"/>
  <c r="D67" i="7"/>
  <c r="C67" i="7"/>
  <c r="B67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E66" i="7"/>
  <c r="D66" i="7"/>
  <c r="C66" i="7"/>
  <c r="B66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E65" i="7"/>
  <c r="D65" i="7"/>
  <c r="C65" i="7"/>
  <c r="B65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E64" i="7"/>
  <c r="D64" i="7"/>
  <c r="C64" i="7"/>
  <c r="B64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E63" i="7"/>
  <c r="D63" i="7"/>
  <c r="C63" i="7"/>
  <c r="B63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E62" i="7"/>
  <c r="D62" i="7"/>
  <c r="C62" i="7"/>
  <c r="B62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E61" i="7"/>
  <c r="D61" i="7"/>
  <c r="C61" i="7"/>
  <c r="B61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E60" i="7"/>
  <c r="D60" i="7"/>
  <c r="C60" i="7"/>
  <c r="B60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E59" i="7"/>
  <c r="D59" i="7"/>
  <c r="C59" i="7"/>
  <c r="B59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E58" i="7"/>
  <c r="D58" i="7"/>
  <c r="C58" i="7"/>
  <c r="B58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E57" i="7"/>
  <c r="D57" i="7"/>
  <c r="C57" i="7"/>
  <c r="B57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E56" i="7"/>
  <c r="D56" i="7"/>
  <c r="C56" i="7"/>
  <c r="B56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E55" i="7"/>
  <c r="D55" i="7"/>
  <c r="C55" i="7"/>
  <c r="B55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E54" i="7"/>
  <c r="D54" i="7"/>
  <c r="C54" i="7"/>
  <c r="B54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E53" i="7"/>
  <c r="D53" i="7"/>
  <c r="C53" i="7"/>
  <c r="B53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E52" i="7"/>
  <c r="D52" i="7"/>
  <c r="C52" i="7"/>
  <c r="B52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E51" i="7"/>
  <c r="D51" i="7"/>
  <c r="C51" i="7"/>
  <c r="B51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E50" i="7"/>
  <c r="D50" i="7"/>
  <c r="C50" i="7"/>
  <c r="B50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E49" i="7"/>
  <c r="D49" i="7"/>
  <c r="C49" i="7"/>
  <c r="B49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E48" i="7"/>
  <c r="D48" i="7"/>
  <c r="C48" i="7"/>
  <c r="B48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E47" i="7"/>
  <c r="D47" i="7"/>
  <c r="C47" i="7"/>
  <c r="B47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E46" i="7"/>
  <c r="D46" i="7"/>
  <c r="C46" i="7"/>
  <c r="B46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E45" i="7"/>
  <c r="D45" i="7"/>
  <c r="C45" i="7"/>
  <c r="B45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E44" i="7"/>
  <c r="D44" i="7"/>
  <c r="C44" i="7"/>
  <c r="B44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E43" i="7"/>
  <c r="D43" i="7"/>
  <c r="C43" i="7"/>
  <c r="B43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E42" i="7"/>
  <c r="D42" i="7"/>
  <c r="C42" i="7"/>
  <c r="B42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E41" i="7"/>
  <c r="D41" i="7"/>
  <c r="C41" i="7"/>
  <c r="B41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E40" i="7"/>
  <c r="D40" i="7"/>
  <c r="C40" i="7"/>
  <c r="B40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E39" i="7"/>
  <c r="D39" i="7"/>
  <c r="C39" i="7"/>
  <c r="B39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E38" i="7"/>
  <c r="D38" i="7"/>
  <c r="C38" i="7"/>
  <c r="B38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E37" i="7"/>
  <c r="D37" i="7"/>
  <c r="C37" i="7"/>
  <c r="B37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E36" i="7"/>
  <c r="D36" i="7"/>
  <c r="C36" i="7"/>
  <c r="B36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E35" i="7"/>
  <c r="D35" i="7"/>
  <c r="C35" i="7"/>
  <c r="B35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E34" i="7"/>
  <c r="D34" i="7"/>
  <c r="C34" i="7"/>
  <c r="B34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E33" i="7"/>
  <c r="D33" i="7"/>
  <c r="C33" i="7"/>
  <c r="B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E32" i="7"/>
  <c r="D32" i="7"/>
  <c r="C32" i="7"/>
  <c r="B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E31" i="7"/>
  <c r="D31" i="7"/>
  <c r="C31" i="7"/>
  <c r="B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E30" i="7"/>
  <c r="D30" i="7"/>
  <c r="C30" i="7"/>
  <c r="B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E29" i="7"/>
  <c r="D29" i="7"/>
  <c r="C29" i="7"/>
  <c r="B29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E28" i="7"/>
  <c r="D28" i="7"/>
  <c r="C28" i="7"/>
  <c r="B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E27" i="7"/>
  <c r="D27" i="7"/>
  <c r="C27" i="7"/>
  <c r="B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E26" i="7"/>
  <c r="D26" i="7"/>
  <c r="C26" i="7"/>
  <c r="B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E25" i="7"/>
  <c r="D25" i="7"/>
  <c r="C25" i="7"/>
  <c r="B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E24" i="7"/>
  <c r="D24" i="7"/>
  <c r="C24" i="7"/>
  <c r="B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E23" i="7"/>
  <c r="D23" i="7"/>
  <c r="C23" i="7"/>
  <c r="B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E22" i="7"/>
  <c r="D22" i="7"/>
  <c r="C22" i="7"/>
  <c r="B22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E21" i="7"/>
  <c r="D21" i="7"/>
  <c r="C21" i="7"/>
  <c r="B21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E20" i="7"/>
  <c r="D20" i="7"/>
  <c r="C20" i="7"/>
  <c r="B20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E19" i="7"/>
  <c r="D19" i="7"/>
  <c r="C19" i="7"/>
  <c r="B19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E18" i="7"/>
  <c r="D18" i="7"/>
  <c r="C18" i="7"/>
  <c r="B18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E17" i="7"/>
  <c r="D17" i="7"/>
  <c r="C17" i="7"/>
  <c r="B17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E16" i="7"/>
  <c r="D16" i="7"/>
  <c r="C16" i="7"/>
  <c r="B16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E15" i="7"/>
  <c r="D15" i="7"/>
  <c r="C15" i="7"/>
  <c r="B15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E14" i="7"/>
  <c r="D14" i="7"/>
  <c r="C14" i="7"/>
  <c r="B14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E13" i="7"/>
  <c r="D13" i="7"/>
  <c r="C13" i="7"/>
  <c r="B13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E12" i="7"/>
  <c r="D12" i="7"/>
  <c r="C12" i="7"/>
  <c r="B12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E11" i="7"/>
  <c r="D11" i="7"/>
  <c r="C11" i="7"/>
  <c r="B11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E10" i="7"/>
  <c r="D10" i="7"/>
  <c r="C10" i="7"/>
  <c r="B10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E9" i="7"/>
  <c r="D9" i="7"/>
  <c r="C9" i="7"/>
  <c r="B9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E8" i="7"/>
  <c r="D8" i="7"/>
  <c r="C8" i="7"/>
  <c r="B8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E7" i="7"/>
  <c r="D7" i="7"/>
  <c r="C7" i="7"/>
  <c r="B7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E6" i="7"/>
  <c r="D6" i="7"/>
  <c r="C6" i="7"/>
  <c r="B6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E5" i="7"/>
  <c r="D5" i="7"/>
  <c r="C5" i="7"/>
  <c r="B5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E4" i="7"/>
  <c r="D4" i="7"/>
  <c r="C4" i="7"/>
  <c r="B4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E3" i="7"/>
  <c r="D3" i="7"/>
  <c r="C3" i="7"/>
  <c r="B3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E2" i="7"/>
  <c r="D2" i="7"/>
  <c r="C2" i="7"/>
  <c r="B2" i="7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E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2" i="3"/>
  <c r="AC101" i="1"/>
  <c r="AD101" i="1" s="1"/>
  <c r="AF101" i="1"/>
  <c r="AI101" i="1"/>
  <c r="AJ101" i="1" s="1"/>
  <c r="AK101" i="1"/>
  <c r="AP101" i="1"/>
  <c r="AQ101" i="1"/>
  <c r="AR101" i="1"/>
  <c r="AV101" i="1"/>
  <c r="AW101" i="1"/>
  <c r="AX101" i="1"/>
  <c r="AY101" i="1"/>
  <c r="AC102" i="1"/>
  <c r="AD102" i="1" s="1"/>
  <c r="AE102" i="1"/>
  <c r="AF102" i="1"/>
  <c r="AI102" i="1"/>
  <c r="AJ102" i="1"/>
  <c r="AK102" i="1"/>
  <c r="AL102" i="1"/>
  <c r="AP102" i="1"/>
  <c r="AQ102" i="1"/>
  <c r="AR102" i="1"/>
  <c r="AV102" i="1"/>
  <c r="AW102" i="1" s="1"/>
  <c r="AX102" i="1"/>
  <c r="AC103" i="1"/>
  <c r="AE103" i="1" s="1"/>
  <c r="AD103" i="1"/>
  <c r="AF103" i="1"/>
  <c r="AI103" i="1"/>
  <c r="AJ103" i="1" s="1"/>
  <c r="AL103" i="1"/>
  <c r="AP103" i="1"/>
  <c r="AQ103" i="1"/>
  <c r="AR103" i="1"/>
  <c r="AV103" i="1"/>
  <c r="AX103" i="1" s="1"/>
  <c r="AW103" i="1"/>
  <c r="AY103" i="1"/>
  <c r="AC104" i="1"/>
  <c r="AD104" i="1" s="1"/>
  <c r="AE104" i="1"/>
  <c r="AF104" i="1"/>
  <c r="AI104" i="1"/>
  <c r="AK104" i="1" s="1"/>
  <c r="AJ104" i="1"/>
  <c r="AP104" i="1"/>
  <c r="AQ104" i="1"/>
  <c r="AR104" i="1"/>
  <c r="AV104" i="1"/>
  <c r="AW104" i="1" s="1"/>
  <c r="AX104" i="1"/>
  <c r="AY104" i="1"/>
  <c r="AC105" i="1"/>
  <c r="AE105" i="1" s="1"/>
  <c r="AD105" i="1"/>
  <c r="AI105" i="1"/>
  <c r="AK105" i="1" s="1"/>
  <c r="AJ105" i="1"/>
  <c r="AL105" i="1"/>
  <c r="AP105" i="1"/>
  <c r="AQ105" i="1"/>
  <c r="AR105" i="1"/>
  <c r="AV105" i="1"/>
  <c r="AW105" i="1" s="1"/>
  <c r="AC106" i="1"/>
  <c r="AE106" i="1" s="1"/>
  <c r="AD106" i="1"/>
  <c r="AF106" i="1"/>
  <c r="AI106" i="1"/>
  <c r="AL106" i="1" s="1"/>
  <c r="AK106" i="1"/>
  <c r="AP106" i="1"/>
  <c r="AQ106" i="1"/>
  <c r="AR106" i="1"/>
  <c r="AV106" i="1"/>
  <c r="AY106" i="1" s="1"/>
  <c r="AW106" i="1"/>
  <c r="AX106" i="1"/>
  <c r="BJ278" i="1"/>
  <c r="BL278" i="1"/>
  <c r="BN278" i="1"/>
  <c r="AX92" i="1"/>
  <c r="BM398" i="1"/>
  <c r="BN398" i="1" s="1"/>
  <c r="BL398" i="1"/>
  <c r="BJ398" i="1"/>
  <c r="AV398" i="1"/>
  <c r="AU398" i="1"/>
  <c r="AS398" i="1"/>
  <c r="AW398" i="1" s="1"/>
  <c r="BM397" i="1"/>
  <c r="BN397" i="1" s="1"/>
  <c r="BL397" i="1"/>
  <c r="BJ397" i="1"/>
  <c r="AV397" i="1"/>
  <c r="AU397" i="1"/>
  <c r="AS397" i="1"/>
  <c r="AW397" i="1" s="1"/>
  <c r="AE397" i="1"/>
  <c r="AD397" i="1"/>
  <c r="AB397" i="1"/>
  <c r="AF397" i="1" s="1"/>
  <c r="O397" i="1"/>
  <c r="N397" i="1"/>
  <c r="L397" i="1"/>
  <c r="P397" i="1" s="1"/>
  <c r="BM396" i="1"/>
  <c r="BL396" i="1"/>
  <c r="BJ396" i="1"/>
  <c r="AV396" i="1"/>
  <c r="AU396" i="1"/>
  <c r="AS396" i="1"/>
  <c r="AW396" i="1" s="1"/>
  <c r="AE396" i="1"/>
  <c r="AD396" i="1"/>
  <c r="AB396" i="1"/>
  <c r="AF396" i="1" s="1"/>
  <c r="O396" i="1"/>
  <c r="N396" i="1"/>
  <c r="L396" i="1"/>
  <c r="P396" i="1" s="1"/>
  <c r="BM395" i="1"/>
  <c r="BN395" i="1" s="1"/>
  <c r="BL395" i="1"/>
  <c r="BJ395" i="1"/>
  <c r="AV395" i="1"/>
  <c r="AU395" i="1"/>
  <c r="AS395" i="1"/>
  <c r="AW395" i="1" s="1"/>
  <c r="AE395" i="1"/>
  <c r="AD395" i="1"/>
  <c r="AB395" i="1"/>
  <c r="AF395" i="1" s="1"/>
  <c r="O395" i="1"/>
  <c r="N395" i="1"/>
  <c r="L395" i="1"/>
  <c r="P395" i="1" s="1"/>
  <c r="BM394" i="1"/>
  <c r="BL394" i="1"/>
  <c r="BJ394" i="1"/>
  <c r="AV394" i="1"/>
  <c r="AU394" i="1"/>
  <c r="AS394" i="1"/>
  <c r="AW394" i="1" s="1"/>
  <c r="AE394" i="1"/>
  <c r="AD394" i="1"/>
  <c r="AB394" i="1"/>
  <c r="AF394" i="1" s="1"/>
  <c r="BM393" i="1"/>
  <c r="BN393" i="1" s="1"/>
  <c r="BL393" i="1"/>
  <c r="BJ393" i="1"/>
  <c r="AV393" i="1"/>
  <c r="AU393" i="1"/>
  <c r="AS393" i="1"/>
  <c r="AW393" i="1" s="1"/>
  <c r="AE393" i="1"/>
  <c r="AD393" i="1"/>
  <c r="AB393" i="1"/>
  <c r="AF393" i="1" s="1"/>
  <c r="O393" i="1"/>
  <c r="N393" i="1"/>
  <c r="L393" i="1"/>
  <c r="P393" i="1" s="1"/>
  <c r="BM392" i="1"/>
  <c r="BN392" i="1" s="1"/>
  <c r="BL392" i="1"/>
  <c r="BJ392" i="1"/>
  <c r="AV392" i="1"/>
  <c r="AU392" i="1"/>
  <c r="AS392" i="1"/>
  <c r="AW392" i="1" s="1"/>
  <c r="AE392" i="1"/>
  <c r="AD392" i="1"/>
  <c r="AB392" i="1"/>
  <c r="AF392" i="1" s="1"/>
  <c r="O392" i="1"/>
  <c r="N392" i="1"/>
  <c r="L392" i="1"/>
  <c r="P392" i="1" s="1"/>
  <c r="AE391" i="1"/>
  <c r="AD391" i="1"/>
  <c r="AB391" i="1"/>
  <c r="AF391" i="1" s="1"/>
  <c r="BM390" i="1"/>
  <c r="BL390" i="1"/>
  <c r="BN390" i="1" s="1"/>
  <c r="BJ390" i="1"/>
  <c r="AV390" i="1"/>
  <c r="AU390" i="1"/>
  <c r="AS390" i="1"/>
  <c r="AW390" i="1" s="1"/>
  <c r="AE390" i="1"/>
  <c r="AD390" i="1"/>
  <c r="AB390" i="1"/>
  <c r="AF390" i="1" s="1"/>
  <c r="BM389" i="1"/>
  <c r="BL389" i="1"/>
  <c r="BJ389" i="1"/>
  <c r="AV389" i="1"/>
  <c r="AU389" i="1"/>
  <c r="AS389" i="1"/>
  <c r="AW389" i="1" s="1"/>
  <c r="AE389" i="1"/>
  <c r="AD389" i="1"/>
  <c r="AB389" i="1"/>
  <c r="AF389" i="1" s="1"/>
  <c r="O389" i="1"/>
  <c r="N389" i="1"/>
  <c r="L389" i="1"/>
  <c r="P389" i="1" s="1"/>
  <c r="BM388" i="1"/>
  <c r="BN388" i="1" s="1"/>
  <c r="BL388" i="1"/>
  <c r="BJ388" i="1"/>
  <c r="AV388" i="1"/>
  <c r="AU388" i="1"/>
  <c r="AS388" i="1"/>
  <c r="AW388" i="1" s="1"/>
  <c r="AE388" i="1"/>
  <c r="AD388" i="1"/>
  <c r="AB388" i="1"/>
  <c r="AF388" i="1" s="1"/>
  <c r="BM387" i="1"/>
  <c r="BN387" i="1" s="1"/>
  <c r="BL387" i="1"/>
  <c r="BJ387" i="1"/>
  <c r="AV387" i="1"/>
  <c r="AU387" i="1"/>
  <c r="AS387" i="1"/>
  <c r="AW387" i="1" s="1"/>
  <c r="AE387" i="1"/>
  <c r="AD387" i="1"/>
  <c r="AB387" i="1"/>
  <c r="AF387" i="1" s="1"/>
  <c r="O387" i="1"/>
  <c r="N387" i="1"/>
  <c r="L387" i="1"/>
  <c r="P387" i="1" s="1"/>
  <c r="BM386" i="1"/>
  <c r="BN386" i="1" s="1"/>
  <c r="BL386" i="1"/>
  <c r="BJ386" i="1"/>
  <c r="AV386" i="1"/>
  <c r="AU386" i="1"/>
  <c r="AS386" i="1"/>
  <c r="AW386" i="1" s="1"/>
  <c r="AE386" i="1"/>
  <c r="AD386" i="1"/>
  <c r="AB386" i="1"/>
  <c r="AF386" i="1" s="1"/>
  <c r="O386" i="1"/>
  <c r="N386" i="1"/>
  <c r="L386" i="1"/>
  <c r="P386" i="1" s="1"/>
  <c r="BM385" i="1"/>
  <c r="BL385" i="1"/>
  <c r="BN385" i="1" s="1"/>
  <c r="BJ385" i="1"/>
  <c r="AV385" i="1"/>
  <c r="AU385" i="1"/>
  <c r="AS385" i="1"/>
  <c r="AW385" i="1" s="1"/>
  <c r="AE385" i="1"/>
  <c r="AD385" i="1"/>
  <c r="AB385" i="1"/>
  <c r="AF385" i="1" s="1"/>
  <c r="O385" i="1"/>
  <c r="N385" i="1"/>
  <c r="L385" i="1"/>
  <c r="P385" i="1" s="1"/>
  <c r="BM384" i="1"/>
  <c r="BL384" i="1"/>
  <c r="BN384" i="1" s="1"/>
  <c r="BJ384" i="1"/>
  <c r="AV384" i="1"/>
  <c r="AU384" i="1"/>
  <c r="AS384" i="1"/>
  <c r="AW384" i="1" s="1"/>
  <c r="AE384" i="1"/>
  <c r="AD384" i="1"/>
  <c r="AB384" i="1"/>
  <c r="AF384" i="1" s="1"/>
  <c r="O384" i="1"/>
  <c r="N384" i="1"/>
  <c r="L384" i="1"/>
  <c r="P384" i="1" s="1"/>
  <c r="BM383" i="1"/>
  <c r="BL383" i="1"/>
  <c r="BN383" i="1" s="1"/>
  <c r="BJ383" i="1"/>
  <c r="AV383" i="1"/>
  <c r="AU383" i="1"/>
  <c r="AS383" i="1"/>
  <c r="AW383" i="1" s="1"/>
  <c r="AE383" i="1"/>
  <c r="AD383" i="1"/>
  <c r="AB383" i="1"/>
  <c r="AF383" i="1" s="1"/>
  <c r="O383" i="1"/>
  <c r="N383" i="1"/>
  <c r="L383" i="1"/>
  <c r="P383" i="1" s="1"/>
  <c r="BM382" i="1"/>
  <c r="BL382" i="1"/>
  <c r="BN382" i="1" s="1"/>
  <c r="BJ382" i="1"/>
  <c r="AV382" i="1"/>
  <c r="AU382" i="1"/>
  <c r="AS382" i="1"/>
  <c r="AW382" i="1" s="1"/>
  <c r="AE382" i="1"/>
  <c r="AD382" i="1"/>
  <c r="AB382" i="1"/>
  <c r="AF382" i="1" s="1"/>
  <c r="O382" i="1"/>
  <c r="N382" i="1"/>
  <c r="L382" i="1"/>
  <c r="P382" i="1" s="1"/>
  <c r="BM381" i="1"/>
  <c r="BL381" i="1"/>
  <c r="BN381" i="1" s="1"/>
  <c r="BJ381" i="1"/>
  <c r="AV381" i="1"/>
  <c r="AU381" i="1"/>
  <c r="AS381" i="1"/>
  <c r="AW381" i="1" s="1"/>
  <c r="AE381" i="1"/>
  <c r="AD381" i="1"/>
  <c r="AB381" i="1"/>
  <c r="AF381" i="1" s="1"/>
  <c r="O381" i="1"/>
  <c r="N381" i="1"/>
  <c r="L381" i="1"/>
  <c r="P381" i="1" s="1"/>
  <c r="BM380" i="1"/>
  <c r="BL380" i="1"/>
  <c r="BN380" i="1" s="1"/>
  <c r="BJ380" i="1"/>
  <c r="AV380" i="1"/>
  <c r="AU380" i="1"/>
  <c r="AS380" i="1"/>
  <c r="AW380" i="1" s="1"/>
  <c r="AE380" i="1"/>
  <c r="AD380" i="1"/>
  <c r="AB380" i="1"/>
  <c r="AF380" i="1" s="1"/>
  <c r="O380" i="1"/>
  <c r="N380" i="1"/>
  <c r="L380" i="1"/>
  <c r="P380" i="1" s="1"/>
  <c r="BM379" i="1"/>
  <c r="BL379" i="1"/>
  <c r="BN379" i="1" s="1"/>
  <c r="BJ379" i="1"/>
  <c r="AV379" i="1"/>
  <c r="AU379" i="1"/>
  <c r="AS379" i="1"/>
  <c r="AW379" i="1" s="1"/>
  <c r="AE379" i="1"/>
  <c r="AD379" i="1"/>
  <c r="AB379" i="1"/>
  <c r="AF379" i="1" s="1"/>
  <c r="O379" i="1"/>
  <c r="N379" i="1"/>
  <c r="L379" i="1"/>
  <c r="P379" i="1" s="1"/>
  <c r="AV378" i="1"/>
  <c r="AU378" i="1"/>
  <c r="AS378" i="1"/>
  <c r="AW378" i="1" s="1"/>
  <c r="AE378" i="1"/>
  <c r="AD378" i="1"/>
  <c r="AB378" i="1"/>
  <c r="AF378" i="1" s="1"/>
  <c r="O378" i="1"/>
  <c r="N378" i="1"/>
  <c r="L378" i="1"/>
  <c r="P378" i="1" s="1"/>
  <c r="BM377" i="1"/>
  <c r="BN377" i="1" s="1"/>
  <c r="BL377" i="1"/>
  <c r="BJ377" i="1"/>
  <c r="AV377" i="1"/>
  <c r="AU377" i="1"/>
  <c r="AS377" i="1"/>
  <c r="AW377" i="1" s="1"/>
  <c r="AE377" i="1"/>
  <c r="AD377" i="1"/>
  <c r="AB377" i="1"/>
  <c r="AF377" i="1" s="1"/>
  <c r="O377" i="1"/>
  <c r="N377" i="1"/>
  <c r="L377" i="1"/>
  <c r="P377" i="1" s="1"/>
  <c r="BM376" i="1"/>
  <c r="BN376" i="1" s="1"/>
  <c r="BL376" i="1"/>
  <c r="BJ376" i="1"/>
  <c r="AV376" i="1"/>
  <c r="AU376" i="1"/>
  <c r="AS376" i="1"/>
  <c r="AW376" i="1" s="1"/>
  <c r="AE376" i="1"/>
  <c r="AD376" i="1"/>
  <c r="AB376" i="1"/>
  <c r="AF376" i="1" s="1"/>
  <c r="BM375" i="1"/>
  <c r="BN375" i="1" s="1"/>
  <c r="BL375" i="1"/>
  <c r="BJ375" i="1"/>
  <c r="AV375" i="1"/>
  <c r="AU375" i="1"/>
  <c r="AS375" i="1"/>
  <c r="AW375" i="1" s="1"/>
  <c r="AE375" i="1"/>
  <c r="AD375" i="1"/>
  <c r="AB375" i="1"/>
  <c r="AF375" i="1" s="1"/>
  <c r="O375" i="1"/>
  <c r="N375" i="1"/>
  <c r="L375" i="1"/>
  <c r="P375" i="1" s="1"/>
  <c r="AV374" i="1"/>
  <c r="AU374" i="1"/>
  <c r="AS374" i="1"/>
  <c r="AW374" i="1" s="1"/>
  <c r="AE374" i="1"/>
  <c r="AD374" i="1"/>
  <c r="AB374" i="1"/>
  <c r="AF374" i="1" s="1"/>
  <c r="O374" i="1"/>
  <c r="N374" i="1"/>
  <c r="L374" i="1"/>
  <c r="P374" i="1" s="1"/>
  <c r="BM373" i="1"/>
  <c r="BN373" i="1" s="1"/>
  <c r="BL373" i="1"/>
  <c r="BJ373" i="1"/>
  <c r="AV373" i="1"/>
  <c r="AU373" i="1"/>
  <c r="AS373" i="1"/>
  <c r="AW373" i="1" s="1"/>
  <c r="AE373" i="1"/>
  <c r="AD373" i="1"/>
  <c r="AB373" i="1"/>
  <c r="AF373" i="1" s="1"/>
  <c r="O373" i="1"/>
  <c r="N373" i="1"/>
  <c r="L373" i="1"/>
  <c r="P373" i="1" s="1"/>
  <c r="BM372" i="1"/>
  <c r="BL372" i="1"/>
  <c r="BJ372" i="1"/>
  <c r="AV372" i="1"/>
  <c r="AU372" i="1"/>
  <c r="AS372" i="1"/>
  <c r="AW372" i="1" s="1"/>
  <c r="AE372" i="1"/>
  <c r="AD372" i="1"/>
  <c r="AB372" i="1"/>
  <c r="AF372" i="1" s="1"/>
  <c r="O372" i="1"/>
  <c r="N372" i="1"/>
  <c r="L372" i="1"/>
  <c r="P372" i="1" s="1"/>
  <c r="AV371" i="1"/>
  <c r="AU371" i="1"/>
  <c r="AS371" i="1"/>
  <c r="AW371" i="1" s="1"/>
  <c r="AE371" i="1"/>
  <c r="AD371" i="1"/>
  <c r="AB371" i="1"/>
  <c r="AF371" i="1" s="1"/>
  <c r="O371" i="1"/>
  <c r="N371" i="1"/>
  <c r="L371" i="1"/>
  <c r="P371" i="1" s="1"/>
  <c r="BM370" i="1"/>
  <c r="BL370" i="1"/>
  <c r="BJ370" i="1"/>
  <c r="AV370" i="1"/>
  <c r="AU370" i="1"/>
  <c r="AS370" i="1"/>
  <c r="AW370" i="1" s="1"/>
  <c r="AE370" i="1"/>
  <c r="AD370" i="1"/>
  <c r="AB370" i="1"/>
  <c r="AF370" i="1" s="1"/>
  <c r="O370" i="1"/>
  <c r="N370" i="1"/>
  <c r="L370" i="1"/>
  <c r="P370" i="1" s="1"/>
  <c r="BM369" i="1"/>
  <c r="BN369" i="1" s="1"/>
  <c r="BL369" i="1"/>
  <c r="BJ369" i="1"/>
  <c r="AV369" i="1"/>
  <c r="AU369" i="1"/>
  <c r="AS369" i="1"/>
  <c r="AW369" i="1" s="1"/>
  <c r="AE369" i="1"/>
  <c r="AD369" i="1"/>
  <c r="AB369" i="1"/>
  <c r="AF369" i="1" s="1"/>
  <c r="O369" i="1"/>
  <c r="N369" i="1"/>
  <c r="L369" i="1"/>
  <c r="P369" i="1" s="1"/>
  <c r="AV364" i="1"/>
  <c r="AU364" i="1"/>
  <c r="AS364" i="1"/>
  <c r="AW364" i="1" s="1"/>
  <c r="AE364" i="1"/>
  <c r="AD364" i="1"/>
  <c r="AB364" i="1"/>
  <c r="AF364" i="1" s="1"/>
  <c r="AE363" i="1"/>
  <c r="AD363" i="1"/>
  <c r="AB363" i="1"/>
  <c r="AF363" i="1" s="1"/>
  <c r="O363" i="1"/>
  <c r="N363" i="1"/>
  <c r="L363" i="1"/>
  <c r="P363" i="1" s="1"/>
  <c r="BM362" i="1"/>
  <c r="BN362" i="1" s="1"/>
  <c r="BL362" i="1"/>
  <c r="BJ362" i="1"/>
  <c r="O362" i="1"/>
  <c r="N362" i="1"/>
  <c r="L362" i="1"/>
  <c r="P362" i="1" s="1"/>
  <c r="AV361" i="1"/>
  <c r="AU361" i="1"/>
  <c r="AS361" i="1"/>
  <c r="AW361" i="1" s="1"/>
  <c r="O361" i="1"/>
  <c r="N361" i="1"/>
  <c r="L361" i="1"/>
  <c r="P361" i="1" s="1"/>
  <c r="BM360" i="1"/>
  <c r="BN360" i="1" s="1"/>
  <c r="BL360" i="1"/>
  <c r="BJ360" i="1"/>
  <c r="AV360" i="1"/>
  <c r="AU360" i="1"/>
  <c r="AS360" i="1"/>
  <c r="AW360" i="1" s="1"/>
  <c r="AE360" i="1"/>
  <c r="AD360" i="1"/>
  <c r="AB360" i="1"/>
  <c r="AF360" i="1" s="1"/>
  <c r="O360" i="1"/>
  <c r="N360" i="1"/>
  <c r="L360" i="1"/>
  <c r="P360" i="1" s="1"/>
  <c r="BM359" i="1"/>
  <c r="BL359" i="1"/>
  <c r="BJ359" i="1"/>
  <c r="AV359" i="1"/>
  <c r="AU359" i="1"/>
  <c r="AS359" i="1"/>
  <c r="AW359" i="1" s="1"/>
  <c r="AE359" i="1"/>
  <c r="AD359" i="1"/>
  <c r="AB359" i="1"/>
  <c r="AF359" i="1" s="1"/>
  <c r="O359" i="1"/>
  <c r="N359" i="1"/>
  <c r="L359" i="1"/>
  <c r="P359" i="1" s="1"/>
  <c r="BM358" i="1"/>
  <c r="BN358" i="1" s="1"/>
  <c r="BL358" i="1"/>
  <c r="BJ358" i="1"/>
  <c r="AE358" i="1"/>
  <c r="AD358" i="1"/>
  <c r="AB358" i="1"/>
  <c r="AF358" i="1" s="1"/>
  <c r="O358" i="1"/>
  <c r="N358" i="1"/>
  <c r="L358" i="1"/>
  <c r="P358" i="1" s="1"/>
  <c r="AV357" i="1"/>
  <c r="AU357" i="1"/>
  <c r="AS357" i="1"/>
  <c r="AW357" i="1" s="1"/>
  <c r="BM355" i="1"/>
  <c r="BN355" i="1" s="1"/>
  <c r="BL355" i="1"/>
  <c r="BJ355" i="1"/>
  <c r="AV355" i="1"/>
  <c r="AU355" i="1"/>
  <c r="AS355" i="1"/>
  <c r="AW355" i="1" s="1"/>
  <c r="AE355" i="1"/>
  <c r="AD355" i="1"/>
  <c r="AB355" i="1"/>
  <c r="AF355" i="1" s="1"/>
  <c r="O355" i="1"/>
  <c r="N355" i="1"/>
  <c r="L355" i="1"/>
  <c r="P355" i="1" s="1"/>
  <c r="BM354" i="1"/>
  <c r="BL354" i="1"/>
  <c r="BJ354" i="1"/>
  <c r="AV354" i="1"/>
  <c r="AU354" i="1"/>
  <c r="AS354" i="1"/>
  <c r="AW354" i="1" s="1"/>
  <c r="AE354" i="1"/>
  <c r="AD354" i="1"/>
  <c r="AB354" i="1"/>
  <c r="AF354" i="1" s="1"/>
  <c r="O354" i="1"/>
  <c r="N354" i="1"/>
  <c r="L354" i="1"/>
  <c r="P354" i="1" s="1"/>
  <c r="BM353" i="1"/>
  <c r="BN353" i="1" s="1"/>
  <c r="BL353" i="1"/>
  <c r="BJ353" i="1"/>
  <c r="AV353" i="1"/>
  <c r="AU353" i="1"/>
  <c r="AS353" i="1"/>
  <c r="AW353" i="1" s="1"/>
  <c r="AE353" i="1"/>
  <c r="AD353" i="1"/>
  <c r="AB353" i="1"/>
  <c r="AF353" i="1" s="1"/>
  <c r="O353" i="1"/>
  <c r="N353" i="1"/>
  <c r="L353" i="1"/>
  <c r="P353" i="1" s="1"/>
  <c r="BM352" i="1"/>
  <c r="BL352" i="1"/>
  <c r="BJ352" i="1"/>
  <c r="AV352" i="1"/>
  <c r="AU352" i="1"/>
  <c r="AS352" i="1"/>
  <c r="AW352" i="1" s="1"/>
  <c r="AE352" i="1"/>
  <c r="AD352" i="1"/>
  <c r="AB352" i="1"/>
  <c r="AF352" i="1" s="1"/>
  <c r="O352" i="1"/>
  <c r="N352" i="1"/>
  <c r="L352" i="1"/>
  <c r="P352" i="1" s="1"/>
  <c r="BM351" i="1"/>
  <c r="BN351" i="1" s="1"/>
  <c r="BL351" i="1"/>
  <c r="BJ351" i="1"/>
  <c r="AV351" i="1"/>
  <c r="AU351" i="1"/>
  <c r="AS351" i="1"/>
  <c r="AW351" i="1" s="1"/>
  <c r="AE351" i="1"/>
  <c r="AD351" i="1"/>
  <c r="AB351" i="1"/>
  <c r="AF351" i="1" s="1"/>
  <c r="O351" i="1"/>
  <c r="N351" i="1"/>
  <c r="L351" i="1"/>
  <c r="P351" i="1" s="1"/>
  <c r="AV350" i="1"/>
  <c r="AU350" i="1"/>
  <c r="AS350" i="1"/>
  <c r="AW350" i="1" s="1"/>
  <c r="AE350" i="1"/>
  <c r="AD350" i="1"/>
  <c r="AB350" i="1"/>
  <c r="AF350" i="1" s="1"/>
  <c r="O350" i="1"/>
  <c r="N350" i="1"/>
  <c r="L350" i="1"/>
  <c r="P350" i="1" s="1"/>
  <c r="BM349" i="1"/>
  <c r="BN349" i="1" s="1"/>
  <c r="BL349" i="1"/>
  <c r="BJ349" i="1"/>
  <c r="AV349" i="1"/>
  <c r="AU349" i="1"/>
  <c r="AS349" i="1"/>
  <c r="AW349" i="1" s="1"/>
  <c r="AE349" i="1"/>
  <c r="AD349" i="1"/>
  <c r="AB349" i="1"/>
  <c r="AF349" i="1" s="1"/>
  <c r="O349" i="1"/>
  <c r="N349" i="1"/>
  <c r="L349" i="1"/>
  <c r="P349" i="1" s="1"/>
  <c r="BM348" i="1"/>
  <c r="BN348" i="1" s="1"/>
  <c r="BL348" i="1"/>
  <c r="BJ348" i="1"/>
  <c r="AE348" i="1"/>
  <c r="AD348" i="1"/>
  <c r="AB348" i="1"/>
  <c r="AF348" i="1" s="1"/>
  <c r="O348" i="1"/>
  <c r="N348" i="1"/>
  <c r="L348" i="1"/>
  <c r="P348" i="1" s="1"/>
  <c r="BM347" i="1"/>
  <c r="BN347" i="1" s="1"/>
  <c r="BL347" i="1"/>
  <c r="BJ347" i="1"/>
  <c r="AV347" i="1"/>
  <c r="AU347" i="1"/>
  <c r="AS347" i="1"/>
  <c r="AW347" i="1" s="1"/>
  <c r="AE347" i="1"/>
  <c r="AD347" i="1"/>
  <c r="AB347" i="1"/>
  <c r="AF347" i="1" s="1"/>
  <c r="BM346" i="1"/>
  <c r="BN346" i="1" s="1"/>
  <c r="BL346" i="1"/>
  <c r="BJ346" i="1"/>
  <c r="AV346" i="1"/>
  <c r="AU346" i="1"/>
  <c r="AS346" i="1"/>
  <c r="AW346" i="1" s="1"/>
  <c r="AE346" i="1"/>
  <c r="AD346" i="1"/>
  <c r="AB346" i="1"/>
  <c r="AF346" i="1" s="1"/>
  <c r="O345" i="1"/>
  <c r="N345" i="1"/>
  <c r="L345" i="1"/>
  <c r="P345" i="1" s="1"/>
  <c r="AV344" i="1"/>
  <c r="AU344" i="1"/>
  <c r="AS344" i="1"/>
  <c r="AW344" i="1" s="1"/>
  <c r="AE344" i="1"/>
  <c r="AD344" i="1"/>
  <c r="AB344" i="1"/>
  <c r="AF344" i="1" s="1"/>
  <c r="O344" i="1"/>
  <c r="N344" i="1"/>
  <c r="L344" i="1"/>
  <c r="P344" i="1" s="1"/>
  <c r="BM343" i="1"/>
  <c r="BN343" i="1" s="1"/>
  <c r="BL343" i="1"/>
  <c r="BJ343" i="1"/>
  <c r="AV343" i="1"/>
  <c r="AU343" i="1"/>
  <c r="AS343" i="1"/>
  <c r="AW343" i="1" s="1"/>
  <c r="AE343" i="1"/>
  <c r="AD343" i="1"/>
  <c r="AB343" i="1"/>
  <c r="AF343" i="1" s="1"/>
  <c r="O343" i="1"/>
  <c r="N343" i="1"/>
  <c r="L343" i="1"/>
  <c r="P343" i="1" s="1"/>
  <c r="BM342" i="1"/>
  <c r="BN342" i="1" s="1"/>
  <c r="BL342" i="1"/>
  <c r="BJ342" i="1"/>
  <c r="AV342" i="1"/>
  <c r="AU342" i="1"/>
  <c r="AS342" i="1"/>
  <c r="AW342" i="1" s="1"/>
  <c r="AE342" i="1"/>
  <c r="AD342" i="1"/>
  <c r="AB342" i="1"/>
  <c r="AF342" i="1" s="1"/>
  <c r="O342" i="1"/>
  <c r="N342" i="1"/>
  <c r="L342" i="1"/>
  <c r="P342" i="1" s="1"/>
  <c r="AV341" i="1"/>
  <c r="AU341" i="1"/>
  <c r="AS341" i="1"/>
  <c r="AW341" i="1" s="1"/>
  <c r="AE341" i="1"/>
  <c r="AD341" i="1"/>
  <c r="AB341" i="1"/>
  <c r="AF341" i="1" s="1"/>
  <c r="O341" i="1"/>
  <c r="N341" i="1"/>
  <c r="L341" i="1"/>
  <c r="P341" i="1" s="1"/>
  <c r="BM340" i="1"/>
  <c r="BN340" i="1" s="1"/>
  <c r="BL340" i="1"/>
  <c r="BJ340" i="1"/>
  <c r="AV340" i="1"/>
  <c r="AU340" i="1"/>
  <c r="AS340" i="1"/>
  <c r="AW340" i="1" s="1"/>
  <c r="AE340" i="1"/>
  <c r="AD340" i="1"/>
  <c r="AB340" i="1"/>
  <c r="AF340" i="1" s="1"/>
  <c r="O340" i="1"/>
  <c r="N340" i="1"/>
  <c r="L340" i="1"/>
  <c r="P340" i="1" s="1"/>
  <c r="BN339" i="1"/>
  <c r="BM339" i="1"/>
  <c r="BL339" i="1"/>
  <c r="BJ339" i="1"/>
  <c r="AV339" i="1"/>
  <c r="AU339" i="1"/>
  <c r="AS339" i="1"/>
  <c r="AW339" i="1" s="1"/>
  <c r="AE339" i="1"/>
  <c r="AD339" i="1"/>
  <c r="AB339" i="1"/>
  <c r="AF339" i="1" s="1"/>
  <c r="O339" i="1"/>
  <c r="N339" i="1"/>
  <c r="L339" i="1"/>
  <c r="P339" i="1" s="1"/>
  <c r="BN338" i="1"/>
  <c r="BM338" i="1"/>
  <c r="BL338" i="1"/>
  <c r="BJ338" i="1"/>
  <c r="AV338" i="1"/>
  <c r="AU338" i="1"/>
  <c r="AS338" i="1"/>
  <c r="AW338" i="1" s="1"/>
  <c r="AE338" i="1"/>
  <c r="AD338" i="1"/>
  <c r="AB338" i="1"/>
  <c r="AF338" i="1" s="1"/>
  <c r="O338" i="1"/>
  <c r="N338" i="1"/>
  <c r="L338" i="1"/>
  <c r="P338" i="1" s="1"/>
  <c r="BN337" i="1"/>
  <c r="BM337" i="1"/>
  <c r="BL337" i="1"/>
  <c r="BJ337" i="1"/>
  <c r="AV337" i="1"/>
  <c r="AU337" i="1"/>
  <c r="AS337" i="1"/>
  <c r="AW337" i="1" s="1"/>
  <c r="BN336" i="1"/>
  <c r="BM336" i="1"/>
  <c r="BL336" i="1"/>
  <c r="BJ336" i="1"/>
  <c r="AV336" i="1"/>
  <c r="AU336" i="1"/>
  <c r="AS336" i="1"/>
  <c r="AW336" i="1" s="1"/>
  <c r="AE336" i="1"/>
  <c r="AD336" i="1"/>
  <c r="AB336" i="1"/>
  <c r="AF336" i="1" s="1"/>
  <c r="O336" i="1"/>
  <c r="N336" i="1"/>
  <c r="L336" i="1"/>
  <c r="P336" i="1" s="1"/>
  <c r="BN335" i="1"/>
  <c r="BM335" i="1"/>
  <c r="BL335" i="1"/>
  <c r="BJ335" i="1"/>
  <c r="AV335" i="1"/>
  <c r="AU335" i="1"/>
  <c r="AS335" i="1"/>
  <c r="AW335" i="1" s="1"/>
  <c r="AE335" i="1"/>
  <c r="AD335" i="1"/>
  <c r="AB335" i="1"/>
  <c r="AF335" i="1" s="1"/>
  <c r="O334" i="1"/>
  <c r="N334" i="1"/>
  <c r="L334" i="1"/>
  <c r="P334" i="1" s="1"/>
  <c r="O330" i="1"/>
  <c r="N330" i="1"/>
  <c r="L330" i="1"/>
  <c r="P330" i="1" s="1"/>
  <c r="O328" i="1"/>
  <c r="N328" i="1"/>
  <c r="L328" i="1"/>
  <c r="P328" i="1" s="1"/>
  <c r="O327" i="1"/>
  <c r="N327" i="1"/>
  <c r="L327" i="1"/>
  <c r="P327" i="1" s="1"/>
  <c r="O322" i="1"/>
  <c r="N322" i="1"/>
  <c r="L322" i="1"/>
  <c r="P322" i="1" s="1"/>
  <c r="O321" i="1"/>
  <c r="N321" i="1"/>
  <c r="L321" i="1"/>
  <c r="P321" i="1" s="1"/>
  <c r="O320" i="1"/>
  <c r="N320" i="1"/>
  <c r="L320" i="1"/>
  <c r="P320" i="1" s="1"/>
  <c r="AE319" i="1"/>
  <c r="AD319" i="1"/>
  <c r="AB319" i="1"/>
  <c r="AF319" i="1" s="1"/>
  <c r="O319" i="1"/>
  <c r="N319" i="1"/>
  <c r="L319" i="1"/>
  <c r="P319" i="1" s="1"/>
  <c r="BM318" i="1"/>
  <c r="BL318" i="1"/>
  <c r="BJ318" i="1"/>
  <c r="BN318" i="1" s="1"/>
  <c r="AV318" i="1"/>
  <c r="AU318" i="1"/>
  <c r="AS318" i="1"/>
  <c r="AW318" i="1" s="1"/>
  <c r="AE318" i="1"/>
  <c r="AD318" i="1"/>
  <c r="AB318" i="1"/>
  <c r="AF318" i="1" s="1"/>
  <c r="O318" i="1"/>
  <c r="N318" i="1"/>
  <c r="L318" i="1"/>
  <c r="P318" i="1" s="1"/>
  <c r="AE317" i="1"/>
  <c r="AD317" i="1"/>
  <c r="AB317" i="1"/>
  <c r="AF317" i="1" s="1"/>
  <c r="O317" i="1"/>
  <c r="N317" i="1"/>
  <c r="L317" i="1"/>
  <c r="P317" i="1" s="1"/>
  <c r="BM316" i="1"/>
  <c r="BL316" i="1"/>
  <c r="BJ316" i="1"/>
  <c r="BN316" i="1" s="1"/>
  <c r="AV316" i="1"/>
  <c r="AU316" i="1"/>
  <c r="AS316" i="1"/>
  <c r="AW316" i="1" s="1"/>
  <c r="AE316" i="1"/>
  <c r="AD316" i="1"/>
  <c r="AB316" i="1"/>
  <c r="AF316" i="1" s="1"/>
  <c r="O316" i="1"/>
  <c r="N316" i="1"/>
  <c r="L316" i="1"/>
  <c r="P316" i="1" s="1"/>
  <c r="BM315" i="1"/>
  <c r="BL315" i="1"/>
  <c r="BJ315" i="1"/>
  <c r="BN315" i="1" s="1"/>
  <c r="AV315" i="1"/>
  <c r="AU315" i="1"/>
  <c r="AS315" i="1"/>
  <c r="AW315" i="1" s="1"/>
  <c r="AE315" i="1"/>
  <c r="AD315" i="1"/>
  <c r="AB315" i="1"/>
  <c r="AF315" i="1" s="1"/>
  <c r="O315" i="1"/>
  <c r="N315" i="1"/>
  <c r="L315" i="1"/>
  <c r="P315" i="1" s="1"/>
  <c r="BM314" i="1"/>
  <c r="BL314" i="1"/>
  <c r="BJ314" i="1"/>
  <c r="BN314" i="1" s="1"/>
  <c r="AV314" i="1"/>
  <c r="AU314" i="1"/>
  <c r="AS314" i="1"/>
  <c r="AW314" i="1" s="1"/>
  <c r="AE314" i="1"/>
  <c r="AD314" i="1"/>
  <c r="AB314" i="1"/>
  <c r="AF314" i="1" s="1"/>
  <c r="O314" i="1"/>
  <c r="N314" i="1"/>
  <c r="L314" i="1"/>
  <c r="P314" i="1" s="1"/>
  <c r="BM313" i="1"/>
  <c r="BL313" i="1"/>
  <c r="BJ313" i="1"/>
  <c r="BN313" i="1" s="1"/>
  <c r="AV313" i="1"/>
  <c r="AU313" i="1"/>
  <c r="AS313" i="1"/>
  <c r="AW313" i="1" s="1"/>
  <c r="AE313" i="1"/>
  <c r="AD313" i="1"/>
  <c r="AB313" i="1"/>
  <c r="AF313" i="1" s="1"/>
  <c r="O313" i="1"/>
  <c r="N313" i="1"/>
  <c r="L313" i="1"/>
  <c r="P313" i="1" s="1"/>
  <c r="BM312" i="1"/>
  <c r="BL312" i="1"/>
  <c r="BJ312" i="1"/>
  <c r="BN312" i="1" s="1"/>
  <c r="AV312" i="1"/>
  <c r="AU312" i="1"/>
  <c r="AS312" i="1"/>
  <c r="AW312" i="1" s="1"/>
  <c r="AE312" i="1"/>
  <c r="AD312" i="1"/>
  <c r="AB312" i="1"/>
  <c r="AF312" i="1" s="1"/>
  <c r="O312" i="1"/>
  <c r="N312" i="1"/>
  <c r="L312" i="1"/>
  <c r="P312" i="1" s="1"/>
  <c r="BM311" i="1"/>
  <c r="BL311" i="1"/>
  <c r="BJ311" i="1"/>
  <c r="BN311" i="1" s="1"/>
  <c r="AV311" i="1"/>
  <c r="AU311" i="1"/>
  <c r="AS311" i="1"/>
  <c r="AW311" i="1" s="1"/>
  <c r="AE311" i="1"/>
  <c r="AD311" i="1"/>
  <c r="AB311" i="1"/>
  <c r="AF311" i="1" s="1"/>
  <c r="O311" i="1"/>
  <c r="N311" i="1"/>
  <c r="L311" i="1"/>
  <c r="P311" i="1" s="1"/>
  <c r="BM310" i="1"/>
  <c r="BL310" i="1"/>
  <c r="BJ310" i="1"/>
  <c r="BN310" i="1" s="1"/>
  <c r="AV310" i="1"/>
  <c r="AU310" i="1"/>
  <c r="AS310" i="1"/>
  <c r="AW310" i="1" s="1"/>
  <c r="AE310" i="1"/>
  <c r="AD310" i="1"/>
  <c r="AB310" i="1"/>
  <c r="AF310" i="1" s="1"/>
  <c r="O310" i="1"/>
  <c r="N310" i="1"/>
  <c r="L310" i="1"/>
  <c r="P310" i="1" s="1"/>
  <c r="BM309" i="1"/>
  <c r="BL309" i="1"/>
  <c r="BJ309" i="1"/>
  <c r="BN309" i="1" s="1"/>
  <c r="AV309" i="1"/>
  <c r="AU309" i="1"/>
  <c r="AS309" i="1"/>
  <c r="AW309" i="1" s="1"/>
  <c r="O309" i="1"/>
  <c r="N309" i="1"/>
  <c r="L309" i="1"/>
  <c r="P309" i="1" s="1"/>
  <c r="O308" i="1"/>
  <c r="N308" i="1"/>
  <c r="L308" i="1"/>
  <c r="P308" i="1" s="1"/>
  <c r="BM307" i="1"/>
  <c r="BL307" i="1"/>
  <c r="BJ307" i="1"/>
  <c r="BN307" i="1" s="1"/>
  <c r="AV307" i="1"/>
  <c r="AU307" i="1"/>
  <c r="AS307" i="1"/>
  <c r="AW307" i="1" s="1"/>
  <c r="AE307" i="1"/>
  <c r="AD307" i="1"/>
  <c r="AB307" i="1"/>
  <c r="AF307" i="1" s="1"/>
  <c r="O307" i="1"/>
  <c r="N307" i="1"/>
  <c r="L307" i="1"/>
  <c r="P307" i="1" s="1"/>
  <c r="BM306" i="1"/>
  <c r="BL306" i="1"/>
  <c r="BJ306" i="1"/>
  <c r="BN306" i="1" s="1"/>
  <c r="AV306" i="1"/>
  <c r="AU306" i="1"/>
  <c r="AS306" i="1"/>
  <c r="AW306" i="1" s="1"/>
  <c r="AE306" i="1"/>
  <c r="AD306" i="1"/>
  <c r="AB306" i="1"/>
  <c r="AF306" i="1" s="1"/>
  <c r="O306" i="1"/>
  <c r="N306" i="1"/>
  <c r="L306" i="1"/>
  <c r="P306" i="1" s="1"/>
  <c r="BM305" i="1"/>
  <c r="BL305" i="1"/>
  <c r="BJ305" i="1"/>
  <c r="BN305" i="1" s="1"/>
  <c r="AV305" i="1"/>
  <c r="AU305" i="1"/>
  <c r="AS305" i="1"/>
  <c r="AW305" i="1" s="1"/>
  <c r="AE305" i="1"/>
  <c r="AD305" i="1"/>
  <c r="AB305" i="1"/>
  <c r="AF305" i="1" s="1"/>
  <c r="O305" i="1"/>
  <c r="N305" i="1"/>
  <c r="L305" i="1"/>
  <c r="P305" i="1" s="1"/>
  <c r="BM304" i="1"/>
  <c r="BL304" i="1"/>
  <c r="BJ304" i="1"/>
  <c r="BN304" i="1" s="1"/>
  <c r="AV304" i="1"/>
  <c r="AU304" i="1"/>
  <c r="AS304" i="1"/>
  <c r="AW304" i="1" s="1"/>
  <c r="AE304" i="1"/>
  <c r="AD304" i="1"/>
  <c r="AB304" i="1"/>
  <c r="AF304" i="1" s="1"/>
  <c r="BM303" i="1"/>
  <c r="BL303" i="1"/>
  <c r="BJ303" i="1"/>
  <c r="BN303" i="1" s="1"/>
  <c r="AV303" i="1"/>
  <c r="AU303" i="1"/>
  <c r="AS303" i="1"/>
  <c r="AW303" i="1" s="1"/>
  <c r="O303" i="1"/>
  <c r="N303" i="1"/>
  <c r="L303" i="1"/>
  <c r="P303" i="1" s="1"/>
  <c r="BM302" i="1"/>
  <c r="BL302" i="1"/>
  <c r="BJ302" i="1"/>
  <c r="BN302" i="1" s="1"/>
  <c r="AV302" i="1"/>
  <c r="AU302" i="1"/>
  <c r="AS302" i="1"/>
  <c r="AW302" i="1" s="1"/>
  <c r="AE302" i="1"/>
  <c r="AD302" i="1"/>
  <c r="AB302" i="1"/>
  <c r="AF302" i="1" s="1"/>
  <c r="O302" i="1"/>
  <c r="N302" i="1"/>
  <c r="L302" i="1"/>
  <c r="P302" i="1" s="1"/>
  <c r="BM301" i="1"/>
  <c r="BL301" i="1"/>
  <c r="BJ301" i="1"/>
  <c r="BN301" i="1" s="1"/>
  <c r="AV301" i="1"/>
  <c r="AU301" i="1"/>
  <c r="AS301" i="1"/>
  <c r="AW301" i="1" s="1"/>
  <c r="AE301" i="1"/>
  <c r="AD301" i="1"/>
  <c r="AB301" i="1"/>
  <c r="AF301" i="1" s="1"/>
  <c r="O301" i="1"/>
  <c r="N301" i="1"/>
  <c r="L301" i="1"/>
  <c r="P301" i="1" s="1"/>
  <c r="BM300" i="1"/>
  <c r="BL300" i="1"/>
  <c r="BJ300" i="1"/>
  <c r="BN300" i="1" s="1"/>
  <c r="AV300" i="1"/>
  <c r="AU300" i="1"/>
  <c r="AS300" i="1"/>
  <c r="AW300" i="1" s="1"/>
  <c r="AE300" i="1"/>
  <c r="AD300" i="1"/>
  <c r="AB300" i="1"/>
  <c r="AF300" i="1" s="1"/>
  <c r="O300" i="1"/>
  <c r="N300" i="1"/>
  <c r="L300" i="1"/>
  <c r="P300" i="1" s="1"/>
  <c r="BM299" i="1"/>
  <c r="BL299" i="1"/>
  <c r="BJ299" i="1"/>
  <c r="BN299" i="1" s="1"/>
  <c r="AE299" i="1"/>
  <c r="AD299" i="1"/>
  <c r="AB299" i="1"/>
  <c r="AF299" i="1" s="1"/>
  <c r="BM298" i="1"/>
  <c r="BL298" i="1"/>
  <c r="BJ298" i="1"/>
  <c r="BN298" i="1" s="1"/>
  <c r="AE298" i="1"/>
  <c r="AD298" i="1"/>
  <c r="AB298" i="1"/>
  <c r="AF298" i="1" s="1"/>
  <c r="O298" i="1"/>
  <c r="N298" i="1"/>
  <c r="L298" i="1"/>
  <c r="P298" i="1" s="1"/>
  <c r="AV297" i="1"/>
  <c r="AU297" i="1"/>
  <c r="AS297" i="1"/>
  <c r="AW297" i="1" s="1"/>
  <c r="AE297" i="1"/>
  <c r="AD297" i="1"/>
  <c r="AB297" i="1"/>
  <c r="AF297" i="1" s="1"/>
  <c r="BM296" i="1"/>
  <c r="BL296" i="1"/>
  <c r="BJ296" i="1"/>
  <c r="BN296" i="1" s="1"/>
  <c r="AV296" i="1"/>
  <c r="AU296" i="1"/>
  <c r="AS296" i="1"/>
  <c r="AW296" i="1" s="1"/>
  <c r="AE296" i="1"/>
  <c r="AD296" i="1"/>
  <c r="AB296" i="1"/>
  <c r="AF296" i="1" s="1"/>
  <c r="O296" i="1"/>
  <c r="N296" i="1"/>
  <c r="L296" i="1"/>
  <c r="P296" i="1" s="1"/>
  <c r="BM295" i="1"/>
  <c r="BL295" i="1"/>
  <c r="BJ295" i="1"/>
  <c r="BN295" i="1" s="1"/>
  <c r="AV295" i="1"/>
  <c r="AU295" i="1"/>
  <c r="AS295" i="1"/>
  <c r="AW295" i="1" s="1"/>
  <c r="AE295" i="1"/>
  <c r="AD295" i="1"/>
  <c r="AB295" i="1"/>
  <c r="AF295" i="1" s="1"/>
  <c r="O294" i="1"/>
  <c r="N294" i="1"/>
  <c r="L294" i="1"/>
  <c r="P294" i="1" s="1"/>
  <c r="BM291" i="1"/>
  <c r="BL291" i="1"/>
  <c r="BJ291" i="1"/>
  <c r="BN291" i="1" s="1"/>
  <c r="AV291" i="1"/>
  <c r="AU291" i="1"/>
  <c r="AS291" i="1"/>
  <c r="AW291" i="1" s="1"/>
  <c r="AE291" i="1"/>
  <c r="AD291" i="1"/>
  <c r="AB291" i="1"/>
  <c r="AF291" i="1" s="1"/>
  <c r="O291" i="1"/>
  <c r="N291" i="1"/>
  <c r="L291" i="1"/>
  <c r="P291" i="1" s="1"/>
  <c r="BM290" i="1"/>
  <c r="BL290" i="1"/>
  <c r="BJ290" i="1"/>
  <c r="BN290" i="1" s="1"/>
  <c r="AV290" i="1"/>
  <c r="AU290" i="1"/>
  <c r="AS290" i="1"/>
  <c r="AW290" i="1" s="1"/>
  <c r="AE290" i="1"/>
  <c r="AD290" i="1"/>
  <c r="AB290" i="1"/>
  <c r="AF290" i="1" s="1"/>
  <c r="O290" i="1"/>
  <c r="N290" i="1"/>
  <c r="L290" i="1"/>
  <c r="P290" i="1" s="1"/>
  <c r="BM289" i="1"/>
  <c r="BL289" i="1"/>
  <c r="BJ289" i="1"/>
  <c r="BN289" i="1" s="1"/>
  <c r="AV289" i="1"/>
  <c r="AU289" i="1"/>
  <c r="AS289" i="1"/>
  <c r="AW289" i="1" s="1"/>
  <c r="AE289" i="1"/>
  <c r="AD289" i="1"/>
  <c r="AB289" i="1"/>
  <c r="AF289" i="1" s="1"/>
  <c r="O289" i="1"/>
  <c r="N289" i="1"/>
  <c r="L289" i="1"/>
  <c r="P289" i="1" s="1"/>
  <c r="BM288" i="1"/>
  <c r="BL288" i="1"/>
  <c r="BJ288" i="1"/>
  <c r="BN288" i="1" s="1"/>
  <c r="AV288" i="1"/>
  <c r="AU288" i="1"/>
  <c r="AS288" i="1"/>
  <c r="AW288" i="1" s="1"/>
  <c r="AE288" i="1"/>
  <c r="AD288" i="1"/>
  <c r="AB288" i="1"/>
  <c r="AF288" i="1" s="1"/>
  <c r="O288" i="1"/>
  <c r="N288" i="1"/>
  <c r="L288" i="1"/>
  <c r="P288" i="1" s="1"/>
  <c r="BM287" i="1"/>
  <c r="BL287" i="1"/>
  <c r="BJ287" i="1"/>
  <c r="BN287" i="1" s="1"/>
  <c r="AV287" i="1"/>
  <c r="AU287" i="1"/>
  <c r="AS287" i="1"/>
  <c r="AW287" i="1" s="1"/>
  <c r="AE287" i="1"/>
  <c r="AD287" i="1"/>
  <c r="AB287" i="1"/>
  <c r="AF287" i="1" s="1"/>
  <c r="O287" i="1"/>
  <c r="N287" i="1"/>
  <c r="L287" i="1"/>
  <c r="P287" i="1" s="1"/>
  <c r="BM286" i="1"/>
  <c r="BL286" i="1"/>
  <c r="BJ286" i="1"/>
  <c r="BN286" i="1" s="1"/>
  <c r="AV286" i="1"/>
  <c r="AU286" i="1"/>
  <c r="AS286" i="1"/>
  <c r="AW286" i="1" s="1"/>
  <c r="AE286" i="1"/>
  <c r="AD286" i="1"/>
  <c r="AB286" i="1"/>
  <c r="AF286" i="1" s="1"/>
  <c r="O286" i="1"/>
  <c r="N286" i="1"/>
  <c r="L286" i="1"/>
  <c r="P286" i="1" s="1"/>
  <c r="BM285" i="1"/>
  <c r="BL285" i="1"/>
  <c r="BJ285" i="1"/>
  <c r="BN285" i="1" s="1"/>
  <c r="AV285" i="1"/>
  <c r="AU285" i="1"/>
  <c r="AS285" i="1"/>
  <c r="AW285" i="1" s="1"/>
  <c r="O285" i="1"/>
  <c r="N285" i="1"/>
  <c r="L285" i="1"/>
  <c r="P285" i="1" s="1"/>
  <c r="BM283" i="1"/>
  <c r="BL283" i="1"/>
  <c r="BJ283" i="1"/>
  <c r="BN283" i="1" s="1"/>
  <c r="AV283" i="1"/>
  <c r="AU283" i="1"/>
  <c r="AS283" i="1"/>
  <c r="AW283" i="1" s="1"/>
  <c r="AE283" i="1"/>
  <c r="AD283" i="1"/>
  <c r="AB283" i="1"/>
  <c r="AF283" i="1" s="1"/>
  <c r="O283" i="1"/>
  <c r="N283" i="1"/>
  <c r="L283" i="1"/>
  <c r="P283" i="1" s="1"/>
  <c r="BM282" i="1"/>
  <c r="BL282" i="1"/>
  <c r="BJ282" i="1"/>
  <c r="BN282" i="1" s="1"/>
  <c r="AV282" i="1"/>
  <c r="AU282" i="1"/>
  <c r="AS282" i="1"/>
  <c r="AW282" i="1" s="1"/>
  <c r="AE282" i="1"/>
  <c r="AD282" i="1"/>
  <c r="AB282" i="1"/>
  <c r="AF282" i="1" s="1"/>
  <c r="O282" i="1"/>
  <c r="N282" i="1"/>
  <c r="L282" i="1"/>
  <c r="P282" i="1" s="1"/>
  <c r="AV281" i="1"/>
  <c r="AU281" i="1"/>
  <c r="AS281" i="1"/>
  <c r="AW281" i="1" s="1"/>
  <c r="AE281" i="1"/>
  <c r="AD281" i="1"/>
  <c r="AB281" i="1"/>
  <c r="AF281" i="1" s="1"/>
  <c r="O281" i="1"/>
  <c r="N281" i="1"/>
  <c r="L281" i="1"/>
  <c r="P281" i="1" s="1"/>
  <c r="BM280" i="1"/>
  <c r="BL280" i="1"/>
  <c r="BJ280" i="1"/>
  <c r="BN280" i="1" s="1"/>
  <c r="AV280" i="1"/>
  <c r="AU280" i="1"/>
  <c r="AS280" i="1"/>
  <c r="AW280" i="1" s="1"/>
  <c r="BM279" i="1"/>
  <c r="BL279" i="1"/>
  <c r="BJ279" i="1"/>
  <c r="BN279" i="1" s="1"/>
  <c r="AV279" i="1"/>
  <c r="AU279" i="1"/>
  <c r="AS279" i="1"/>
  <c r="AW279" i="1" s="1"/>
  <c r="AE279" i="1"/>
  <c r="AD279" i="1"/>
  <c r="AB279" i="1"/>
  <c r="AF279" i="1" s="1"/>
  <c r="O279" i="1"/>
  <c r="N279" i="1"/>
  <c r="L279" i="1"/>
  <c r="P279" i="1" s="1"/>
  <c r="BM278" i="1"/>
  <c r="AV278" i="1"/>
  <c r="AU278" i="1"/>
  <c r="AS278" i="1"/>
  <c r="AW278" i="1" s="1"/>
  <c r="O278" i="1"/>
  <c r="N278" i="1"/>
  <c r="L278" i="1"/>
  <c r="P278" i="1" s="1"/>
  <c r="BM277" i="1"/>
  <c r="BL277" i="1"/>
  <c r="BJ277" i="1"/>
  <c r="BN277" i="1" s="1"/>
  <c r="AV277" i="1"/>
  <c r="AU277" i="1"/>
  <c r="AS277" i="1"/>
  <c r="AW277" i="1" s="1"/>
  <c r="AF277" i="1"/>
  <c r="AE277" i="1"/>
  <c r="AD277" i="1"/>
  <c r="AB277" i="1"/>
  <c r="O277" i="1"/>
  <c r="N277" i="1"/>
  <c r="L277" i="1"/>
  <c r="P277" i="1" s="1"/>
  <c r="BM276" i="1"/>
  <c r="BL276" i="1"/>
  <c r="BJ276" i="1"/>
  <c r="BN276" i="1" s="1"/>
  <c r="AV276" i="1"/>
  <c r="AU276" i="1"/>
  <c r="AS276" i="1"/>
  <c r="AW276" i="1" s="1"/>
  <c r="AF276" i="1"/>
  <c r="AE276" i="1"/>
  <c r="AD276" i="1"/>
  <c r="AB276" i="1"/>
  <c r="O275" i="1"/>
  <c r="N275" i="1"/>
  <c r="L275" i="1"/>
  <c r="P275" i="1" s="1"/>
  <c r="O273" i="1"/>
  <c r="N273" i="1"/>
  <c r="L273" i="1"/>
  <c r="P273" i="1" s="1"/>
  <c r="AW272" i="1"/>
  <c r="AV272" i="1"/>
  <c r="AU272" i="1"/>
  <c r="AS272" i="1"/>
  <c r="AE272" i="1"/>
  <c r="AD272" i="1"/>
  <c r="AB272" i="1"/>
  <c r="AF272" i="1" s="1"/>
  <c r="O272" i="1"/>
  <c r="N272" i="1"/>
  <c r="L272" i="1"/>
  <c r="P272" i="1" s="1"/>
  <c r="BM271" i="1"/>
  <c r="BL271" i="1"/>
  <c r="BJ271" i="1"/>
  <c r="BN271" i="1" s="1"/>
  <c r="AW271" i="1"/>
  <c r="AV271" i="1"/>
  <c r="AU271" i="1"/>
  <c r="AS271" i="1"/>
  <c r="AE271" i="1"/>
  <c r="AD271" i="1"/>
  <c r="AB271" i="1"/>
  <c r="AF271" i="1" s="1"/>
  <c r="P271" i="1"/>
  <c r="O271" i="1"/>
  <c r="N271" i="1"/>
  <c r="L271" i="1"/>
  <c r="BM270" i="1"/>
  <c r="BL270" i="1"/>
  <c r="BJ270" i="1"/>
  <c r="BN270" i="1" s="1"/>
  <c r="AW270" i="1"/>
  <c r="AV270" i="1"/>
  <c r="AU270" i="1"/>
  <c r="AS270" i="1"/>
  <c r="AE270" i="1"/>
  <c r="AD270" i="1"/>
  <c r="AB270" i="1"/>
  <c r="AF270" i="1" s="1"/>
  <c r="O270" i="1"/>
  <c r="N270" i="1"/>
  <c r="L270" i="1"/>
  <c r="P270" i="1" s="1"/>
  <c r="BM269" i="1"/>
  <c r="BL269" i="1"/>
  <c r="BJ269" i="1"/>
  <c r="BN269" i="1" s="1"/>
  <c r="AV269" i="1"/>
  <c r="AU269" i="1"/>
  <c r="AS269" i="1"/>
  <c r="AW269" i="1" s="1"/>
  <c r="AE269" i="1"/>
  <c r="AD269" i="1"/>
  <c r="AB269" i="1"/>
  <c r="AF269" i="1" s="1"/>
  <c r="O269" i="1"/>
  <c r="N269" i="1"/>
  <c r="L269" i="1"/>
  <c r="P269" i="1" s="1"/>
  <c r="BM268" i="1"/>
  <c r="BL268" i="1"/>
  <c r="BJ268" i="1"/>
  <c r="BN268" i="1" s="1"/>
  <c r="AW268" i="1"/>
  <c r="AV268" i="1"/>
  <c r="AU268" i="1"/>
  <c r="AS268" i="1"/>
  <c r="AE268" i="1"/>
  <c r="AD268" i="1"/>
  <c r="AB268" i="1"/>
  <c r="AF268" i="1" s="1"/>
  <c r="O268" i="1"/>
  <c r="N268" i="1"/>
  <c r="L268" i="1"/>
  <c r="P268" i="1" s="1"/>
  <c r="BM267" i="1"/>
  <c r="BL267" i="1"/>
  <c r="BJ267" i="1"/>
  <c r="BN267" i="1" s="1"/>
  <c r="AW267" i="1"/>
  <c r="AV267" i="1"/>
  <c r="AU267" i="1"/>
  <c r="AS267" i="1"/>
  <c r="AE267" i="1"/>
  <c r="AD267" i="1"/>
  <c r="AB267" i="1"/>
  <c r="AF267" i="1" s="1"/>
  <c r="P267" i="1"/>
  <c r="O267" i="1"/>
  <c r="N267" i="1"/>
  <c r="L267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AY134" i="1"/>
  <c r="AX134" i="1"/>
  <c r="AW134" i="1"/>
  <c r="AR134" i="1"/>
  <c r="AQ134" i="1"/>
  <c r="AP134" i="1"/>
  <c r="AL134" i="1"/>
  <c r="AK134" i="1"/>
  <c r="AJ134" i="1"/>
  <c r="AF134" i="1"/>
  <c r="AE134" i="1"/>
  <c r="AD134" i="1"/>
  <c r="Y134" i="1"/>
  <c r="U134" i="1"/>
  <c r="R134" i="1"/>
  <c r="N134" i="1"/>
  <c r="L134" i="1"/>
  <c r="H134" i="1"/>
  <c r="F134" i="1"/>
  <c r="B134" i="1"/>
  <c r="AY133" i="1"/>
  <c r="AX133" i="1"/>
  <c r="AR133" i="1"/>
  <c r="AQ133" i="1"/>
  <c r="AP133" i="1"/>
  <c r="AL133" i="1"/>
  <c r="AK133" i="1"/>
  <c r="AJ133" i="1"/>
  <c r="AF133" i="1"/>
  <c r="AE133" i="1"/>
  <c r="Y133" i="1"/>
  <c r="U133" i="1"/>
  <c r="R133" i="1"/>
  <c r="N133" i="1"/>
  <c r="L133" i="1"/>
  <c r="H133" i="1"/>
  <c r="F133" i="1"/>
  <c r="B133" i="1"/>
  <c r="AX132" i="1"/>
  <c r="AW132" i="1"/>
  <c r="AR132" i="1"/>
  <c r="AQ132" i="1"/>
  <c r="AP132" i="1"/>
  <c r="AL132" i="1"/>
  <c r="AK132" i="1"/>
  <c r="AF132" i="1"/>
  <c r="AE132" i="1"/>
  <c r="Y132" i="1"/>
  <c r="U132" i="1"/>
  <c r="N132" i="1"/>
  <c r="H132" i="1"/>
  <c r="F132" i="1"/>
  <c r="B132" i="1"/>
  <c r="AY131" i="1"/>
  <c r="AX131" i="1"/>
  <c r="AW131" i="1"/>
  <c r="AR131" i="1"/>
  <c r="AQ131" i="1"/>
  <c r="AP131" i="1"/>
  <c r="AL131" i="1"/>
  <c r="AK131" i="1"/>
  <c r="AJ131" i="1"/>
  <c r="AF131" i="1"/>
  <c r="AE131" i="1"/>
  <c r="Y131" i="1"/>
  <c r="U131" i="1"/>
  <c r="R131" i="1"/>
  <c r="N131" i="1"/>
  <c r="L131" i="1"/>
  <c r="H131" i="1"/>
  <c r="F131" i="1"/>
  <c r="B131" i="1"/>
  <c r="AY130" i="1"/>
  <c r="AX130" i="1"/>
  <c r="AR130" i="1"/>
  <c r="AQ130" i="1"/>
  <c r="AL130" i="1"/>
  <c r="AF130" i="1"/>
  <c r="AE130" i="1"/>
  <c r="Y130" i="1"/>
  <c r="U130" i="1"/>
  <c r="R130" i="1"/>
  <c r="N130" i="1"/>
  <c r="L130" i="1"/>
  <c r="H130" i="1"/>
  <c r="F130" i="1"/>
  <c r="B130" i="1"/>
  <c r="AY129" i="1"/>
  <c r="AX129" i="1"/>
  <c r="AR129" i="1"/>
  <c r="AQ129" i="1"/>
  <c r="AL129" i="1"/>
  <c r="AK129" i="1"/>
  <c r="AF129" i="1"/>
  <c r="AE129" i="1"/>
  <c r="AD129" i="1"/>
  <c r="Y129" i="1"/>
  <c r="U129" i="1"/>
  <c r="R129" i="1"/>
  <c r="N129" i="1"/>
  <c r="L129" i="1"/>
  <c r="H129" i="1"/>
  <c r="F129" i="1"/>
  <c r="B129" i="1"/>
  <c r="AV126" i="1"/>
  <c r="AR126" i="1"/>
  <c r="AQ126" i="1"/>
  <c r="AP126" i="1"/>
  <c r="AO126" i="1"/>
  <c r="AK126" i="1"/>
  <c r="AI126" i="1"/>
  <c r="AF126" i="1"/>
  <c r="AD126" i="1"/>
  <c r="AC126" i="1"/>
  <c r="Y126" i="1"/>
  <c r="U126" i="1"/>
  <c r="R126" i="1"/>
  <c r="N126" i="1"/>
  <c r="L126" i="1"/>
  <c r="H126" i="1"/>
  <c r="F126" i="1"/>
  <c r="B126" i="1"/>
  <c r="AX125" i="1"/>
  <c r="AV125" i="1"/>
  <c r="AR125" i="1"/>
  <c r="AQ125" i="1"/>
  <c r="AP125" i="1"/>
  <c r="AO125" i="1"/>
  <c r="AI125" i="1"/>
  <c r="AF125" i="1"/>
  <c r="AE125" i="1"/>
  <c r="AD125" i="1"/>
  <c r="AC125" i="1"/>
  <c r="Y125" i="1"/>
  <c r="U125" i="1"/>
  <c r="R125" i="1"/>
  <c r="N125" i="1"/>
  <c r="L125" i="1"/>
  <c r="H125" i="1"/>
  <c r="F125" i="1"/>
  <c r="B125" i="1"/>
  <c r="AO124" i="1"/>
  <c r="AL124" i="1"/>
  <c r="AK124" i="1"/>
  <c r="AJ124" i="1"/>
  <c r="AI124" i="1"/>
  <c r="AC124" i="1"/>
  <c r="AD124" i="1" s="1"/>
  <c r="R124" i="1"/>
  <c r="N124" i="1"/>
  <c r="L124" i="1"/>
  <c r="H124" i="1"/>
  <c r="F124" i="1"/>
  <c r="B124" i="1"/>
  <c r="AF124" i="1" s="1"/>
  <c r="AX123" i="1"/>
  <c r="AW123" i="1"/>
  <c r="AV123" i="1"/>
  <c r="AY123" i="1" s="1"/>
  <c r="AR123" i="1"/>
  <c r="AO123" i="1"/>
  <c r="AK123" i="1"/>
  <c r="AJ123" i="1"/>
  <c r="AI123" i="1"/>
  <c r="AL123" i="1" s="1"/>
  <c r="AC123" i="1"/>
  <c r="Y123" i="1"/>
  <c r="U123" i="1"/>
  <c r="R123" i="1"/>
  <c r="N123" i="1"/>
  <c r="L123" i="1"/>
  <c r="H123" i="1"/>
  <c r="F123" i="1"/>
  <c r="B123" i="1"/>
  <c r="AF123" i="1" s="1"/>
  <c r="AX122" i="1"/>
  <c r="AW122" i="1"/>
  <c r="AV122" i="1"/>
  <c r="AY122" i="1" s="1"/>
  <c r="AO122" i="1"/>
  <c r="AJ122" i="1"/>
  <c r="AI122" i="1"/>
  <c r="AC122" i="1"/>
  <c r="Y122" i="1"/>
  <c r="U122" i="1"/>
  <c r="R122" i="1"/>
  <c r="N122" i="1"/>
  <c r="L122" i="1"/>
  <c r="H122" i="1"/>
  <c r="F122" i="1"/>
  <c r="B122" i="1"/>
  <c r="AF122" i="1" s="1"/>
  <c r="AV121" i="1"/>
  <c r="AY121" i="1" s="1"/>
  <c r="AO121" i="1"/>
  <c r="AK121" i="1"/>
  <c r="AI121" i="1"/>
  <c r="AL121" i="1" s="1"/>
  <c r="AC121" i="1"/>
  <c r="Y121" i="1"/>
  <c r="U121" i="1"/>
  <c r="R121" i="1"/>
  <c r="N121" i="1"/>
  <c r="L121" i="1"/>
  <c r="H121" i="1"/>
  <c r="F121" i="1"/>
  <c r="B121" i="1"/>
  <c r="AF121" i="1" s="1"/>
  <c r="AW120" i="1"/>
  <c r="AV120" i="1"/>
  <c r="AO120" i="1"/>
  <c r="AK120" i="1"/>
  <c r="AJ120" i="1"/>
  <c r="AI120" i="1"/>
  <c r="AL120" i="1" s="1"/>
  <c r="AF120" i="1"/>
  <c r="AD120" i="1"/>
  <c r="AC120" i="1"/>
  <c r="AE120" i="1" s="1"/>
  <c r="Y120" i="1"/>
  <c r="U120" i="1"/>
  <c r="R120" i="1"/>
  <c r="N120" i="1"/>
  <c r="L120" i="1"/>
  <c r="H120" i="1"/>
  <c r="F120" i="1"/>
  <c r="B120" i="1"/>
  <c r="AY119" i="1"/>
  <c r="AV119" i="1"/>
  <c r="AX119" i="1" s="1"/>
  <c r="AO119" i="1"/>
  <c r="AK119" i="1"/>
  <c r="AI119" i="1"/>
  <c r="AL119" i="1" s="1"/>
  <c r="AC119" i="1"/>
  <c r="Y119" i="1"/>
  <c r="U119" i="1"/>
  <c r="R119" i="1"/>
  <c r="N119" i="1"/>
  <c r="L119" i="1"/>
  <c r="H119" i="1"/>
  <c r="F119" i="1"/>
  <c r="B119" i="1"/>
  <c r="AF119" i="1" s="1"/>
  <c r="AY118" i="1"/>
  <c r="AX118" i="1"/>
  <c r="AW118" i="1"/>
  <c r="AV118" i="1"/>
  <c r="AO118" i="1"/>
  <c r="AL118" i="1"/>
  <c r="AK118" i="1"/>
  <c r="AJ118" i="1"/>
  <c r="AI118" i="1"/>
  <c r="AC118" i="1"/>
  <c r="Y118" i="1"/>
  <c r="U118" i="1"/>
  <c r="R118" i="1"/>
  <c r="N118" i="1"/>
  <c r="H118" i="1"/>
  <c r="B118" i="1"/>
  <c r="AF118" i="1" s="1"/>
  <c r="AY117" i="1"/>
  <c r="AX117" i="1"/>
  <c r="AW117" i="1"/>
  <c r="AV117" i="1"/>
  <c r="AO117" i="1"/>
  <c r="AL117" i="1"/>
  <c r="AK117" i="1"/>
  <c r="AJ117" i="1"/>
  <c r="AI117" i="1"/>
  <c r="AC117" i="1"/>
  <c r="Y117" i="1"/>
  <c r="U117" i="1"/>
  <c r="R117" i="1"/>
  <c r="N117" i="1"/>
  <c r="L117" i="1"/>
  <c r="H117" i="1"/>
  <c r="F117" i="1"/>
  <c r="B117" i="1"/>
  <c r="AF117" i="1" s="1"/>
  <c r="AY116" i="1"/>
  <c r="AX116" i="1"/>
  <c r="AW116" i="1"/>
  <c r="AV116" i="1"/>
  <c r="AO116" i="1"/>
  <c r="AL116" i="1"/>
  <c r="AK116" i="1"/>
  <c r="AJ116" i="1"/>
  <c r="AI116" i="1"/>
  <c r="AC116" i="1"/>
  <c r="Y116" i="1"/>
  <c r="U116" i="1"/>
  <c r="R116" i="1"/>
  <c r="N116" i="1"/>
  <c r="L116" i="1"/>
  <c r="H116" i="1"/>
  <c r="F116" i="1"/>
  <c r="B116" i="1"/>
  <c r="AF116" i="1" s="1"/>
  <c r="AY115" i="1"/>
  <c r="AX115" i="1"/>
  <c r="AW115" i="1"/>
  <c r="AV115" i="1"/>
  <c r="AI115" i="1"/>
  <c r="AF115" i="1"/>
  <c r="AE115" i="1"/>
  <c r="AD115" i="1"/>
  <c r="AC115" i="1"/>
  <c r="Y115" i="1"/>
  <c r="U115" i="1"/>
  <c r="R115" i="1"/>
  <c r="N115" i="1"/>
  <c r="L115" i="1"/>
  <c r="H115" i="1"/>
  <c r="F115" i="1"/>
  <c r="B115" i="1"/>
  <c r="AV114" i="1"/>
  <c r="AR114" i="1"/>
  <c r="AQ114" i="1"/>
  <c r="AP114" i="1"/>
  <c r="AK114" i="1"/>
  <c r="AJ114" i="1"/>
  <c r="AI114" i="1"/>
  <c r="AL114" i="1" s="1"/>
  <c r="AF114" i="1"/>
  <c r="AE114" i="1"/>
  <c r="AC114" i="1"/>
  <c r="AD114" i="1" s="1"/>
  <c r="Y114" i="1"/>
  <c r="U114" i="1"/>
  <c r="R114" i="1"/>
  <c r="N114" i="1"/>
  <c r="L114" i="1"/>
  <c r="H114" i="1"/>
  <c r="F114" i="1"/>
  <c r="B114" i="1"/>
  <c r="AX113" i="1"/>
  <c r="AW113" i="1"/>
  <c r="AV113" i="1"/>
  <c r="AR113" i="1"/>
  <c r="AQ113" i="1"/>
  <c r="AP113" i="1"/>
  <c r="AI113" i="1"/>
  <c r="AK113" i="1" s="1"/>
  <c r="AF113" i="1"/>
  <c r="AE113" i="1"/>
  <c r="AD113" i="1"/>
  <c r="AC113" i="1"/>
  <c r="Y113" i="1"/>
  <c r="U113" i="1"/>
  <c r="R113" i="1"/>
  <c r="N113" i="1"/>
  <c r="L113" i="1"/>
  <c r="H113" i="1"/>
  <c r="F113" i="1"/>
  <c r="B113" i="1"/>
  <c r="AY112" i="1"/>
  <c r="AV112" i="1"/>
  <c r="AX112" i="1" s="1"/>
  <c r="AL112" i="1"/>
  <c r="AK112" i="1"/>
  <c r="AJ112" i="1"/>
  <c r="AI112" i="1"/>
  <c r="Y112" i="1"/>
  <c r="U112" i="1"/>
  <c r="L112" i="1"/>
  <c r="H112" i="1"/>
  <c r="AY111" i="1"/>
  <c r="AX111" i="1"/>
  <c r="AW111" i="1"/>
  <c r="AV111" i="1"/>
  <c r="AR111" i="1"/>
  <c r="AQ111" i="1"/>
  <c r="AP111" i="1"/>
  <c r="AI111" i="1"/>
  <c r="AE111" i="1"/>
  <c r="AC111" i="1"/>
  <c r="AD111" i="1" s="1"/>
  <c r="Y111" i="1"/>
  <c r="U111" i="1"/>
  <c r="R111" i="1"/>
  <c r="N111" i="1"/>
  <c r="L111" i="1"/>
  <c r="H111" i="1"/>
  <c r="F111" i="1"/>
  <c r="B111" i="1"/>
  <c r="AF111" i="1" s="1"/>
  <c r="AV110" i="1"/>
  <c r="AR110" i="1"/>
  <c r="AQ110" i="1"/>
  <c r="AP110" i="1"/>
  <c r="AI110" i="1"/>
  <c r="AF110" i="1"/>
  <c r="AE110" i="1"/>
  <c r="AD110" i="1"/>
  <c r="AC110" i="1"/>
  <c r="Y110" i="1"/>
  <c r="U110" i="1"/>
  <c r="R110" i="1"/>
  <c r="N110" i="1"/>
  <c r="L110" i="1"/>
  <c r="H110" i="1"/>
  <c r="F110" i="1"/>
  <c r="B110" i="1"/>
  <c r="AV109" i="1"/>
  <c r="AR109" i="1"/>
  <c r="AQ109" i="1"/>
  <c r="AP109" i="1"/>
  <c r="AK109" i="1"/>
  <c r="AJ109" i="1"/>
  <c r="AI109" i="1"/>
  <c r="AL109" i="1" s="1"/>
  <c r="AE109" i="1"/>
  <c r="AC109" i="1"/>
  <c r="AD109" i="1" s="1"/>
  <c r="Y109" i="1"/>
  <c r="U109" i="1"/>
  <c r="R109" i="1"/>
  <c r="N109" i="1"/>
  <c r="L109" i="1"/>
  <c r="H109" i="1"/>
  <c r="F109" i="1"/>
  <c r="B109" i="1"/>
  <c r="AF109" i="1" s="1"/>
  <c r="AX108" i="1"/>
  <c r="AW108" i="1"/>
  <c r="AV108" i="1"/>
  <c r="AY108" i="1" s="1"/>
  <c r="AQ108" i="1"/>
  <c r="AP108" i="1"/>
  <c r="AL108" i="1"/>
  <c r="AI108" i="1"/>
  <c r="AK108" i="1" s="1"/>
  <c r="AF108" i="1"/>
  <c r="AE108" i="1"/>
  <c r="AD108" i="1"/>
  <c r="AC108" i="1"/>
  <c r="Y108" i="1"/>
  <c r="U108" i="1"/>
  <c r="R108" i="1"/>
  <c r="N108" i="1"/>
  <c r="L108" i="1"/>
  <c r="H108" i="1"/>
  <c r="F108" i="1"/>
  <c r="B108" i="1"/>
  <c r="AY107" i="1"/>
  <c r="AV107" i="1"/>
  <c r="AX107" i="1" s="1"/>
  <c r="AR107" i="1"/>
  <c r="AQ107" i="1"/>
  <c r="AP107" i="1"/>
  <c r="AK107" i="1"/>
  <c r="AI107" i="1"/>
  <c r="AL107" i="1" s="1"/>
  <c r="AC107" i="1"/>
  <c r="AE107" i="1" s="1"/>
  <c r="Y107" i="1"/>
  <c r="U107" i="1"/>
  <c r="L107" i="1"/>
  <c r="H107" i="1"/>
  <c r="F107" i="1"/>
  <c r="B107" i="1"/>
  <c r="AF107" i="1" s="1"/>
  <c r="Y106" i="1"/>
  <c r="U106" i="1"/>
  <c r="R106" i="1"/>
  <c r="N106" i="1"/>
  <c r="L106" i="1"/>
  <c r="H106" i="1"/>
  <c r="F106" i="1"/>
  <c r="B106" i="1"/>
  <c r="Y105" i="1"/>
  <c r="U105" i="1"/>
  <c r="R105" i="1"/>
  <c r="N105" i="1"/>
  <c r="L105" i="1"/>
  <c r="H105" i="1"/>
  <c r="F105" i="1"/>
  <c r="B105" i="1"/>
  <c r="Y101" i="1"/>
  <c r="U101" i="1"/>
  <c r="S101" i="1"/>
  <c r="R101" i="1"/>
  <c r="N101" i="1"/>
  <c r="L101" i="1"/>
  <c r="H101" i="1"/>
  <c r="AY100" i="1"/>
  <c r="AX100" i="1"/>
  <c r="AW100" i="1"/>
  <c r="AR100" i="1"/>
  <c r="AQ100" i="1"/>
  <c r="AP100" i="1"/>
  <c r="AL100" i="1"/>
  <c r="AK100" i="1"/>
  <c r="AJ100" i="1"/>
  <c r="Y100" i="1"/>
  <c r="U100" i="1"/>
  <c r="R100" i="1"/>
  <c r="N100" i="1"/>
  <c r="L100" i="1"/>
  <c r="H100" i="1"/>
  <c r="AY99" i="1"/>
  <c r="AX99" i="1"/>
  <c r="AW99" i="1"/>
  <c r="AR99" i="1"/>
  <c r="AQ99" i="1"/>
  <c r="AP99" i="1"/>
  <c r="AL99" i="1"/>
  <c r="AK99" i="1"/>
  <c r="AJ99" i="1"/>
  <c r="Y99" i="1"/>
  <c r="U99" i="1"/>
  <c r="R99" i="1"/>
  <c r="N99" i="1"/>
  <c r="L99" i="1"/>
  <c r="H99" i="1"/>
  <c r="AY98" i="1"/>
  <c r="AX98" i="1"/>
  <c r="AW98" i="1"/>
  <c r="AR98" i="1"/>
  <c r="AQ98" i="1"/>
  <c r="AP98" i="1"/>
  <c r="AL98" i="1"/>
  <c r="AK98" i="1"/>
  <c r="AJ98" i="1"/>
  <c r="Y98" i="1"/>
  <c r="U98" i="1"/>
  <c r="R98" i="1"/>
  <c r="N98" i="1"/>
  <c r="L98" i="1"/>
  <c r="H98" i="1"/>
  <c r="AY97" i="1"/>
  <c r="AX97" i="1"/>
  <c r="AW97" i="1"/>
  <c r="AR97" i="1"/>
  <c r="AQ97" i="1"/>
  <c r="AP97" i="1"/>
  <c r="AL97" i="1"/>
  <c r="AK97" i="1"/>
  <c r="AJ97" i="1"/>
  <c r="Y97" i="1"/>
  <c r="U97" i="1"/>
  <c r="R97" i="1"/>
  <c r="N97" i="1"/>
  <c r="L97" i="1"/>
  <c r="H97" i="1"/>
  <c r="AY96" i="1"/>
  <c r="AX96" i="1"/>
  <c r="AW96" i="1"/>
  <c r="AR96" i="1"/>
  <c r="AQ96" i="1"/>
  <c r="AL96" i="1"/>
  <c r="AK96" i="1"/>
  <c r="AJ96" i="1"/>
  <c r="Y96" i="1"/>
  <c r="U96" i="1"/>
  <c r="R96" i="1"/>
  <c r="N96" i="1"/>
  <c r="L96" i="1"/>
  <c r="H96" i="1"/>
  <c r="AY95" i="1"/>
  <c r="AV95" i="1"/>
  <c r="AX95" i="1" s="1"/>
  <c r="AR95" i="1"/>
  <c r="AQ95" i="1"/>
  <c r="AP95" i="1"/>
  <c r="AO95" i="1"/>
  <c r="AL95" i="1"/>
  <c r="AI95" i="1"/>
  <c r="AK95" i="1" s="1"/>
  <c r="Y95" i="1"/>
  <c r="U95" i="1"/>
  <c r="R95" i="1"/>
  <c r="N95" i="1"/>
  <c r="L95" i="1"/>
  <c r="H95" i="1"/>
  <c r="AF93" i="1"/>
  <c r="AC93" i="1"/>
  <c r="F93" i="1"/>
  <c r="B93" i="1"/>
  <c r="AY92" i="1"/>
  <c r="AV92" i="1"/>
  <c r="AW92" i="1" s="1"/>
  <c r="AO92" i="1"/>
  <c r="AK92" i="1"/>
  <c r="AI92" i="1"/>
  <c r="AL92" i="1" s="1"/>
  <c r="AC92" i="1"/>
  <c r="AE92" i="1" s="1"/>
  <c r="Y92" i="1"/>
  <c r="U92" i="1"/>
  <c r="R92" i="1"/>
  <c r="N92" i="1"/>
  <c r="L92" i="1"/>
  <c r="H92" i="1"/>
  <c r="F92" i="1"/>
  <c r="B92" i="1"/>
  <c r="AF92" i="1" s="1"/>
  <c r="AX91" i="1"/>
  <c r="AV91" i="1"/>
  <c r="AY91" i="1" s="1"/>
  <c r="AO91" i="1"/>
  <c r="AK91" i="1"/>
  <c r="AI91" i="1"/>
  <c r="AL91" i="1" s="1"/>
  <c r="AC91" i="1"/>
  <c r="Y91" i="1"/>
  <c r="U91" i="1"/>
  <c r="R91" i="1"/>
  <c r="N91" i="1"/>
  <c r="L91" i="1"/>
  <c r="H91" i="1"/>
  <c r="B91" i="1"/>
  <c r="AF91" i="1" s="1"/>
  <c r="AX90" i="1"/>
  <c r="AV90" i="1"/>
  <c r="AY90" i="1" s="1"/>
  <c r="AO90" i="1"/>
  <c r="AK90" i="1"/>
  <c r="AI90" i="1"/>
  <c r="AL90" i="1" s="1"/>
  <c r="AC90" i="1"/>
  <c r="Y90" i="1"/>
  <c r="U90" i="1"/>
  <c r="R90" i="1"/>
  <c r="N90" i="1"/>
  <c r="L90" i="1"/>
  <c r="H90" i="1"/>
  <c r="F90" i="1"/>
  <c r="B90" i="1"/>
  <c r="AF90" i="1" s="1"/>
  <c r="AX89" i="1"/>
  <c r="AV89" i="1"/>
  <c r="AY89" i="1" s="1"/>
  <c r="AO89" i="1"/>
  <c r="AK89" i="1"/>
  <c r="AI89" i="1"/>
  <c r="AL89" i="1" s="1"/>
  <c r="AC89" i="1"/>
  <c r="AE89" i="1" s="1"/>
  <c r="Y89" i="1"/>
  <c r="U89" i="1"/>
  <c r="R89" i="1"/>
  <c r="N89" i="1"/>
  <c r="L89" i="1"/>
  <c r="H89" i="1"/>
  <c r="F89" i="1"/>
  <c r="B89" i="1"/>
  <c r="AF89" i="1" s="1"/>
  <c r="AX88" i="1"/>
  <c r="AV88" i="1"/>
  <c r="AY88" i="1" s="1"/>
  <c r="AO88" i="1"/>
  <c r="AC88" i="1"/>
  <c r="AD88" i="1" s="1"/>
  <c r="Y88" i="1"/>
  <c r="U88" i="1"/>
  <c r="R88" i="1"/>
  <c r="N88" i="1"/>
  <c r="F88" i="1"/>
  <c r="B88" i="1"/>
  <c r="AF88" i="1" s="1"/>
  <c r="AX87" i="1"/>
  <c r="AW87" i="1"/>
  <c r="AV87" i="1"/>
  <c r="AY87" i="1" s="1"/>
  <c r="AR87" i="1"/>
  <c r="AQ87" i="1"/>
  <c r="AO87" i="1"/>
  <c r="AP87" i="1" s="1"/>
  <c r="AK87" i="1"/>
  <c r="AJ87" i="1"/>
  <c r="AI87" i="1"/>
  <c r="AL87" i="1" s="1"/>
  <c r="AC87" i="1"/>
  <c r="AD87" i="1" s="1"/>
  <c r="Y87" i="1"/>
  <c r="U87" i="1"/>
  <c r="R87" i="1"/>
  <c r="N87" i="1"/>
  <c r="L87" i="1"/>
  <c r="H87" i="1"/>
  <c r="F87" i="1"/>
  <c r="B87" i="1"/>
  <c r="AF87" i="1" s="1"/>
  <c r="AX86" i="1"/>
  <c r="AW86" i="1"/>
  <c r="AV86" i="1"/>
  <c r="AY86" i="1" s="1"/>
  <c r="AO86" i="1"/>
  <c r="AP86" i="1" s="1"/>
  <c r="AK86" i="1"/>
  <c r="AJ86" i="1"/>
  <c r="AI86" i="1"/>
  <c r="AL86" i="1" s="1"/>
  <c r="Y86" i="1"/>
  <c r="U86" i="1"/>
  <c r="R86" i="1"/>
  <c r="N86" i="1"/>
  <c r="L86" i="1"/>
  <c r="H86" i="1"/>
  <c r="AV85" i="1"/>
  <c r="AQ85" i="1"/>
  <c r="AO85" i="1"/>
  <c r="AR85" i="1" s="1"/>
  <c r="AJ85" i="1"/>
  <c r="AI85" i="1"/>
  <c r="AE85" i="1"/>
  <c r="AC85" i="1"/>
  <c r="AD85" i="1" s="1"/>
  <c r="Y85" i="1"/>
  <c r="U85" i="1"/>
  <c r="R85" i="1"/>
  <c r="N85" i="1"/>
  <c r="L85" i="1"/>
  <c r="H85" i="1"/>
  <c r="F85" i="1"/>
  <c r="B85" i="1"/>
  <c r="AF85" i="1" s="1"/>
  <c r="AV84" i="1"/>
  <c r="AW84" i="1" s="1"/>
  <c r="AQ84" i="1"/>
  <c r="AO84" i="1"/>
  <c r="AR84" i="1" s="1"/>
  <c r="AJ84" i="1"/>
  <c r="AI84" i="1"/>
  <c r="AF84" i="1"/>
  <c r="AC84" i="1"/>
  <c r="AE84" i="1" s="1"/>
  <c r="Y84" i="1"/>
  <c r="U84" i="1"/>
  <c r="R84" i="1"/>
  <c r="N84" i="1"/>
  <c r="L84" i="1"/>
  <c r="H84" i="1"/>
  <c r="F84" i="1"/>
  <c r="B84" i="1"/>
  <c r="AY83" i="1"/>
  <c r="AX83" i="1"/>
  <c r="AW83" i="1"/>
  <c r="AV83" i="1"/>
  <c r="AR83" i="1"/>
  <c r="AQ83" i="1"/>
  <c r="AP83" i="1"/>
  <c r="AI83" i="1"/>
  <c r="AE83" i="1"/>
  <c r="AC83" i="1"/>
  <c r="AD83" i="1" s="1"/>
  <c r="Y83" i="1"/>
  <c r="U83" i="1"/>
  <c r="R83" i="1"/>
  <c r="N83" i="1"/>
  <c r="L83" i="1"/>
  <c r="H83" i="1"/>
  <c r="F83" i="1"/>
  <c r="B83" i="1"/>
  <c r="AF83" i="1" s="1"/>
  <c r="AV82" i="1"/>
  <c r="AR82" i="1"/>
  <c r="AQ82" i="1"/>
  <c r="AP82" i="1"/>
  <c r="AI82" i="1"/>
  <c r="AF82" i="1"/>
  <c r="AE82" i="1"/>
  <c r="AD82" i="1"/>
  <c r="AC82" i="1"/>
  <c r="Y82" i="1"/>
  <c r="U82" i="1"/>
  <c r="R82" i="1"/>
  <c r="N82" i="1"/>
  <c r="L82" i="1"/>
  <c r="H82" i="1"/>
  <c r="F82" i="1"/>
  <c r="B82" i="1"/>
  <c r="AV81" i="1"/>
  <c r="AQ81" i="1"/>
  <c r="AP81" i="1"/>
  <c r="AI81" i="1"/>
  <c r="AC81" i="1"/>
  <c r="Y81" i="1"/>
  <c r="U81" i="1"/>
  <c r="R81" i="1"/>
  <c r="N81" i="1"/>
  <c r="L81" i="1"/>
  <c r="H81" i="1"/>
  <c r="F81" i="1"/>
  <c r="B81" i="1"/>
  <c r="AY79" i="1"/>
  <c r="AX79" i="1"/>
  <c r="AW79" i="1"/>
  <c r="AV79" i="1"/>
  <c r="AR79" i="1"/>
  <c r="AQ79" i="1"/>
  <c r="AP79" i="1"/>
  <c r="AL79" i="1"/>
  <c r="AI79" i="1"/>
  <c r="AJ79" i="1" s="1"/>
  <c r="AE79" i="1"/>
  <c r="AD79" i="1"/>
  <c r="AC79" i="1"/>
  <c r="Y79" i="1"/>
  <c r="U79" i="1"/>
  <c r="R79" i="1"/>
  <c r="N79" i="1"/>
  <c r="L79" i="1"/>
  <c r="H79" i="1"/>
  <c r="F79" i="1"/>
  <c r="B79" i="1"/>
  <c r="AF79" i="1" s="1"/>
  <c r="AY78" i="1"/>
  <c r="AX78" i="1"/>
  <c r="AV78" i="1"/>
  <c r="AW78" i="1" s="1"/>
  <c r="AR78" i="1"/>
  <c r="AQ78" i="1"/>
  <c r="AP78" i="1"/>
  <c r="AL78" i="1"/>
  <c r="AK78" i="1"/>
  <c r="AJ78" i="1"/>
  <c r="AI78" i="1"/>
  <c r="AF78" i="1"/>
  <c r="AC78" i="1"/>
  <c r="AE78" i="1" s="1"/>
  <c r="Y78" i="1"/>
  <c r="U78" i="1"/>
  <c r="R78" i="1"/>
  <c r="N78" i="1"/>
  <c r="F78" i="1"/>
  <c r="B78" i="1"/>
  <c r="AY77" i="1"/>
  <c r="AX77" i="1"/>
  <c r="AW77" i="1"/>
  <c r="AV77" i="1"/>
  <c r="AR77" i="1"/>
  <c r="AQ77" i="1"/>
  <c r="AP77" i="1"/>
  <c r="AI77" i="1"/>
  <c r="AE77" i="1"/>
  <c r="AC77" i="1"/>
  <c r="AD77" i="1" s="1"/>
  <c r="Y77" i="1"/>
  <c r="U77" i="1"/>
  <c r="R77" i="1"/>
  <c r="N77" i="1"/>
  <c r="L77" i="1"/>
  <c r="H77" i="1"/>
  <c r="F77" i="1"/>
  <c r="B77" i="1"/>
  <c r="AF77" i="1" s="1"/>
  <c r="AV76" i="1"/>
  <c r="AW76" i="1" s="1"/>
  <c r="AQ76" i="1"/>
  <c r="AP76" i="1"/>
  <c r="AI76" i="1"/>
  <c r="AF76" i="1"/>
  <c r="AE76" i="1"/>
  <c r="AD76" i="1"/>
  <c r="AC76" i="1"/>
  <c r="Y76" i="1"/>
  <c r="U76" i="1"/>
  <c r="R76" i="1"/>
  <c r="N76" i="1"/>
  <c r="L76" i="1"/>
  <c r="H76" i="1"/>
  <c r="F76" i="1"/>
  <c r="B76" i="1"/>
  <c r="AV75" i="1"/>
  <c r="AI75" i="1"/>
  <c r="AC75" i="1"/>
  <c r="Y75" i="1"/>
  <c r="U75" i="1"/>
  <c r="R75" i="1"/>
  <c r="N75" i="1"/>
  <c r="L75" i="1"/>
  <c r="H75" i="1"/>
  <c r="B75" i="1"/>
  <c r="AY74" i="1"/>
  <c r="AV74" i="1"/>
  <c r="AX74" i="1" s="1"/>
  <c r="AR74" i="1"/>
  <c r="AQ74" i="1"/>
  <c r="AP74" i="1"/>
  <c r="AK74" i="1"/>
  <c r="AI74" i="1"/>
  <c r="AL74" i="1" s="1"/>
  <c r="AC74" i="1"/>
  <c r="AE74" i="1" s="1"/>
  <c r="Y74" i="1"/>
  <c r="U74" i="1"/>
  <c r="R74" i="1"/>
  <c r="N74" i="1"/>
  <c r="L74" i="1"/>
  <c r="H74" i="1"/>
  <c r="F74" i="1"/>
  <c r="B74" i="1"/>
  <c r="AX73" i="1"/>
  <c r="AV73" i="1"/>
  <c r="AY73" i="1" s="1"/>
  <c r="AQ73" i="1"/>
  <c r="AP73" i="1"/>
  <c r="AL73" i="1"/>
  <c r="AJ73" i="1"/>
  <c r="AI73" i="1"/>
  <c r="AK73" i="1" s="1"/>
  <c r="AC73" i="1"/>
  <c r="Y73" i="1"/>
  <c r="U73" i="1"/>
  <c r="R73" i="1"/>
  <c r="N73" i="1"/>
  <c r="L73" i="1"/>
  <c r="H73" i="1"/>
  <c r="F73" i="1"/>
  <c r="B73" i="1"/>
  <c r="AF73" i="1" s="1"/>
  <c r="AY72" i="1"/>
  <c r="AW72" i="1"/>
  <c r="AV72" i="1"/>
  <c r="AX72" i="1" s="1"/>
  <c r="AR72" i="1"/>
  <c r="AQ72" i="1"/>
  <c r="AP72" i="1"/>
  <c r="AI72" i="1"/>
  <c r="AJ72" i="1" s="1"/>
  <c r="AE72" i="1"/>
  <c r="AD72" i="1"/>
  <c r="AC72" i="1"/>
  <c r="Y72" i="1"/>
  <c r="U72" i="1"/>
  <c r="R72" i="1"/>
  <c r="N72" i="1"/>
  <c r="L72" i="1"/>
  <c r="H72" i="1"/>
  <c r="F72" i="1"/>
  <c r="B72" i="1"/>
  <c r="AF72" i="1" s="1"/>
  <c r="AY71" i="1"/>
  <c r="AV71" i="1"/>
  <c r="AW71" i="1" s="1"/>
  <c r="AR71" i="1"/>
  <c r="AQ71" i="1"/>
  <c r="AP71" i="1"/>
  <c r="AI71" i="1"/>
  <c r="AF71" i="1"/>
  <c r="AE71" i="1"/>
  <c r="AC71" i="1"/>
  <c r="AD71" i="1" s="1"/>
  <c r="Y71" i="1"/>
  <c r="U71" i="1"/>
  <c r="R71" i="1"/>
  <c r="L71" i="1"/>
  <c r="H71" i="1"/>
  <c r="F71" i="1"/>
  <c r="B71" i="1"/>
  <c r="AY60" i="1"/>
  <c r="AX60" i="1"/>
  <c r="AW60" i="1"/>
  <c r="AR60" i="1"/>
  <c r="AQ60" i="1"/>
  <c r="AP60" i="1"/>
  <c r="AL60" i="1"/>
  <c r="AK60" i="1"/>
  <c r="AJ60" i="1"/>
  <c r="AE60" i="1"/>
  <c r="Y60" i="1"/>
  <c r="U60" i="1"/>
  <c r="R60" i="1"/>
  <c r="N60" i="1"/>
  <c r="L60" i="1"/>
  <c r="H60" i="1"/>
  <c r="F60" i="1"/>
  <c r="B60" i="1"/>
  <c r="AF60" i="1" s="1"/>
  <c r="AX58" i="1"/>
  <c r="AV58" i="1"/>
  <c r="AO58" i="1"/>
  <c r="AK58" i="1"/>
  <c r="AJ58" i="1"/>
  <c r="AI58" i="1"/>
  <c r="AL58" i="1" s="1"/>
  <c r="AC58" i="1"/>
  <c r="Y58" i="1"/>
  <c r="U58" i="1"/>
  <c r="R58" i="1"/>
  <c r="N58" i="1"/>
  <c r="L58" i="1"/>
  <c r="H58" i="1"/>
  <c r="F58" i="1"/>
  <c r="B58" i="1"/>
  <c r="AY57" i="1"/>
  <c r="AV57" i="1"/>
  <c r="AO57" i="1"/>
  <c r="AL57" i="1"/>
  <c r="AJ57" i="1"/>
  <c r="AI57" i="1"/>
  <c r="Y57" i="1"/>
  <c r="U57" i="1"/>
  <c r="R57" i="1"/>
  <c r="L57" i="1"/>
  <c r="H57" i="1"/>
  <c r="AY56" i="1"/>
  <c r="AV56" i="1"/>
  <c r="AX56" i="1" s="1"/>
  <c r="AR56" i="1"/>
  <c r="AQ56" i="1"/>
  <c r="AP56" i="1"/>
  <c r="AO56" i="1"/>
  <c r="AL56" i="1"/>
  <c r="AI56" i="1"/>
  <c r="AK56" i="1" s="1"/>
  <c r="AF56" i="1"/>
  <c r="AE56" i="1"/>
  <c r="AD56" i="1"/>
  <c r="AC56" i="1"/>
  <c r="U56" i="1"/>
  <c r="R56" i="1"/>
  <c r="N56" i="1"/>
  <c r="H56" i="1"/>
  <c r="F56" i="1"/>
  <c r="B56" i="1"/>
  <c r="AV55" i="1"/>
  <c r="AR55" i="1"/>
  <c r="AQ55" i="1"/>
  <c r="AP55" i="1"/>
  <c r="AO55" i="1"/>
  <c r="AL55" i="1"/>
  <c r="AI55" i="1"/>
  <c r="AF55" i="1"/>
  <c r="AE55" i="1"/>
  <c r="AD55" i="1"/>
  <c r="AC55" i="1"/>
  <c r="Y55" i="1"/>
  <c r="U55" i="1"/>
  <c r="R55" i="1"/>
  <c r="N55" i="1"/>
  <c r="L55" i="1"/>
  <c r="H55" i="1"/>
  <c r="F55" i="1"/>
  <c r="B55" i="1"/>
  <c r="AV54" i="1"/>
  <c r="AO54" i="1"/>
  <c r="AI54" i="1"/>
  <c r="AC54" i="1"/>
  <c r="AE54" i="1" s="1"/>
  <c r="Y54" i="1"/>
  <c r="U54" i="1"/>
  <c r="R54" i="1"/>
  <c r="N54" i="1"/>
  <c r="L54" i="1"/>
  <c r="H54" i="1"/>
  <c r="F54" i="1"/>
  <c r="B54" i="1"/>
  <c r="AF54" i="1" s="1"/>
  <c r="AX53" i="1"/>
  <c r="AV53" i="1"/>
  <c r="AO53" i="1"/>
  <c r="AQ53" i="1" s="1"/>
  <c r="AK53" i="1"/>
  <c r="AI53" i="1"/>
  <c r="AL53" i="1" s="1"/>
  <c r="AF53" i="1"/>
  <c r="AD53" i="1"/>
  <c r="AC53" i="1"/>
  <c r="AE53" i="1" s="1"/>
  <c r="Y53" i="1"/>
  <c r="U53" i="1"/>
  <c r="R53" i="1"/>
  <c r="N53" i="1"/>
  <c r="L53" i="1"/>
  <c r="H53" i="1"/>
  <c r="F53" i="1"/>
  <c r="B53" i="1"/>
  <c r="AV52" i="1"/>
  <c r="AO52" i="1"/>
  <c r="AI52" i="1"/>
  <c r="AC52" i="1"/>
  <c r="AD52" i="1" s="1"/>
  <c r="Y52" i="1"/>
  <c r="U52" i="1"/>
  <c r="R52" i="1"/>
  <c r="N52" i="1"/>
  <c r="L52" i="1"/>
  <c r="H52" i="1"/>
  <c r="F52" i="1"/>
  <c r="B52" i="1"/>
  <c r="AF52" i="1" s="1"/>
  <c r="AY51" i="1"/>
  <c r="AW51" i="1"/>
  <c r="AV51" i="1"/>
  <c r="AX51" i="1" s="1"/>
  <c r="AQ51" i="1"/>
  <c r="AO51" i="1"/>
  <c r="AL51" i="1"/>
  <c r="AJ51" i="1"/>
  <c r="AI51" i="1"/>
  <c r="AK51" i="1" s="1"/>
  <c r="AE51" i="1"/>
  <c r="AC51" i="1"/>
  <c r="AD51" i="1" s="1"/>
  <c r="Y51" i="1"/>
  <c r="U51" i="1"/>
  <c r="R51" i="1"/>
  <c r="N51" i="1"/>
  <c r="L51" i="1"/>
  <c r="H51" i="1"/>
  <c r="F51" i="1"/>
  <c r="B51" i="1"/>
  <c r="AF51" i="1" s="1"/>
  <c r="AY49" i="1"/>
  <c r="AW49" i="1"/>
  <c r="AV49" i="1"/>
  <c r="AX49" i="1" s="1"/>
  <c r="AR49" i="1"/>
  <c r="AQ49" i="1"/>
  <c r="AP49" i="1"/>
  <c r="AL49" i="1"/>
  <c r="AK49" i="1"/>
  <c r="AI49" i="1"/>
  <c r="AJ49" i="1" s="1"/>
  <c r="AD49" i="1"/>
  <c r="AC49" i="1"/>
  <c r="Y49" i="1"/>
  <c r="U49" i="1"/>
  <c r="R49" i="1"/>
  <c r="N49" i="1"/>
  <c r="L49" i="1"/>
  <c r="H49" i="1"/>
  <c r="F49" i="1"/>
  <c r="B49" i="1"/>
  <c r="AF49" i="1" s="1"/>
  <c r="AV48" i="1"/>
  <c r="AW48" i="1" s="1"/>
  <c r="AK48" i="1"/>
  <c r="AJ48" i="1"/>
  <c r="AI48" i="1"/>
  <c r="AL48" i="1" s="1"/>
  <c r="AE48" i="1"/>
  <c r="AC48" i="1"/>
  <c r="AD48" i="1" s="1"/>
  <c r="Y48" i="1"/>
  <c r="U48" i="1"/>
  <c r="L48" i="1"/>
  <c r="H48" i="1"/>
  <c r="F48" i="1"/>
  <c r="B48" i="1"/>
  <c r="AF48" i="1" s="1"/>
  <c r="AX47" i="1"/>
  <c r="AV47" i="1"/>
  <c r="AY47" i="1" s="1"/>
  <c r="AL47" i="1"/>
  <c r="AJ47" i="1"/>
  <c r="AI47" i="1"/>
  <c r="AK47" i="1" s="1"/>
  <c r="AE47" i="1"/>
  <c r="AC47" i="1"/>
  <c r="AD47" i="1" s="1"/>
  <c r="Y47" i="1"/>
  <c r="U47" i="1"/>
  <c r="R47" i="1"/>
  <c r="N47" i="1"/>
  <c r="L47" i="1"/>
  <c r="H47" i="1"/>
  <c r="F47" i="1"/>
  <c r="B47" i="1"/>
  <c r="AF47" i="1" s="1"/>
  <c r="AW46" i="1"/>
  <c r="AV46" i="1"/>
  <c r="AX46" i="1" s="1"/>
  <c r="AR46" i="1"/>
  <c r="AQ46" i="1"/>
  <c r="AP46" i="1"/>
  <c r="AI46" i="1"/>
  <c r="AF46" i="1"/>
  <c r="AD46" i="1"/>
  <c r="AC46" i="1"/>
  <c r="AE46" i="1" s="1"/>
  <c r="Y46" i="1"/>
  <c r="U46" i="1"/>
  <c r="R46" i="1"/>
  <c r="N46" i="1"/>
  <c r="L46" i="1"/>
  <c r="H46" i="1"/>
  <c r="F46" i="1"/>
  <c r="B46" i="1"/>
  <c r="AV45" i="1"/>
  <c r="AR45" i="1"/>
  <c r="AQ45" i="1"/>
  <c r="AP45" i="1"/>
  <c r="AK45" i="1"/>
  <c r="AJ45" i="1"/>
  <c r="AI45" i="1"/>
  <c r="AL45" i="1" s="1"/>
  <c r="AF45" i="1"/>
  <c r="AE45" i="1"/>
  <c r="AC45" i="1"/>
  <c r="AD45" i="1" s="1"/>
  <c r="Y45" i="1"/>
  <c r="U45" i="1"/>
  <c r="R45" i="1"/>
  <c r="N45" i="1"/>
  <c r="L45" i="1"/>
  <c r="F45" i="1"/>
  <c r="B45" i="1"/>
  <c r="AX44" i="1"/>
  <c r="AW44" i="1"/>
  <c r="AV44" i="1"/>
  <c r="AY44" i="1" s="1"/>
  <c r="AI44" i="1"/>
  <c r="AJ44" i="1" s="1"/>
  <c r="AE44" i="1"/>
  <c r="AD44" i="1"/>
  <c r="AC44" i="1"/>
  <c r="Y44" i="1"/>
  <c r="U44" i="1"/>
  <c r="R44" i="1"/>
  <c r="N44" i="1"/>
  <c r="L44" i="1"/>
  <c r="H44" i="1"/>
  <c r="F44" i="1"/>
  <c r="B44" i="1"/>
  <c r="AF44" i="1" s="1"/>
  <c r="AV43" i="1"/>
  <c r="AW43" i="1" s="1"/>
  <c r="AI43" i="1"/>
  <c r="AC43" i="1"/>
  <c r="AD43" i="1" s="1"/>
  <c r="Y43" i="1"/>
  <c r="U43" i="1"/>
  <c r="R43" i="1"/>
  <c r="N43" i="1"/>
  <c r="L43" i="1"/>
  <c r="H43" i="1"/>
  <c r="F43" i="1"/>
  <c r="B43" i="1"/>
  <c r="AF43" i="1" s="1"/>
  <c r="AY42" i="1"/>
  <c r="AX42" i="1"/>
  <c r="AW42" i="1"/>
  <c r="AV42" i="1"/>
  <c r="AR42" i="1"/>
  <c r="AQ42" i="1"/>
  <c r="AP42" i="1"/>
  <c r="AL42" i="1"/>
  <c r="AK42" i="1"/>
  <c r="AI42" i="1"/>
  <c r="AJ42" i="1" s="1"/>
  <c r="AE42" i="1"/>
  <c r="AC42" i="1"/>
  <c r="Y42" i="1"/>
  <c r="U42" i="1"/>
  <c r="R42" i="1"/>
  <c r="N42" i="1"/>
  <c r="L42" i="1"/>
  <c r="H42" i="1"/>
  <c r="F42" i="1"/>
  <c r="B42" i="1"/>
  <c r="AF42" i="1" s="1"/>
  <c r="AV41" i="1"/>
  <c r="AW41" i="1" s="1"/>
  <c r="AR41" i="1"/>
  <c r="AQ41" i="1"/>
  <c r="AP41" i="1"/>
  <c r="AL41" i="1"/>
  <c r="AK41" i="1"/>
  <c r="AJ41" i="1"/>
  <c r="AI41" i="1"/>
  <c r="AC41" i="1"/>
  <c r="Y41" i="1"/>
  <c r="U41" i="1"/>
  <c r="R41" i="1"/>
  <c r="N41" i="1"/>
  <c r="L41" i="1"/>
  <c r="H41" i="1"/>
  <c r="F41" i="1"/>
  <c r="B41" i="1"/>
  <c r="AX40" i="1"/>
  <c r="AW40" i="1"/>
  <c r="AV40" i="1"/>
  <c r="AY40" i="1" s="1"/>
  <c r="AR40" i="1"/>
  <c r="AQ40" i="1"/>
  <c r="AP40" i="1"/>
  <c r="AI40" i="1"/>
  <c r="AE40" i="1"/>
  <c r="AD40" i="1"/>
  <c r="AC40" i="1"/>
  <c r="Y40" i="1"/>
  <c r="U40" i="1"/>
  <c r="R40" i="1"/>
  <c r="N40" i="1"/>
  <c r="H40" i="1"/>
  <c r="F40" i="1"/>
  <c r="B40" i="1"/>
  <c r="AF40" i="1" s="1"/>
  <c r="AY39" i="1"/>
  <c r="AX39" i="1"/>
  <c r="AW39" i="1"/>
  <c r="AV39" i="1"/>
  <c r="AR39" i="1"/>
  <c r="AQ39" i="1"/>
  <c r="AP39" i="1"/>
  <c r="AL39" i="1"/>
  <c r="AI39" i="1"/>
  <c r="AK39" i="1" s="1"/>
  <c r="AE39" i="1"/>
  <c r="AC39" i="1"/>
  <c r="AD39" i="1" s="1"/>
  <c r="Y39" i="1"/>
  <c r="R39" i="1"/>
  <c r="N39" i="1"/>
  <c r="L39" i="1"/>
  <c r="H39" i="1"/>
  <c r="B39" i="1"/>
  <c r="AF39" i="1" s="1"/>
  <c r="AR38" i="1"/>
  <c r="AQ38" i="1"/>
  <c r="AP38" i="1"/>
  <c r="AL38" i="1"/>
  <c r="AJ38" i="1"/>
  <c r="AI38" i="1"/>
  <c r="AK38" i="1" s="1"/>
  <c r="AE38" i="1"/>
  <c r="AC38" i="1"/>
  <c r="AD38" i="1" s="1"/>
  <c r="R38" i="1"/>
  <c r="N38" i="1"/>
  <c r="L38" i="1"/>
  <c r="H38" i="1"/>
  <c r="F38" i="1"/>
  <c r="B38" i="1"/>
  <c r="AF38" i="1" s="1"/>
  <c r="Y28" i="1"/>
  <c r="U28" i="1"/>
  <c r="R28" i="1"/>
  <c r="N28" i="1"/>
  <c r="L28" i="1"/>
  <c r="H28" i="1"/>
  <c r="F28" i="1"/>
  <c r="B28" i="1"/>
  <c r="AY25" i="1"/>
  <c r="AX25" i="1"/>
  <c r="AW25" i="1"/>
  <c r="AV25" i="1"/>
  <c r="AR25" i="1"/>
  <c r="AO25" i="1"/>
  <c r="AQ25" i="1" s="1"/>
  <c r="AL25" i="1"/>
  <c r="AK25" i="1"/>
  <c r="AJ25" i="1"/>
  <c r="AI25" i="1"/>
  <c r="Y25" i="1"/>
  <c r="U25" i="1"/>
  <c r="R25" i="1"/>
  <c r="N25" i="1"/>
  <c r="L25" i="1"/>
  <c r="H25" i="1"/>
  <c r="AY24" i="1"/>
  <c r="AW24" i="1"/>
  <c r="AV24" i="1"/>
  <c r="AX24" i="1" s="1"/>
  <c r="AR24" i="1"/>
  <c r="AO24" i="1"/>
  <c r="AP24" i="1" s="1"/>
  <c r="AL24" i="1"/>
  <c r="AK24" i="1"/>
  <c r="AJ24" i="1"/>
  <c r="AI24" i="1"/>
  <c r="AF24" i="1"/>
  <c r="AE24" i="1"/>
  <c r="AC24" i="1"/>
  <c r="AD24" i="1" s="1"/>
  <c r="Y24" i="1"/>
  <c r="U24" i="1"/>
  <c r="R24" i="1"/>
  <c r="N24" i="1"/>
  <c r="L24" i="1"/>
  <c r="H24" i="1"/>
  <c r="B24" i="1"/>
  <c r="AX23" i="1"/>
  <c r="AV23" i="1"/>
  <c r="AW23" i="1" s="1"/>
  <c r="AQ23" i="1"/>
  <c r="AP23" i="1"/>
  <c r="AO23" i="1"/>
  <c r="AR23" i="1" s="1"/>
  <c r="AL23" i="1"/>
  <c r="AK23" i="1"/>
  <c r="AI23" i="1"/>
  <c r="AJ23" i="1" s="1"/>
  <c r="AE23" i="1"/>
  <c r="AD23" i="1"/>
  <c r="AC23" i="1"/>
  <c r="Y23" i="1"/>
  <c r="U23" i="1"/>
  <c r="R23" i="1"/>
  <c r="N23" i="1"/>
  <c r="L23" i="1"/>
  <c r="H23" i="1"/>
  <c r="F23" i="1"/>
  <c r="B23" i="1"/>
  <c r="AF23" i="1" s="1"/>
  <c r="AV22" i="1"/>
  <c r="AW22" i="1" s="1"/>
  <c r="AQ22" i="1"/>
  <c r="AP22" i="1"/>
  <c r="AO22" i="1"/>
  <c r="AR22" i="1" s="1"/>
  <c r="AK22" i="1"/>
  <c r="AI22" i="1"/>
  <c r="AJ22" i="1" s="1"/>
  <c r="AE22" i="1"/>
  <c r="AD22" i="1"/>
  <c r="AC22" i="1"/>
  <c r="Y22" i="1"/>
  <c r="U22" i="1"/>
  <c r="N22" i="1"/>
  <c r="L22" i="1"/>
  <c r="H22" i="1"/>
  <c r="F22" i="1"/>
  <c r="B22" i="1"/>
  <c r="AF22" i="1" s="1"/>
  <c r="AX21" i="1"/>
  <c r="AV21" i="1"/>
  <c r="AW21" i="1" s="1"/>
  <c r="AQ21" i="1"/>
  <c r="AP21" i="1"/>
  <c r="AO21" i="1"/>
  <c r="AR21" i="1" s="1"/>
  <c r="AL21" i="1"/>
  <c r="AK21" i="1"/>
  <c r="AI21" i="1"/>
  <c r="AJ21" i="1" s="1"/>
  <c r="AE21" i="1"/>
  <c r="AD21" i="1"/>
  <c r="AC21" i="1"/>
  <c r="Y21" i="1"/>
  <c r="U21" i="1"/>
  <c r="R21" i="1"/>
  <c r="N21" i="1"/>
  <c r="L21" i="1"/>
  <c r="H21" i="1"/>
  <c r="F21" i="1"/>
  <c r="B21" i="1"/>
  <c r="AF21" i="1" s="1"/>
  <c r="AV20" i="1"/>
  <c r="AW20" i="1" s="1"/>
  <c r="AQ20" i="1"/>
  <c r="AP20" i="1"/>
  <c r="AO20" i="1"/>
  <c r="AR20" i="1" s="1"/>
  <c r="AK20" i="1"/>
  <c r="AI20" i="1"/>
  <c r="AJ20" i="1" s="1"/>
  <c r="AE20" i="1"/>
  <c r="AD20" i="1"/>
  <c r="AC20" i="1"/>
  <c r="Y20" i="1"/>
  <c r="U20" i="1"/>
  <c r="R20" i="1"/>
  <c r="N20" i="1"/>
  <c r="L20" i="1"/>
  <c r="H20" i="1"/>
  <c r="B20" i="1"/>
  <c r="AX19" i="1"/>
  <c r="AV19" i="1"/>
  <c r="AW19" i="1" s="1"/>
  <c r="AQ19" i="1"/>
  <c r="AP19" i="1"/>
  <c r="AO19" i="1"/>
  <c r="AR19" i="1" s="1"/>
  <c r="AL19" i="1"/>
  <c r="AK19" i="1"/>
  <c r="AI19" i="1"/>
  <c r="AJ19" i="1" s="1"/>
  <c r="AE19" i="1"/>
  <c r="AD19" i="1"/>
  <c r="AC19" i="1"/>
  <c r="Y19" i="1"/>
  <c r="U19" i="1"/>
  <c r="R19" i="1"/>
  <c r="N19" i="1"/>
  <c r="L19" i="1"/>
  <c r="H19" i="1"/>
  <c r="F19" i="1"/>
  <c r="B19" i="1"/>
  <c r="AF19" i="1" s="1"/>
  <c r="AV18" i="1"/>
  <c r="AW18" i="1" s="1"/>
  <c r="AQ18" i="1"/>
  <c r="AP18" i="1"/>
  <c r="AO18" i="1"/>
  <c r="AR18" i="1" s="1"/>
  <c r="AK18" i="1"/>
  <c r="AI18" i="1"/>
  <c r="AJ18" i="1" s="1"/>
  <c r="AE18" i="1"/>
  <c r="AD18" i="1"/>
  <c r="AC18" i="1"/>
  <c r="Y18" i="1"/>
  <c r="U18" i="1"/>
  <c r="R18" i="1"/>
  <c r="N18" i="1"/>
  <c r="L18" i="1"/>
  <c r="H18" i="1"/>
  <c r="F18" i="1"/>
  <c r="B18" i="1"/>
  <c r="AF18" i="1" s="1"/>
  <c r="AV17" i="1"/>
  <c r="AW17" i="1" s="1"/>
  <c r="AQ17" i="1"/>
  <c r="AP17" i="1"/>
  <c r="AO17" i="1"/>
  <c r="AR17" i="1" s="1"/>
  <c r="AL17" i="1"/>
  <c r="AK17" i="1"/>
  <c r="AI17" i="1"/>
  <c r="AJ17" i="1" s="1"/>
  <c r="AE17" i="1"/>
  <c r="AD17" i="1"/>
  <c r="AC17" i="1"/>
  <c r="Y17" i="1"/>
  <c r="U17" i="1"/>
  <c r="R17" i="1"/>
  <c r="N17" i="1"/>
  <c r="L17" i="1"/>
  <c r="H17" i="1"/>
  <c r="F17" i="1"/>
  <c r="B17" i="1"/>
  <c r="AF17" i="1" s="1"/>
  <c r="AV16" i="1"/>
  <c r="AW16" i="1" s="1"/>
  <c r="AR16" i="1"/>
  <c r="AQ16" i="1"/>
  <c r="AP16" i="1"/>
  <c r="AO16" i="1"/>
  <c r="AC16" i="1"/>
  <c r="AD16" i="1" s="1"/>
  <c r="Y16" i="1"/>
  <c r="U16" i="1"/>
  <c r="R16" i="1"/>
  <c r="N16" i="1"/>
  <c r="B16" i="1"/>
  <c r="AV15" i="1"/>
  <c r="AR15" i="1"/>
  <c r="AP15" i="1"/>
  <c r="AO15" i="1"/>
  <c r="AQ15" i="1" s="1"/>
  <c r="AI15" i="1"/>
  <c r="AC15" i="1"/>
  <c r="AE15" i="1" s="1"/>
  <c r="Y15" i="1"/>
  <c r="U15" i="1"/>
  <c r="R15" i="1"/>
  <c r="N15" i="1"/>
  <c r="L15" i="1"/>
  <c r="H15" i="1"/>
  <c r="F15" i="1"/>
  <c r="B15" i="1"/>
  <c r="AF15" i="1" s="1"/>
  <c r="AX14" i="1"/>
  <c r="AV14" i="1"/>
  <c r="AR14" i="1"/>
  <c r="AQ14" i="1"/>
  <c r="AP14" i="1"/>
  <c r="AI14" i="1"/>
  <c r="AK14" i="1" s="1"/>
  <c r="AF14" i="1"/>
  <c r="AE14" i="1"/>
  <c r="AC14" i="1"/>
  <c r="AD14" i="1" s="1"/>
  <c r="Y14" i="1"/>
  <c r="U14" i="1"/>
  <c r="R14" i="1"/>
  <c r="N14" i="1"/>
  <c r="L14" i="1"/>
  <c r="H14" i="1"/>
  <c r="F14" i="1"/>
  <c r="B14" i="1"/>
  <c r="AI13" i="1"/>
  <c r="AC13" i="1"/>
  <c r="AE13" i="1" s="1"/>
  <c r="Y13" i="1"/>
  <c r="U13" i="1"/>
  <c r="L13" i="1"/>
  <c r="H13" i="1"/>
  <c r="B13" i="1"/>
  <c r="AF13" i="1" s="1"/>
  <c r="AV12" i="1"/>
  <c r="AI12" i="1"/>
  <c r="AC12" i="1"/>
  <c r="R12" i="1"/>
  <c r="N12" i="1"/>
  <c r="L12" i="1"/>
  <c r="H12" i="1"/>
  <c r="F12" i="1"/>
  <c r="B12" i="1"/>
  <c r="AX11" i="1"/>
  <c r="AW11" i="1"/>
  <c r="AV11" i="1"/>
  <c r="AY11" i="1" s="1"/>
  <c r="AR11" i="1"/>
  <c r="AQ11" i="1"/>
  <c r="AP11" i="1"/>
  <c r="AI11" i="1"/>
  <c r="AJ11" i="1" s="1"/>
  <c r="AF11" i="1"/>
  <c r="AC11" i="1"/>
  <c r="AE11" i="1" s="1"/>
  <c r="Y11" i="1"/>
  <c r="U11" i="1"/>
  <c r="L11" i="1"/>
  <c r="H11" i="1"/>
  <c r="F11" i="1"/>
  <c r="B11" i="1"/>
  <c r="AW10" i="1"/>
  <c r="AV10" i="1"/>
  <c r="AY10" i="1" s="1"/>
  <c r="AR10" i="1"/>
  <c r="AQ10" i="1"/>
  <c r="AP10" i="1"/>
  <c r="AI10" i="1"/>
  <c r="AL10" i="1" s="1"/>
  <c r="AE10" i="1"/>
  <c r="AD10" i="1"/>
  <c r="AC10" i="1"/>
  <c r="Y10" i="1"/>
  <c r="U10" i="1"/>
  <c r="R10" i="1"/>
  <c r="N10" i="1"/>
  <c r="L10" i="1"/>
  <c r="H10" i="1"/>
  <c r="F10" i="1"/>
  <c r="B10" i="1"/>
  <c r="AF10" i="1" s="1"/>
  <c r="AV9" i="1"/>
  <c r="AY9" i="1" s="1"/>
  <c r="AR9" i="1"/>
  <c r="AQ9" i="1"/>
  <c r="AP9" i="1"/>
  <c r="AL9" i="1"/>
  <c r="AI9" i="1"/>
  <c r="AK9" i="1" s="1"/>
  <c r="AC9" i="1"/>
  <c r="AD9" i="1" s="1"/>
  <c r="Y9" i="1"/>
  <c r="U9" i="1"/>
  <c r="R9" i="1"/>
  <c r="N9" i="1"/>
  <c r="L9" i="1"/>
  <c r="H9" i="1"/>
  <c r="F9" i="1"/>
  <c r="B9" i="1"/>
  <c r="AF9" i="1" s="1"/>
  <c r="AY8" i="1"/>
  <c r="AV8" i="1"/>
  <c r="AX8" i="1" s="1"/>
  <c r="AR8" i="1"/>
  <c r="AQ8" i="1"/>
  <c r="AP8" i="1"/>
  <c r="AL8" i="1"/>
  <c r="AK8" i="1"/>
  <c r="AI8" i="1"/>
  <c r="AJ8" i="1" s="1"/>
  <c r="AC8" i="1"/>
  <c r="AE8" i="1" s="1"/>
  <c r="Y8" i="1"/>
  <c r="U8" i="1"/>
  <c r="R8" i="1"/>
  <c r="N8" i="1"/>
  <c r="L8" i="1"/>
  <c r="H8" i="1"/>
  <c r="F8" i="1"/>
  <c r="B8" i="1"/>
  <c r="AY7" i="1"/>
  <c r="AX7" i="1"/>
  <c r="AV7" i="1"/>
  <c r="AW7" i="1" s="1"/>
  <c r="AR7" i="1"/>
  <c r="AQ7" i="1"/>
  <c r="AP7" i="1"/>
  <c r="AK7" i="1"/>
  <c r="AJ7" i="1"/>
  <c r="AI7" i="1"/>
  <c r="AD7" i="1"/>
  <c r="AC7" i="1"/>
  <c r="AE7" i="1" s="1"/>
  <c r="Y7" i="1"/>
  <c r="U7" i="1"/>
  <c r="R7" i="1"/>
  <c r="N7" i="1"/>
  <c r="L7" i="1"/>
  <c r="H7" i="1"/>
  <c r="F7" i="1"/>
  <c r="B7" i="1"/>
  <c r="AF7" i="1" s="1"/>
  <c r="AY6" i="1"/>
  <c r="AX6" i="1"/>
  <c r="AW6" i="1"/>
  <c r="AV6" i="1"/>
  <c r="AR6" i="1"/>
  <c r="AQ6" i="1"/>
  <c r="AP6" i="1"/>
  <c r="AK6" i="1"/>
  <c r="AJ6" i="1"/>
  <c r="AI6" i="1"/>
  <c r="AL6" i="1" s="1"/>
  <c r="AC6" i="1"/>
  <c r="AE6" i="1" s="1"/>
  <c r="Y6" i="1"/>
  <c r="U6" i="1"/>
  <c r="R6" i="1"/>
  <c r="N6" i="1"/>
  <c r="L6" i="1"/>
  <c r="H6" i="1"/>
  <c r="F6" i="1"/>
  <c r="B6" i="1"/>
  <c r="AF6" i="1" s="1"/>
  <c r="AX5" i="1"/>
  <c r="AW5" i="1"/>
  <c r="AV5" i="1"/>
  <c r="AY5" i="1" s="1"/>
  <c r="AR5" i="1"/>
  <c r="AQ5" i="1"/>
  <c r="AP5" i="1"/>
  <c r="AI5" i="1"/>
  <c r="AJ5" i="1" s="1"/>
  <c r="AF5" i="1"/>
  <c r="AC5" i="1"/>
  <c r="AE5" i="1" s="1"/>
  <c r="Y5" i="1"/>
  <c r="U5" i="1"/>
  <c r="R5" i="1"/>
  <c r="N5" i="1"/>
  <c r="L5" i="1"/>
  <c r="H5" i="1"/>
  <c r="F5" i="1"/>
  <c r="B5" i="1"/>
  <c r="AV4" i="1"/>
  <c r="AY4" i="1" s="1"/>
  <c r="AR4" i="1"/>
  <c r="AQ4" i="1"/>
  <c r="AP4" i="1"/>
  <c r="AI4" i="1"/>
  <c r="AL4" i="1" s="1"/>
  <c r="AF4" i="1"/>
  <c r="AE4" i="1"/>
  <c r="AC4" i="1"/>
  <c r="AD4" i="1" s="1"/>
  <c r="Y4" i="1"/>
  <c r="U4" i="1"/>
  <c r="R4" i="1"/>
  <c r="N4" i="1"/>
  <c r="L4" i="1"/>
  <c r="H4" i="1"/>
  <c r="F4" i="1"/>
  <c r="B4" i="1"/>
  <c r="AJ106" i="1" l="1"/>
  <c r="AY102" i="1"/>
  <c r="AY105" i="1"/>
  <c r="AX105" i="1"/>
  <c r="AL101" i="1"/>
  <c r="AK103" i="1"/>
  <c r="AE101" i="1"/>
  <c r="AE119" i="1"/>
  <c r="AD119" i="1"/>
  <c r="AY15" i="1"/>
  <c r="AW15" i="1"/>
  <c r="AX22" i="1"/>
  <c r="AL83" i="1"/>
  <c r="AK83" i="1"/>
  <c r="AJ4" i="1"/>
  <c r="AX4" i="1"/>
  <c r="AK5" i="1"/>
  <c r="AD8" i="1"/>
  <c r="AE9" i="1"/>
  <c r="AK11" i="1"/>
  <c r="AD13" i="1"/>
  <c r="AJ14" i="1"/>
  <c r="AD15" i="1"/>
  <c r="AX15" i="1"/>
  <c r="AE16" i="1"/>
  <c r="AY16" i="1"/>
  <c r="AY18" i="1"/>
  <c r="AY20" i="1"/>
  <c r="AY22" i="1"/>
  <c r="AY41" i="1"/>
  <c r="AK44" i="1"/>
  <c r="AY48" i="1"/>
  <c r="AE52" i="1"/>
  <c r="AK55" i="1"/>
  <c r="AJ55" i="1"/>
  <c r="AJ83" i="1"/>
  <c r="AD90" i="1"/>
  <c r="AD91" i="1"/>
  <c r="AD92" i="1"/>
  <c r="AE116" i="1"/>
  <c r="AD116" i="1"/>
  <c r="AL126" i="1"/>
  <c r="AJ126" i="1"/>
  <c r="AY45" i="1"/>
  <c r="AW45" i="1"/>
  <c r="AY75" i="1"/>
  <c r="AX75" i="1"/>
  <c r="AW75" i="1"/>
  <c r="AY85" i="1"/>
  <c r="AX85" i="1"/>
  <c r="AW4" i="1"/>
  <c r="AL82" i="1"/>
  <c r="AK82" i="1"/>
  <c r="AJ82" i="1"/>
  <c r="AK4" i="1"/>
  <c r="AL5" i="1"/>
  <c r="AL11" i="1"/>
  <c r="AL14" i="1"/>
  <c r="AL44" i="1"/>
  <c r="AE93" i="1"/>
  <c r="AD93" i="1"/>
  <c r="AY109" i="1"/>
  <c r="AX109" i="1"/>
  <c r="AW109" i="1"/>
  <c r="AR118" i="1"/>
  <c r="AQ118" i="1"/>
  <c r="AP118" i="1"/>
  <c r="AQ119" i="1"/>
  <c r="AR119" i="1"/>
  <c r="AQ121" i="1"/>
  <c r="AP121" i="1"/>
  <c r="AR121" i="1"/>
  <c r="AD54" i="1"/>
  <c r="AY76" i="1"/>
  <c r="AX76" i="1"/>
  <c r="AD6" i="1"/>
  <c r="AW9" i="1"/>
  <c r="AJ10" i="1"/>
  <c r="AX10" i="1"/>
  <c r="AL15" i="1"/>
  <c r="AJ15" i="1"/>
  <c r="AL18" i="1"/>
  <c r="AL22" i="1"/>
  <c r="AX43" i="1"/>
  <c r="AY46" i="1"/>
  <c r="AR51" i="1"/>
  <c r="AP51" i="1"/>
  <c r="AP53" i="1"/>
  <c r="AK72" i="1"/>
  <c r="AE73" i="1"/>
  <c r="AD73" i="1"/>
  <c r="AY81" i="1"/>
  <c r="AX81" i="1"/>
  <c r="AW81" i="1"/>
  <c r="AL84" i="1"/>
  <c r="AK84" i="1"/>
  <c r="AL85" i="1"/>
  <c r="AK85" i="1"/>
  <c r="AQ86" i="1"/>
  <c r="AY110" i="1"/>
  <c r="AX110" i="1"/>
  <c r="AE117" i="1"/>
  <c r="AD117" i="1"/>
  <c r="AP119" i="1"/>
  <c r="AE123" i="1"/>
  <c r="AD123" i="1"/>
  <c r="AX16" i="1"/>
  <c r="AX20" i="1"/>
  <c r="AR117" i="1"/>
  <c r="AQ117" i="1"/>
  <c r="AP117" i="1"/>
  <c r="AD5" i="1"/>
  <c r="AW8" i="1"/>
  <c r="AJ9" i="1"/>
  <c r="AX9" i="1"/>
  <c r="AK10" i="1"/>
  <c r="AD11" i="1"/>
  <c r="AK15" i="1"/>
  <c r="AX17" i="1"/>
  <c r="AY43" i="1"/>
  <c r="AL46" i="1"/>
  <c r="AJ46" i="1"/>
  <c r="AR53" i="1"/>
  <c r="AL72" i="1"/>
  <c r="AL76" i="1"/>
  <c r="AK76" i="1"/>
  <c r="AJ76" i="1"/>
  <c r="AL77" i="1"/>
  <c r="AK77" i="1"/>
  <c r="AY82" i="1"/>
  <c r="AX82" i="1"/>
  <c r="AR86" i="1"/>
  <c r="AR88" i="1"/>
  <c r="AQ88" i="1"/>
  <c r="AR89" i="1"/>
  <c r="AQ89" i="1"/>
  <c r="AR90" i="1"/>
  <c r="AQ90" i="1"/>
  <c r="AR91" i="1"/>
  <c r="AQ91" i="1"/>
  <c r="AR92" i="1"/>
  <c r="AQ92" i="1"/>
  <c r="AW110" i="1"/>
  <c r="AL115" i="1"/>
  <c r="AK115" i="1"/>
  <c r="AJ115" i="1"/>
  <c r="AE124" i="1"/>
  <c r="AY17" i="1"/>
  <c r="AY19" i="1"/>
  <c r="AY21" i="1"/>
  <c r="AY23" i="1"/>
  <c r="AQ24" i="1"/>
  <c r="AP25" i="1"/>
  <c r="AJ39" i="1"/>
  <c r="AK46" i="1"/>
  <c r="AX71" i="1"/>
  <c r="AD74" i="1"/>
  <c r="AJ77" i="1"/>
  <c r="AK79" i="1"/>
  <c r="AW82" i="1"/>
  <c r="AP88" i="1"/>
  <c r="AP89" i="1"/>
  <c r="AP90" i="1"/>
  <c r="AP91" i="1"/>
  <c r="AP92" i="1"/>
  <c r="AD107" i="1"/>
  <c r="AE118" i="1"/>
  <c r="AD118" i="1"/>
  <c r="AY120" i="1"/>
  <c r="AX120" i="1"/>
  <c r="AL122" i="1"/>
  <c r="AK122" i="1"/>
  <c r="AX55" i="1"/>
  <c r="AW55" i="1"/>
  <c r="AY84" i="1"/>
  <c r="AX84" i="1"/>
  <c r="AL110" i="1"/>
  <c r="AK110" i="1"/>
  <c r="AJ110" i="1"/>
  <c r="AL111" i="1"/>
  <c r="AK111" i="1"/>
  <c r="AX114" i="1"/>
  <c r="AW114" i="1"/>
  <c r="AX18" i="1"/>
  <c r="AX41" i="1"/>
  <c r="AE43" i="1"/>
  <c r="AX45" i="1"/>
  <c r="AX48" i="1"/>
  <c r="AY55" i="1"/>
  <c r="AW85" i="1"/>
  <c r="AJ111" i="1"/>
  <c r="AY14" i="1"/>
  <c r="AW14" i="1"/>
  <c r="AP57" i="1"/>
  <c r="AE81" i="1"/>
  <c r="AD81" i="1"/>
  <c r="AR116" i="1"/>
  <c r="AQ116" i="1"/>
  <c r="AP116" i="1"/>
  <c r="AY125" i="1"/>
  <c r="AW125" i="1"/>
  <c r="AQ122" i="1"/>
  <c r="AP122" i="1"/>
  <c r="AJ56" i="1"/>
  <c r="AW56" i="1"/>
  <c r="AW74" i="1"/>
  <c r="AD78" i="1"/>
  <c r="AD84" i="1"/>
  <c r="AJ95" i="1"/>
  <c r="AW95" i="1"/>
  <c r="AW107" i="1"/>
  <c r="AJ108" i="1"/>
  <c r="AW112" i="1"/>
  <c r="AJ113" i="1"/>
  <c r="AW119" i="1"/>
  <c r="AE121" i="1"/>
  <c r="AD121" i="1"/>
  <c r="AW121" i="1"/>
  <c r="AR122" i="1"/>
  <c r="AL125" i="1"/>
  <c r="AW47" i="1"/>
  <c r="AJ53" i="1"/>
  <c r="AW53" i="1"/>
  <c r="AW73" i="1"/>
  <c r="AJ74" i="1"/>
  <c r="AP84" i="1"/>
  <c r="AP85" i="1"/>
  <c r="AW88" i="1"/>
  <c r="AJ89" i="1"/>
  <c r="AJ90" i="1"/>
  <c r="AJ91" i="1"/>
  <c r="AW91" i="1"/>
  <c r="AJ92" i="1"/>
  <c r="AJ107" i="1"/>
  <c r="AJ119" i="1"/>
  <c r="AX121" i="1"/>
  <c r="AQ123" i="1"/>
  <c r="AP123" i="1"/>
  <c r="AQ120" i="1"/>
  <c r="AP120" i="1"/>
  <c r="AE122" i="1"/>
  <c r="AD122" i="1"/>
  <c r="AR124" i="1"/>
  <c r="AP124" i="1"/>
  <c r="AY126" i="1"/>
  <c r="AW126" i="1"/>
  <c r="AR120" i="1"/>
  <c r="AJ121" i="1"/>
  <c r="AQ124" i="1"/>
  <c r="AX126" i="1"/>
  <c r="BN352" i="1"/>
  <c r="BN354" i="1"/>
  <c r="BN359" i="1"/>
  <c r="BN389" i="1"/>
  <c r="BO389" i="1" s="1"/>
  <c r="BN394" i="1"/>
  <c r="BN396" i="1"/>
  <c r="BN370" i="1"/>
  <c r="BN372" i="1"/>
</calcChain>
</file>

<file path=xl/sharedStrings.xml><?xml version="1.0" encoding="utf-8"?>
<sst xmlns="http://schemas.openxmlformats.org/spreadsheetml/2006/main" count="2178" uniqueCount="230">
  <si>
    <t>Group 1 (%)</t>
  </si>
  <si>
    <t xml:space="preserve">Colors Yellow: %of total cells / Red: cannot be analyzed </t>
  </si>
  <si>
    <t>Data: %of total cells</t>
  </si>
  <si>
    <t>Colon</t>
  </si>
  <si>
    <t>DUO</t>
  </si>
  <si>
    <t>ILE</t>
  </si>
  <si>
    <t>JEJ</t>
  </si>
  <si>
    <t>CD11c</t>
  </si>
  <si>
    <t>CD11b+CD103+</t>
  </si>
  <si>
    <t>CD11b-CD103+</t>
  </si>
  <si>
    <t>CD11b+CD103-</t>
  </si>
  <si>
    <t>CD11b</t>
  </si>
  <si>
    <t>CD11bGR-1</t>
  </si>
  <si>
    <t>401 IBD-1</t>
  </si>
  <si>
    <t>410 IBD-1</t>
  </si>
  <si>
    <t>411 IBD-1</t>
  </si>
  <si>
    <t>434 IBD-1</t>
  </si>
  <si>
    <t>439 IBD-1</t>
  </si>
  <si>
    <t>445 IBD-1</t>
  </si>
  <si>
    <t>446 IBD-1</t>
  </si>
  <si>
    <t>415 IBD-1</t>
  </si>
  <si>
    <t>450 IBD-1</t>
  </si>
  <si>
    <t>481 IBD-1</t>
  </si>
  <si>
    <t>483 IBD-1</t>
  </si>
  <si>
    <t>1854 IBD-1</t>
  </si>
  <si>
    <t>1874 IBD-1</t>
  </si>
  <si>
    <t>1877 IBD-1</t>
  </si>
  <si>
    <t>1881 IBD-1</t>
  </si>
  <si>
    <t>1885 IBD-1</t>
  </si>
  <si>
    <t>1886 IBD-1</t>
  </si>
  <si>
    <t>1899 IBD-1</t>
  </si>
  <si>
    <t>1900 IBD-1</t>
  </si>
  <si>
    <t>433 IBD-1</t>
  </si>
  <si>
    <t>500 IBD-1</t>
  </si>
  <si>
    <t>461 IBD-1</t>
  </si>
  <si>
    <t>1875 IBD-1</t>
  </si>
  <si>
    <t>1894 IBD-1</t>
  </si>
  <si>
    <t>463 IBD-1</t>
  </si>
  <si>
    <t>448 IBD-1</t>
  </si>
  <si>
    <t>476 IBD-1</t>
  </si>
  <si>
    <t>470 IBD-2</t>
  </si>
  <si>
    <t>578 IBD-2</t>
  </si>
  <si>
    <t>495 IBD-2</t>
  </si>
  <si>
    <t>493 IBD-2</t>
  </si>
  <si>
    <t>452 IBD-2</t>
  </si>
  <si>
    <t>464 IBD-2</t>
  </si>
  <si>
    <t>490 IBD-2</t>
  </si>
  <si>
    <t>550 IBD-2</t>
  </si>
  <si>
    <t>485 IBD-2</t>
  </si>
  <si>
    <t>577 IBD-2</t>
  </si>
  <si>
    <t>473 IBD-2</t>
  </si>
  <si>
    <t>469 IBD-2</t>
  </si>
  <si>
    <t>575 IBD-2</t>
  </si>
  <si>
    <t>424 IBD-2</t>
  </si>
  <si>
    <t>418 IBD-2</t>
  </si>
  <si>
    <t>423 IBD-2</t>
  </si>
  <si>
    <t>430 IBD-2</t>
  </si>
  <si>
    <t>492 IBD-2</t>
  </si>
  <si>
    <t>458 IBD-2</t>
  </si>
  <si>
    <t>486 IBD-2</t>
  </si>
  <si>
    <t>449 IBD-2</t>
  </si>
  <si>
    <t>431 IBD-2</t>
  </si>
  <si>
    <t>453 IBD-2</t>
  </si>
  <si>
    <t>576 IBD-2</t>
  </si>
  <si>
    <t>601 IBD-2</t>
  </si>
  <si>
    <t>689 IBD-2</t>
  </si>
  <si>
    <t>816 IBD-2</t>
  </si>
  <si>
    <t>826 IBD-2</t>
  </si>
  <si>
    <t>834 IBD-2</t>
  </si>
  <si>
    <t>835 IBD-2</t>
  </si>
  <si>
    <t>843 IBD-2</t>
  </si>
  <si>
    <t>855 IBD-2</t>
  </si>
  <si>
    <t>283 HC-1</t>
  </si>
  <si>
    <t>247 HC-1</t>
  </si>
  <si>
    <t>267 HC-1</t>
  </si>
  <si>
    <t>268 HC-1</t>
  </si>
  <si>
    <t>282 HC-1</t>
  </si>
  <si>
    <t>231 HC-1</t>
  </si>
  <si>
    <t>274 HC-1</t>
  </si>
  <si>
    <t>269 HC-1</t>
  </si>
  <si>
    <t>303 HC-1</t>
  </si>
  <si>
    <t>280 HC-1</t>
  </si>
  <si>
    <t>277 HC-1</t>
  </si>
  <si>
    <t>248 HC-1</t>
  </si>
  <si>
    <t>300 HC-1</t>
  </si>
  <si>
    <t>287 HC-1</t>
  </si>
  <si>
    <t>304 HC-1</t>
  </si>
  <si>
    <t>308 HC-1</t>
  </si>
  <si>
    <t>316 HC-1</t>
  </si>
  <si>
    <t>317 HC-1</t>
  </si>
  <si>
    <t>677 HC-1</t>
  </si>
  <si>
    <t>713 HC-1</t>
  </si>
  <si>
    <t>617 HC-1</t>
  </si>
  <si>
    <t>674 HC-1</t>
  </si>
  <si>
    <t>289 HC-1</t>
  </si>
  <si>
    <t>614 HC-1</t>
  </si>
  <si>
    <t>722 HC-1</t>
  </si>
  <si>
    <t>315 HC-1</t>
  </si>
  <si>
    <t>604 HC-1</t>
  </si>
  <si>
    <t>612 HC-1</t>
  </si>
  <si>
    <t>669 HC-1</t>
  </si>
  <si>
    <t>676 HC-1</t>
  </si>
  <si>
    <t>716 HC-1</t>
  </si>
  <si>
    <t>528 HC-2</t>
  </si>
  <si>
    <t>562 HC-2</t>
  </si>
  <si>
    <t>542 HC-2</t>
  </si>
  <si>
    <t>504 HC-2</t>
  </si>
  <si>
    <t>559 HC-2</t>
  </si>
  <si>
    <t>515 HC-2</t>
  </si>
  <si>
    <t>1868 HC-2</t>
  </si>
  <si>
    <t>1835 HC-2</t>
  </si>
  <si>
    <t>1871 HC-2</t>
  </si>
  <si>
    <t>1832 HC-2</t>
  </si>
  <si>
    <t>1870 HC-2</t>
  </si>
  <si>
    <t>491 HC-2</t>
  </si>
  <si>
    <t>560 HC-2</t>
  </si>
  <si>
    <t>545 HC-2</t>
  </si>
  <si>
    <t>519 HC-2</t>
  </si>
  <si>
    <t>574 HC-2</t>
  </si>
  <si>
    <t>1829 HC-2</t>
  </si>
  <si>
    <t>1826 HC-2</t>
  </si>
  <si>
    <t>1806 HC-2</t>
  </si>
  <si>
    <t>1827 HC-2</t>
  </si>
  <si>
    <t>1535 HC-2</t>
  </si>
  <si>
    <t>1802 HC-2</t>
  </si>
  <si>
    <t>1836 HC-2</t>
  </si>
  <si>
    <t>1837 HC-2</t>
  </si>
  <si>
    <t>568 HC-2</t>
  </si>
  <si>
    <t>570 HC-2</t>
  </si>
  <si>
    <t>1537 HC-2</t>
  </si>
  <si>
    <t>1540 HC-2</t>
  </si>
  <si>
    <t>1811 HC-2</t>
  </si>
  <si>
    <t>1816 HC-2</t>
  </si>
  <si>
    <t>Group 2 (%)</t>
  </si>
  <si>
    <t>CD3</t>
  </si>
  <si>
    <t>CD4</t>
  </si>
  <si>
    <t>CD8</t>
  </si>
  <si>
    <t>CD19</t>
  </si>
  <si>
    <t>NK(CD3-NKp46+)</t>
  </si>
  <si>
    <t>CD3IFNg</t>
  </si>
  <si>
    <t>CD3IL-4</t>
  </si>
  <si>
    <t>CD3-IL22</t>
  </si>
  <si>
    <t>CD3IFNg (%total)</t>
  </si>
  <si>
    <t>CD3IL-4 (%total)</t>
  </si>
  <si>
    <t>CD3-IL22 (%total)</t>
  </si>
  <si>
    <t>CD3-IL17</t>
  </si>
  <si>
    <t>IL17+IL-22+</t>
  </si>
  <si>
    <t>IL17+IFNg+</t>
  </si>
  <si>
    <t>IL17+IL-4+</t>
  </si>
  <si>
    <t>CD3/IL22</t>
  </si>
  <si>
    <t>IFNg/IL22</t>
  </si>
  <si>
    <t>%IFNg+IL22+ (of CD3)</t>
  </si>
  <si>
    <t>430 IBD-1</t>
  </si>
  <si>
    <t>Group 3 (%)</t>
  </si>
  <si>
    <t>CD3T-bet</t>
  </si>
  <si>
    <t>CD3RORgt</t>
  </si>
  <si>
    <t>CD3Foxp3</t>
  </si>
  <si>
    <t>CD4Tbet</t>
  </si>
  <si>
    <t>CD4Rorgt</t>
  </si>
  <si>
    <t>RORgt/Foxp3</t>
  </si>
  <si>
    <t>Rorgt+Foxp3+</t>
  </si>
  <si>
    <t>Foxp3 (of total)</t>
  </si>
  <si>
    <t>RORgt (of total)</t>
  </si>
  <si>
    <t>RORgt/Foxp3 (total)</t>
  </si>
  <si>
    <t>Foxp3(of total)</t>
  </si>
  <si>
    <t>CD4-Foxp3</t>
  </si>
  <si>
    <t>483  IBD-1</t>
  </si>
  <si>
    <t>317 HC-713</t>
  </si>
  <si>
    <t>604 HC-713</t>
  </si>
  <si>
    <t>713 HC-713</t>
  </si>
  <si>
    <t>268 HC-713</t>
  </si>
  <si>
    <t>282 HC-713</t>
  </si>
  <si>
    <t>612 HC-713</t>
  </si>
  <si>
    <t>277 HC-713</t>
  </si>
  <si>
    <t>614 HC-713</t>
  </si>
  <si>
    <t>248 HC-713</t>
  </si>
  <si>
    <t>274 HC-713</t>
  </si>
  <si>
    <t>269 HC-713</t>
  </si>
  <si>
    <t>280 HC-713</t>
  </si>
  <si>
    <t>669 HC-713</t>
  </si>
  <si>
    <t>300 HC-713</t>
  </si>
  <si>
    <t>316 HC-713</t>
  </si>
  <si>
    <t>308 HC-713</t>
  </si>
  <si>
    <t>722 HC-713</t>
  </si>
  <si>
    <t>304 HC-713</t>
  </si>
  <si>
    <t>287 HC-713</t>
  </si>
  <si>
    <t>315 HC-713</t>
  </si>
  <si>
    <t>676 HC-713</t>
  </si>
  <si>
    <t>546 HC-2</t>
  </si>
  <si>
    <t>1534 HC-2</t>
  </si>
  <si>
    <t>1866 HC-2</t>
  </si>
  <si>
    <t>COLON_%Foxp3</t>
  </si>
  <si>
    <t>COLON_%RORgt</t>
  </si>
  <si>
    <t xml:space="preserve">COLON_RORgt/Foxp3 </t>
  </si>
  <si>
    <t>DUO_%RORgt</t>
  </si>
  <si>
    <t>DUO_%Foxp3</t>
  </si>
  <si>
    <t>DUO_RORgt/Foxp3</t>
  </si>
  <si>
    <t>ILE_%Foxp3</t>
  </si>
  <si>
    <t>ILE_%RORgt</t>
  </si>
  <si>
    <t>ILE_RORgt/Foxp3</t>
  </si>
  <si>
    <t>JEJ_%Foxp3</t>
  </si>
  <si>
    <t>JEJ_%RORgt</t>
  </si>
  <si>
    <t>JEJ_RORgt/Foxp3</t>
  </si>
  <si>
    <t>COLON_CD11c</t>
  </si>
  <si>
    <t>COLON_CD11b+CD103+</t>
  </si>
  <si>
    <t>COLON_CD11b-CD103+</t>
  </si>
  <si>
    <t>COLON_CD11b+CD103-</t>
  </si>
  <si>
    <t>DUO_CD11c</t>
  </si>
  <si>
    <t>DUO_CD11b+CD103+</t>
  </si>
  <si>
    <t>DUO_CD11b-CD103+</t>
  </si>
  <si>
    <t>DUO_CD11b+CD103-</t>
  </si>
  <si>
    <t>ILE_CD11c</t>
  </si>
  <si>
    <t>ILE_CD11b+CD103+</t>
  </si>
  <si>
    <t>ILE_CD11b-CD103+</t>
  </si>
  <si>
    <t>ILE_CD11b+CD103-</t>
  </si>
  <si>
    <t>JEJ_CD11c</t>
  </si>
  <si>
    <t>JEJ_CD11b+CD103+</t>
  </si>
  <si>
    <t>JEJ_CD11b-CD103+</t>
  </si>
  <si>
    <t>JEJ_CD11b+CD103-</t>
  </si>
  <si>
    <t>IBD</t>
  </si>
  <si>
    <t>otu_1</t>
  </si>
  <si>
    <t>F</t>
  </si>
  <si>
    <t>M</t>
  </si>
  <si>
    <t>otu_2</t>
  </si>
  <si>
    <t>Healthy</t>
  </si>
  <si>
    <t>IBD_stat</t>
  </si>
  <si>
    <t>otu_type</t>
  </si>
  <si>
    <t>mouse_sex</t>
  </si>
  <si>
    <t>NA</t>
  </si>
  <si>
    <t>infl_score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</si>
</sst>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2"/>
      <color rgb="FF1E1E1E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40000"/>
        <bgColor indexed="64"/>
      </patternFill>
    </fill>
    <fill>
      <patternFill patternType="solid">
        <fgColor rgb="FFF4F4F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4" fillId="2" borderId="1" xfId="0" applyFont="1" applyFill="1" applyBorder="1"/>
    <xf numFmtId="0" fontId="6" fillId="0" borderId="0" xfId="0" applyFont="1"/>
    <xf numFmtId="0" fontId="6" fillId="3" borderId="0" xfId="0" applyFont="1" applyFill="1"/>
    <xf numFmtId="0" fontId="4" fillId="3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0" applyFont="1" applyBorder="1" applyAlignment="1">
      <alignment wrapText="1"/>
    </xf>
    <xf numFmtId="0" fontId="9" fillId="0" borderId="1" xfId="0" applyFont="1" applyBorder="1"/>
    <xf numFmtId="0" fontId="8" fillId="0" borderId="0" xfId="0" applyFont="1"/>
    <xf numFmtId="0" fontId="8" fillId="4" borderId="1" xfId="0" applyFont="1" applyFill="1" applyBorder="1"/>
    <xf numFmtId="0" fontId="4" fillId="4" borderId="1" xfId="0" applyFont="1" applyFill="1" applyBorder="1"/>
    <xf numFmtId="0" fontId="6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/>
    <xf numFmtId="0" fontId="10" fillId="0" borderId="1" xfId="0" applyFont="1" applyBorder="1" applyAlignment="1">
      <alignment wrapText="1"/>
    </xf>
    <xf numFmtId="0" fontId="6" fillId="0" borderId="1" xfId="0" applyFont="1" applyBorder="1" applyAlignment="1">
      <alignment wrapText="1" shrinkToFit="1"/>
    </xf>
    <xf numFmtId="0" fontId="10" fillId="4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 shrinkToFit="1"/>
    </xf>
    <xf numFmtId="0" fontId="11" fillId="0" borderId="1" xfId="0" applyFont="1" applyBorder="1"/>
    <xf numFmtId="0" fontId="11" fillId="5" borderId="1" xfId="0" applyFont="1" applyFill="1" applyBorder="1"/>
    <xf numFmtId="0" fontId="4" fillId="5" borderId="1" xfId="0" applyFont="1" applyFill="1" applyBorder="1"/>
    <xf numFmtId="0" fontId="8" fillId="5" borderId="1" xfId="0" applyFont="1" applyFill="1" applyBorder="1"/>
    <xf numFmtId="0" fontId="6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12" fillId="0" borderId="1" xfId="0" applyFont="1" applyBorder="1"/>
    <xf numFmtId="0" fontId="13" fillId="6" borderId="1" xfId="0" applyFont="1" applyFill="1" applyBorder="1"/>
    <xf numFmtId="0" fontId="13" fillId="3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14" fillId="6" borderId="1" xfId="0" applyFont="1" applyFill="1" applyBorder="1"/>
    <xf numFmtId="0" fontId="13" fillId="6" borderId="1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3" fillId="0" borderId="1" xfId="0" applyFont="1" applyBorder="1"/>
    <xf numFmtId="0" fontId="13" fillId="0" borderId="1" xfId="0" applyFont="1" applyBorder="1"/>
    <xf numFmtId="0" fontId="16" fillId="0" borderId="1" xfId="0" applyFont="1" applyBorder="1"/>
    <xf numFmtId="3" fontId="3" fillId="0" borderId="1" xfId="0" applyNumberFormat="1" applyFont="1" applyBorder="1"/>
    <xf numFmtId="0" fontId="0" fillId="0" borderId="1" xfId="0" applyBorder="1"/>
    <xf numFmtId="0" fontId="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7" fillId="0" borderId="1" xfId="0" applyFont="1" applyBorder="1"/>
    <xf numFmtId="0" fontId="19" fillId="0" borderId="1" xfId="0" applyFont="1" applyBorder="1"/>
    <xf numFmtId="0" fontId="13" fillId="0" borderId="1" xfId="0" applyFont="1" applyBorder="1" applyAlignment="1">
      <alignment wrapText="1"/>
    </xf>
    <xf numFmtId="0" fontId="0" fillId="0" borderId="1" xfId="0" applyBorder="1" applyAlignment="1">
      <alignment wrapText="1" shrinkToFit="1"/>
    </xf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0" fontId="24" fillId="0" borderId="1" xfId="0" applyFont="1" applyBorder="1"/>
    <xf numFmtId="0" fontId="4" fillId="7" borderId="1" xfId="0" applyFont="1" applyFill="1" applyBorder="1"/>
    <xf numFmtId="0" fontId="9" fillId="7" borderId="1" xfId="0" applyFont="1" applyFill="1" applyBorder="1"/>
    <xf numFmtId="0" fontId="6" fillId="7" borderId="1" xfId="0" applyFont="1" applyFill="1" applyBorder="1"/>
    <xf numFmtId="0" fontId="8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25" fillId="0" borderId="1" xfId="0" applyFont="1" applyBorder="1"/>
    <xf numFmtId="0" fontId="7" fillId="7" borderId="1" xfId="0" applyFont="1" applyFill="1" applyBorder="1" applyAlignment="1">
      <alignment wrapText="1"/>
    </xf>
    <xf numFmtId="0" fontId="25" fillId="0" borderId="0" xfId="0" applyFont="1"/>
    <xf numFmtId="0" fontId="26" fillId="0" borderId="1" xfId="0" applyFont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26" fillId="0" borderId="1" xfId="0" applyFont="1" applyBorder="1"/>
    <xf numFmtId="0" fontId="27" fillId="0" borderId="1" xfId="0" applyFont="1" applyBorder="1"/>
    <xf numFmtId="0" fontId="28" fillId="7" borderId="1" xfId="0" applyFont="1" applyFill="1" applyBorder="1"/>
    <xf numFmtId="0" fontId="29" fillId="7" borderId="1" xfId="0" applyFont="1" applyFill="1" applyBorder="1" applyAlignment="1">
      <alignment wrapText="1"/>
    </xf>
    <xf numFmtId="0" fontId="29" fillId="7" borderId="1" xfId="0" applyFont="1" applyFill="1" applyBorder="1"/>
    <xf numFmtId="0" fontId="6" fillId="8" borderId="1" xfId="0" applyFont="1" applyFill="1" applyBorder="1"/>
    <xf numFmtId="0" fontId="26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6" fillId="7" borderId="1" xfId="0" applyFont="1" applyFill="1" applyBorder="1" applyAlignment="1">
      <alignment wrapText="1" shrinkToFit="1"/>
    </xf>
    <xf numFmtId="0" fontId="12" fillId="0" borderId="1" xfId="0" applyFont="1" applyBorder="1" applyAlignment="1">
      <alignment wrapText="1"/>
    </xf>
    <xf numFmtId="0" fontId="12" fillId="7" borderId="1" xfId="0" applyFont="1" applyFill="1" applyBorder="1"/>
    <xf numFmtId="0" fontId="6" fillId="7" borderId="0" xfId="0" applyFont="1" applyFill="1"/>
    <xf numFmtId="0" fontId="10" fillId="7" borderId="1" xfId="0" applyFont="1" applyFill="1" applyBorder="1" applyAlignment="1">
      <alignment wrapText="1"/>
    </xf>
    <xf numFmtId="0" fontId="4" fillId="9" borderId="1" xfId="0" applyFont="1" applyFill="1" applyBorder="1"/>
    <xf numFmtId="0" fontId="25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6" fillId="9" borderId="1" xfId="0" applyFont="1" applyFill="1" applyBorder="1"/>
    <xf numFmtId="0" fontId="12" fillId="9" borderId="1" xfId="0" applyFont="1" applyFill="1" applyBorder="1" applyAlignment="1">
      <alignment wrapText="1"/>
    </xf>
    <xf numFmtId="0" fontId="6" fillId="9" borderId="1" xfId="0" applyFont="1" applyFill="1" applyBorder="1" applyAlignment="1">
      <alignment wrapText="1"/>
    </xf>
    <xf numFmtId="0" fontId="6" fillId="9" borderId="1" xfId="0" applyFont="1" applyFill="1" applyBorder="1" applyAlignment="1">
      <alignment wrapText="1" shrinkToFit="1"/>
    </xf>
    <xf numFmtId="0" fontId="5" fillId="0" borderId="2" xfId="1" applyFont="1" applyFill="1" applyBorder="1" applyAlignment="1">
      <alignment horizontal="left"/>
    </xf>
    <xf numFmtId="0" fontId="2" fillId="0" borderId="3" xfId="1" applyFill="1" applyBorder="1" applyAlignment="1">
      <alignment horizontal="left"/>
    </xf>
    <xf numFmtId="0" fontId="2" fillId="0" borderId="4" xfId="1" applyFill="1" applyBorder="1" applyAlignment="1">
      <alignment horizontal="left"/>
    </xf>
    <xf numFmtId="0" fontId="25" fillId="0" borderId="0" xfId="0" applyFont="1" applyBorder="1"/>
    <xf numFmtId="0" fontId="25" fillId="9" borderId="0" xfId="0" applyFont="1" applyFill="1" applyBorder="1"/>
    <xf numFmtId="0" fontId="30" fillId="10" borderId="0" xfId="0" applyFont="1" applyFill="1" applyAlignment="1">
      <alignment vertical="center" wrapText="1"/>
    </xf>
  </cellXfs>
  <cellStyles count="2">
    <cellStyle name="Explanatory Text" xfId="1" builtinId="53"/>
    <cellStyle name="Normal" xfId="0" builtinId="0"/>
  </cellStyles>
  <dxfs count="4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F023-8D03-444E-B32F-E14221232CBF}">
  <dimension ref="A1:AG117"/>
  <sheetViews>
    <sheetView topLeftCell="A78" workbookViewId="0">
      <selection activeCell="A92" sqref="A92"/>
    </sheetView>
  </sheetViews>
  <sheetFormatPr defaultRowHeight="14.4" x14ac:dyDescent="0.3"/>
  <sheetData>
    <row r="1" spans="1:33" ht="41.4" x14ac:dyDescent="0.3">
      <c r="A1" s="60"/>
      <c r="B1" s="60" t="s">
        <v>225</v>
      </c>
      <c r="C1" s="60" t="s">
        <v>226</v>
      </c>
      <c r="D1" s="60" t="s">
        <v>227</v>
      </c>
      <c r="E1" s="60" t="s">
        <v>229</v>
      </c>
      <c r="F1" s="66" t="s">
        <v>191</v>
      </c>
      <c r="G1" s="66" t="s">
        <v>192</v>
      </c>
      <c r="H1" s="66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t="s">
        <v>217</v>
      </c>
      <c r="AG1" t="s">
        <v>218</v>
      </c>
    </row>
    <row r="2" spans="1:33" x14ac:dyDescent="0.3">
      <c r="A2" s="27">
        <v>231</v>
      </c>
      <c r="B2" s="27" t="str">
        <f>VLOOKUP($A2, Sheet5!$A$1:$E$119,2,FALSE)</f>
        <v>Healthy</v>
      </c>
      <c r="C2" s="27" t="str">
        <f>VLOOKUP($A2, Sheet5!$A$1:$E$119,3,FALSE)</f>
        <v>otu_1</v>
      </c>
      <c r="D2" s="27" t="str">
        <f>VLOOKUP($A2, Sheet5!$A$1:$E$119,4,FALSE)</f>
        <v>M</v>
      </c>
      <c r="E2" s="27">
        <f>VLOOKUP($A2, Sheet5!$A$1:$E$119,5,FALSE)</f>
        <v>2</v>
      </c>
      <c r="F2" s="67">
        <v>0.39825900000000003</v>
      </c>
      <c r="G2" s="67">
        <v>0.27454800000000001</v>
      </c>
      <c r="H2" s="67">
        <v>2.8333126934984524E-2</v>
      </c>
      <c r="R2">
        <f>VLOOKUP($A2,Sheet4!$A$2:$Q$122,2,FALSE)</f>
        <v>6.96</v>
      </c>
      <c r="S2">
        <f>VLOOKUP($A2,Sheet4!$A$2:$Q$122,3,FALSE)</f>
        <v>3.8280000000000002E-2</v>
      </c>
      <c r="T2">
        <f>VLOOKUP($A2,Sheet4!$A$2:$Q$122,4,FALSE)</f>
        <v>0.27213599999999999</v>
      </c>
      <c r="U2">
        <f>VLOOKUP($A2,Sheet4!$A$2:$Q$122,5,FALSE)</f>
        <v>5.8324799999999994</v>
      </c>
      <c r="V2">
        <f>VLOOKUP($A2,Sheet4!$A$2:$Q$122,6,FALSE)</f>
        <v>2.4899999999999998</v>
      </c>
      <c r="W2">
        <f>VLOOKUP($A2,Sheet4!$A$2:$Q$122,7,FALSE)</f>
        <v>8.3663999999999988E-2</v>
      </c>
      <c r="X2">
        <f>VLOOKUP($A2,Sheet4!$A$2:$Q$122,8,FALSE)</f>
        <v>3.5357999999999994E-2</v>
      </c>
      <c r="Y2">
        <f>VLOOKUP($A2,Sheet4!$A$2:$Q$122,9,FALSE)</f>
        <v>1.8027600000000001</v>
      </c>
      <c r="Z2">
        <f>VLOOKUP($A2,Sheet4!$A$2:$Q$122,10,FALSE)</f>
        <v>28.4</v>
      </c>
      <c r="AA2">
        <f>VLOOKUP($A2,Sheet4!$A$2:$Q$122,11,FALSE)</f>
        <v>0.45724000000000004</v>
      </c>
      <c r="AB2">
        <f>VLOOKUP($A2,Sheet4!$A$2:$Q$122,12,FALSE)</f>
        <v>0.32659999999999995</v>
      </c>
      <c r="AC2">
        <f>VLOOKUP($A2,Sheet4!$A$2:$Q$122,13,FALSE)</f>
        <v>0</v>
      </c>
      <c r="AD2">
        <f>VLOOKUP($A2,Sheet4!$A$2:$Q$122,14,FALSE)</f>
        <v>2.08</v>
      </c>
      <c r="AE2">
        <f>VLOOKUP($A2,Sheet4!$A$2:$Q$122,15,FALSE)</f>
        <v>0.120848</v>
      </c>
      <c r="AF2">
        <f>VLOOKUP($A2,Sheet4!$A$2:$Q$122,16,FALSE)</f>
        <v>6.0528000000000005E-2</v>
      </c>
      <c r="AG2">
        <f>VLOOKUP($A2,Sheet4!$A$2:$Q$122,17,FALSE)</f>
        <v>1.32704</v>
      </c>
    </row>
    <row r="3" spans="1:33" x14ac:dyDescent="0.3">
      <c r="A3" s="27">
        <v>247</v>
      </c>
      <c r="B3" s="27" t="str">
        <f>VLOOKUP($A3, Sheet5!$A$1:$E$119,2,FALSE)</f>
        <v>Healthy</v>
      </c>
      <c r="C3" s="27" t="str">
        <f>VLOOKUP($A3, Sheet5!$A$1:$E$119,3,FALSE)</f>
        <v>otu_1</v>
      </c>
      <c r="D3" s="27" t="str">
        <f>VLOOKUP($A3, Sheet5!$A$1:$E$119,4,FALSE)</f>
        <v>F</v>
      </c>
      <c r="E3" s="27">
        <f>VLOOKUP($A3, Sheet5!$A$1:$E$119,5,FALSE)</f>
        <v>1</v>
      </c>
      <c r="F3" s="67">
        <v>2.1172000000000004</v>
      </c>
      <c r="G3" s="67">
        <v>0.38710000000000006</v>
      </c>
      <c r="H3" s="67">
        <v>2.8888059701492538E-2</v>
      </c>
      <c r="I3">
        <v>0.59760000000000002</v>
      </c>
      <c r="J3">
        <v>5.8764000000000003</v>
      </c>
      <c r="K3">
        <v>3.3762711864406783E-2</v>
      </c>
      <c r="L3">
        <v>1.6686000000000001</v>
      </c>
      <c r="M3">
        <v>0.24205000000000002</v>
      </c>
      <c r="N3">
        <v>1.494135802469136E-2</v>
      </c>
      <c r="O3">
        <v>1.4658999999999998</v>
      </c>
      <c r="P3">
        <v>6.6339999999999996E-2</v>
      </c>
      <c r="Q3">
        <v>4.5255474452554748E-2</v>
      </c>
      <c r="R3">
        <f>VLOOKUP($A3,Sheet4!$A$2:$Q$122,2,FALSE)</f>
        <v>14.129999999999999</v>
      </c>
      <c r="S3">
        <f>VLOOKUP($A3,Sheet4!$A$2:$Q$122,3,FALSE)</f>
        <v>0.44792099999999996</v>
      </c>
      <c r="T3">
        <f>VLOOKUP($A3,Sheet4!$A$2:$Q$122,4,FALSE)</f>
        <v>1.1360519999999998</v>
      </c>
      <c r="U3">
        <f>VLOOKUP($A3,Sheet4!$A$2:$Q$122,5,FALSE)</f>
        <v>7.3758600000000003</v>
      </c>
      <c r="V3">
        <f>VLOOKUP($A3,Sheet4!$A$2:$Q$122,6,FALSE)</f>
        <v>10.08</v>
      </c>
      <c r="W3">
        <f>VLOOKUP($A3,Sheet4!$A$2:$Q$122,7,FALSE)</f>
        <v>0.48988800000000005</v>
      </c>
      <c r="X3">
        <f>VLOOKUP($A3,Sheet4!$A$2:$Q$122,8,FALSE)</f>
        <v>2.6308800000000003</v>
      </c>
      <c r="Y3">
        <f>VLOOKUP($A3,Sheet4!$A$2:$Q$122,9,FALSE)</f>
        <v>5.2416</v>
      </c>
      <c r="Z3">
        <f>VLOOKUP($A3,Sheet4!$A$2:$Q$122,10,FALSE)</f>
        <v>18.600000000000001</v>
      </c>
      <c r="AA3">
        <f>VLOOKUP($A3,Sheet4!$A$2:$Q$122,11,FALSE)</f>
        <v>0.57288000000000006</v>
      </c>
      <c r="AB3">
        <f>VLOOKUP($A3,Sheet4!$A$2:$Q$122,12,FALSE)</f>
        <v>1.7372400000000001</v>
      </c>
      <c r="AC3">
        <f>VLOOKUP($A3,Sheet4!$A$2:$Q$122,13,FALSE)</f>
        <v>6.3798000000000004</v>
      </c>
      <c r="AD3">
        <f>VLOOKUP($A3,Sheet4!$A$2:$Q$122,14,FALSE)</f>
        <v>27.6</v>
      </c>
      <c r="AE3">
        <f>VLOOKUP($A3,Sheet4!$A$2:$Q$122,15,FALSE)</f>
        <v>1.0902000000000001</v>
      </c>
      <c r="AF3">
        <f>VLOOKUP($A3,Sheet4!$A$2:$Q$122,16,FALSE)</f>
        <v>0.84731999999999996</v>
      </c>
      <c r="AG3">
        <f>VLOOKUP($A3,Sheet4!$A$2:$Q$122,17,FALSE)</f>
        <v>12.696000000000002</v>
      </c>
    </row>
    <row r="4" spans="1:33" x14ac:dyDescent="0.3">
      <c r="A4" s="27">
        <v>248</v>
      </c>
      <c r="B4" s="27" t="str">
        <f>VLOOKUP($A4, Sheet5!$A$1:$E$119,2,FALSE)</f>
        <v>Healthy</v>
      </c>
      <c r="C4" s="27" t="str">
        <f>VLOOKUP($A4, Sheet5!$A$1:$E$119,3,FALSE)</f>
        <v>otu_1</v>
      </c>
      <c r="D4" s="27" t="str">
        <f>VLOOKUP($A4, Sheet5!$A$1:$E$119,4,FALSE)</f>
        <v>F</v>
      </c>
      <c r="E4" s="27">
        <f>VLOOKUP($A4, Sheet5!$A$1:$E$119,5,FALSE)</f>
        <v>0</v>
      </c>
      <c r="F4" s="67">
        <v>1.8094999999999999</v>
      </c>
      <c r="G4" s="67">
        <v>0.32571</v>
      </c>
      <c r="H4" s="67">
        <v>5.9219999999999995E-2</v>
      </c>
      <c r="I4" s="95">
        <v>0.129</v>
      </c>
      <c r="J4" s="95">
        <v>1.0836000000000001</v>
      </c>
      <c r="K4" s="95">
        <v>7.6785714285714278E-3</v>
      </c>
      <c r="L4" s="96"/>
      <c r="M4" s="96"/>
      <c r="N4" s="96"/>
      <c r="O4">
        <v>1.6804099999999997</v>
      </c>
      <c r="P4">
        <v>0.21473000000000003</v>
      </c>
      <c r="Q4">
        <v>0.12778429073856978</v>
      </c>
      <c r="R4">
        <f>VLOOKUP($A4,Sheet4!$A$2:$Q$122,2,FALSE)</f>
        <v>26.5</v>
      </c>
      <c r="S4">
        <f>VLOOKUP($A4,Sheet4!$A$2:$Q$122,3,FALSE)</f>
        <v>1.9662999999999999</v>
      </c>
      <c r="T4">
        <f>VLOOKUP($A4,Sheet4!$A$2:$Q$122,4,FALSE)</f>
        <v>2.1597500000000003</v>
      </c>
      <c r="U4">
        <f>VLOOKUP($A4,Sheet4!$A$2:$Q$122,5,FALSE)</f>
        <v>10.970999999999998</v>
      </c>
      <c r="V4">
        <f>VLOOKUP($A4,Sheet4!$A$2:$Q$122,6,FALSE)</f>
        <v>23.1</v>
      </c>
      <c r="W4">
        <f>VLOOKUP($A4,Sheet4!$A$2:$Q$122,7,FALSE)</f>
        <v>1.6377899999999999</v>
      </c>
      <c r="X4">
        <f>VLOOKUP($A4,Sheet4!$A$2:$Q$122,8,FALSE)</f>
        <v>1.1919600000000001</v>
      </c>
      <c r="Y4">
        <f>VLOOKUP($A4,Sheet4!$A$2:$Q$122,9,FALSE)</f>
        <v>11.0649</v>
      </c>
      <c r="Z4">
        <f>VLOOKUP($A4,Sheet4!$A$2:$Q$122,10,FALSE)</f>
        <v>26.7</v>
      </c>
      <c r="AA4">
        <f>VLOOKUP($A4,Sheet4!$A$2:$Q$122,11,FALSE)</f>
        <v>0.69420000000000004</v>
      </c>
      <c r="AB4">
        <f>VLOOKUP($A4,Sheet4!$A$2:$Q$122,12,FALSE)</f>
        <v>1.82361</v>
      </c>
      <c r="AC4">
        <f>VLOOKUP($A4,Sheet4!$A$2:$Q$122,13,FALSE)</f>
        <v>7.8497999999999992</v>
      </c>
      <c r="AD4">
        <f>VLOOKUP($A4,Sheet4!$A$2:$Q$122,14,FALSE)</f>
        <v>14.740000000000002</v>
      </c>
      <c r="AE4">
        <f>VLOOKUP($A4,Sheet4!$A$2:$Q$122,15,FALSE)</f>
        <v>0.41714200000000007</v>
      </c>
      <c r="AF4">
        <f>VLOOKUP($A4,Sheet4!$A$2:$Q$122,16,FALSE)</f>
        <v>1.7393200000000004</v>
      </c>
      <c r="AG4">
        <f>VLOOKUP($A4,Sheet4!$A$2:$Q$122,17,FALSE)</f>
        <v>7.1046800000000019</v>
      </c>
    </row>
    <row r="5" spans="1:33" x14ac:dyDescent="0.3">
      <c r="A5" s="27">
        <v>267</v>
      </c>
      <c r="B5" s="27" t="str">
        <f>VLOOKUP($A5, Sheet5!$A$1:$E$119,2,FALSE)</f>
        <v>Healthy</v>
      </c>
      <c r="C5" s="27" t="str">
        <f>VLOOKUP($A5, Sheet5!$A$1:$E$119,3,FALSE)</f>
        <v>otu_1</v>
      </c>
      <c r="D5" s="27" t="str">
        <f>VLOOKUP($A5, Sheet5!$A$1:$E$119,4,FALSE)</f>
        <v>M</v>
      </c>
      <c r="E5" s="27">
        <f>VLOOKUP($A5, Sheet5!$A$1:$E$119,5,FALSE)</f>
        <v>3</v>
      </c>
      <c r="F5" s="86"/>
      <c r="G5" s="86"/>
      <c r="H5" s="86"/>
      <c r="L5">
        <v>0.83726999999999985</v>
      </c>
      <c r="M5">
        <v>0.63693</v>
      </c>
      <c r="N5">
        <v>1.4377652370203163E-2</v>
      </c>
      <c r="O5">
        <v>0.96476000000000017</v>
      </c>
      <c r="P5">
        <v>0.32218000000000002</v>
      </c>
      <c r="Q5">
        <v>0.33394833948339481</v>
      </c>
      <c r="R5">
        <f>VLOOKUP($A5,Sheet4!$A$2:$Q$122,2,FALSE)</f>
        <v>2.94</v>
      </c>
      <c r="S5">
        <f>VLOOKUP($A5,Sheet4!$A$2:$Q$122,3,FALSE)</f>
        <v>1.4994E-2</v>
      </c>
      <c r="T5">
        <f>VLOOKUP($A5,Sheet4!$A$2:$Q$122,4,FALSE)</f>
        <v>0.13435800000000001</v>
      </c>
      <c r="U5">
        <f>VLOOKUP($A5,Sheet4!$A$2:$Q$122,5,FALSE)</f>
        <v>2.3755199999999999</v>
      </c>
      <c r="V5">
        <f>VLOOKUP($A5,Sheet4!$A$2:$Q$122,6,FALSE)</f>
        <v>5.04</v>
      </c>
      <c r="W5">
        <f>VLOOKUP($A5,Sheet4!$A$2:$Q$122,7,FALSE)</f>
        <v>3.3767999999999999E-2</v>
      </c>
      <c r="X5">
        <f>VLOOKUP($A5,Sheet4!$A$2:$Q$122,8,FALSE)</f>
        <v>4.4856E-2</v>
      </c>
      <c r="Y5">
        <f>VLOOKUP($A5,Sheet4!$A$2:$Q$122,9,FALSE)</f>
        <v>3.8656800000000002</v>
      </c>
      <c r="Z5">
        <f>VLOOKUP($A5,Sheet4!$A$2:$Q$122,10,FALSE)</f>
        <v>29.3</v>
      </c>
      <c r="AA5">
        <f>VLOOKUP($A5,Sheet4!$A$2:$Q$122,11,FALSE)</f>
        <v>7.911E-2</v>
      </c>
      <c r="AB5">
        <f>VLOOKUP($A5,Sheet4!$A$2:$Q$122,12,FALSE)</f>
        <v>0.23733000000000001</v>
      </c>
      <c r="AC5">
        <f>VLOOKUP($A5,Sheet4!$A$2:$Q$122,13,FALSE)</f>
        <v>0</v>
      </c>
      <c r="AD5">
        <f>VLOOKUP($A5,Sheet4!$A$2:$Q$122,14,FALSE)</f>
        <v>2.94</v>
      </c>
      <c r="AE5">
        <f>VLOOKUP($A5,Sheet4!$A$2:$Q$122,15,FALSE)</f>
        <v>0.10348800000000001</v>
      </c>
      <c r="AF5">
        <f>VLOOKUP($A5,Sheet4!$A$2:$Q$122,16,FALSE)</f>
        <v>7.8497999999999998E-2</v>
      </c>
      <c r="AG5">
        <f>VLOOKUP($A5,Sheet4!$A$2:$Q$122,17,FALSE)</f>
        <v>2.0815199999999998</v>
      </c>
    </row>
    <row r="6" spans="1:33" x14ac:dyDescent="0.3">
      <c r="A6" s="27">
        <v>268</v>
      </c>
      <c r="B6" s="27" t="str">
        <f>VLOOKUP($A6, Sheet5!$A$1:$E$119,2,FALSE)</f>
        <v>Healthy</v>
      </c>
      <c r="C6" s="27" t="str">
        <f>VLOOKUP($A6, Sheet5!$A$1:$E$119,3,FALSE)</f>
        <v>otu_1</v>
      </c>
      <c r="D6" s="27" t="str">
        <f>VLOOKUP($A6, Sheet5!$A$1:$E$119,4,FALSE)</f>
        <v>M</v>
      </c>
      <c r="E6" s="27">
        <f>VLOOKUP($A6, Sheet5!$A$1:$E$119,5,FALSE)</f>
        <v>0</v>
      </c>
      <c r="F6" s="67">
        <v>0.50068199999999996</v>
      </c>
      <c r="G6" s="67">
        <v>0.53289600000000004</v>
      </c>
      <c r="H6" s="67">
        <v>5.8112977099236643E-2</v>
      </c>
      <c r="R6">
        <f>VLOOKUP($A6,Sheet4!$A$2:$Q$122,2,FALSE)</f>
        <v>25.849999999999998</v>
      </c>
      <c r="S6">
        <f>VLOOKUP($A6,Sheet4!$A$2:$Q$122,3,FALSE)</f>
        <v>8.0134999999999984E-2</v>
      </c>
      <c r="T6">
        <f>VLOOKUP($A6,Sheet4!$A$2:$Q$122,4,FALSE)</f>
        <v>0.48856499999999997</v>
      </c>
      <c r="U6">
        <f>VLOOKUP($A6,Sheet4!$A$2:$Q$122,5,FALSE)</f>
        <v>0</v>
      </c>
      <c r="V6">
        <f>VLOOKUP($A6,Sheet4!$A$2:$Q$122,6,FALSE)</f>
        <v>2.4500000000000002</v>
      </c>
      <c r="W6">
        <f>VLOOKUP($A6,Sheet4!$A$2:$Q$122,7,FALSE)</f>
        <v>0.11931500000000002</v>
      </c>
      <c r="X6">
        <f>VLOOKUP($A6,Sheet4!$A$2:$Q$122,8,FALSE)</f>
        <v>5.0715000000000003E-2</v>
      </c>
      <c r="Y6">
        <f>VLOOKUP($A6,Sheet4!$A$2:$Q$122,9,FALSE)</f>
        <v>1.6366000000000001</v>
      </c>
      <c r="Z6">
        <f>VLOOKUP($A6,Sheet4!$A$2:$Q$122,10,FALSE)</f>
        <v>15.8</v>
      </c>
      <c r="AA6">
        <f>VLOOKUP($A6,Sheet4!$A$2:$Q$122,11,FALSE)</f>
        <v>5.0560000000000001E-2</v>
      </c>
      <c r="AB6">
        <f>VLOOKUP($A6,Sheet4!$A$2:$Q$122,12,FALSE)</f>
        <v>0.32390000000000002</v>
      </c>
      <c r="AC6">
        <f>VLOOKUP($A6,Sheet4!$A$2:$Q$122,13,FALSE)</f>
        <v>4.9296000000000006</v>
      </c>
      <c r="AD6">
        <f>VLOOKUP($A6,Sheet4!$A$2:$Q$122,14,FALSE)</f>
        <v>4.2</v>
      </c>
      <c r="AE6">
        <f>VLOOKUP($A6,Sheet4!$A$2:$Q$122,15,FALSE)</f>
        <v>0.15036000000000002</v>
      </c>
      <c r="AF6">
        <f>VLOOKUP($A6,Sheet4!$A$2:$Q$122,16,FALSE)</f>
        <v>0.14154000000000003</v>
      </c>
      <c r="AG6">
        <f>VLOOKUP($A6,Sheet4!$A$2:$Q$122,17,FALSE)</f>
        <v>2.6795999999999998</v>
      </c>
    </row>
    <row r="7" spans="1:33" x14ac:dyDescent="0.3">
      <c r="A7" s="27">
        <v>269</v>
      </c>
      <c r="B7" s="27" t="str">
        <f>VLOOKUP($A7, Sheet5!$A$1:$E$119,2,FALSE)</f>
        <v>Healthy</v>
      </c>
      <c r="C7" s="27" t="str">
        <f>VLOOKUP($A7, Sheet5!$A$1:$E$119,3,FALSE)</f>
        <v>otu_1</v>
      </c>
      <c r="D7" s="27" t="str">
        <f>VLOOKUP($A7, Sheet5!$A$1:$E$119,4,FALSE)</f>
        <v>F</v>
      </c>
      <c r="E7" s="27">
        <f>VLOOKUP($A7, Sheet5!$A$1:$E$119,5,FALSE)</f>
        <v>3</v>
      </c>
      <c r="F7" s="67">
        <v>1.55124</v>
      </c>
      <c r="G7" s="67">
        <v>0.50964000000000009</v>
      </c>
      <c r="H7" s="67">
        <v>0.12221582733812951</v>
      </c>
      <c r="I7">
        <v>0.19028399999999998</v>
      </c>
      <c r="J7">
        <v>1.4968199999999998</v>
      </c>
      <c r="K7">
        <v>7.7038056680161946E-3</v>
      </c>
      <c r="L7">
        <v>2.0249800000000002</v>
      </c>
      <c r="M7">
        <v>0.37286000000000002</v>
      </c>
      <c r="N7">
        <v>3.7930824008138353E-2</v>
      </c>
      <c r="R7">
        <f>VLOOKUP($A7,Sheet4!$A$2:$Q$122,2,FALSE)</f>
        <v>33.94</v>
      </c>
      <c r="S7">
        <f>VLOOKUP($A7,Sheet4!$A$2:$Q$122,3,FALSE)</f>
        <v>5.0231200000000005</v>
      </c>
      <c r="T7">
        <f>VLOOKUP($A7,Sheet4!$A$2:$Q$122,4,FALSE)</f>
        <v>2.7253819999999997</v>
      </c>
      <c r="U7">
        <f>VLOOKUP($A7,Sheet4!$A$2:$Q$122,5,FALSE)</f>
        <v>18.73488</v>
      </c>
      <c r="V7">
        <f>VLOOKUP($A7,Sheet4!$A$2:$Q$122,6,FALSE)</f>
        <v>38.07</v>
      </c>
      <c r="W7">
        <f>VLOOKUP($A7,Sheet4!$A$2:$Q$122,7,FALSE)</f>
        <v>1.5494490000000001</v>
      </c>
      <c r="X7">
        <f>VLOOKUP($A7,Sheet4!$A$2:$Q$122,8,FALSE)</f>
        <v>1.3857480000000002</v>
      </c>
      <c r="Y7">
        <f>VLOOKUP($A7,Sheet4!$A$2:$Q$122,9,FALSE)</f>
        <v>26.72514</v>
      </c>
      <c r="Z7">
        <f>VLOOKUP($A7,Sheet4!$A$2:$Q$122,10,FALSE)</f>
        <v>18.600000000000001</v>
      </c>
      <c r="AA7">
        <f>VLOOKUP($A7,Sheet4!$A$2:$Q$122,11,FALSE)</f>
        <v>0.63240000000000007</v>
      </c>
      <c r="AB7">
        <f>VLOOKUP($A7,Sheet4!$A$2:$Q$122,12,FALSE)</f>
        <v>1.9530000000000001</v>
      </c>
      <c r="AC7">
        <f>VLOOKUP($A7,Sheet4!$A$2:$Q$122,13,FALSE)</f>
        <v>4.8360000000000003</v>
      </c>
      <c r="AD7">
        <f>VLOOKUP($A7,Sheet4!$A$2:$Q$122,14,FALSE)</f>
        <v>21</v>
      </c>
      <c r="AE7">
        <f>VLOOKUP($A7,Sheet4!$A$2:$Q$122,15,FALSE)</f>
        <v>0.76859999999999995</v>
      </c>
      <c r="AF7">
        <f>VLOOKUP($A7,Sheet4!$A$2:$Q$122,16,FALSE)</f>
        <v>2.4990000000000001</v>
      </c>
      <c r="AG7">
        <f>VLOOKUP($A7,Sheet4!$A$2:$Q$122,17,FALSE)</f>
        <v>9.5760000000000005</v>
      </c>
    </row>
    <row r="8" spans="1:33" x14ac:dyDescent="0.3">
      <c r="A8" s="27">
        <v>274</v>
      </c>
      <c r="B8" s="27" t="str">
        <f>VLOOKUP($A8, Sheet5!$A$1:$E$119,2,FALSE)</f>
        <v>Healthy</v>
      </c>
      <c r="C8" s="27" t="str">
        <f>VLOOKUP($A8, Sheet5!$A$1:$E$119,3,FALSE)</f>
        <v>otu_1</v>
      </c>
      <c r="D8" s="27" t="str">
        <f>VLOOKUP($A8, Sheet5!$A$1:$E$119,4,FALSE)</f>
        <v>F</v>
      </c>
      <c r="E8" s="27">
        <f>VLOOKUP($A8, Sheet5!$A$1:$E$119,5,FALSE)</f>
        <v>0</v>
      </c>
      <c r="F8" s="67">
        <v>1.1716</v>
      </c>
      <c r="G8" s="67">
        <v>0.37975999999999999</v>
      </c>
      <c r="H8" s="67">
        <v>0.13095172413793102</v>
      </c>
      <c r="I8">
        <v>0.21923199999999998</v>
      </c>
      <c r="J8">
        <v>1.5337400000000003</v>
      </c>
      <c r="K8">
        <v>6.3179250720461089E-3</v>
      </c>
      <c r="L8">
        <v>0.76024000000000003</v>
      </c>
      <c r="M8">
        <v>0.16580800000000001</v>
      </c>
      <c r="N8">
        <v>7.5026244343891404E-3</v>
      </c>
      <c r="O8">
        <v>0.75048000000000004</v>
      </c>
      <c r="P8">
        <v>0.13864800000000002</v>
      </c>
      <c r="Q8">
        <v>0.18474576271186444</v>
      </c>
      <c r="R8">
        <f>VLOOKUP($A8,Sheet4!$A$2:$Q$122,2,FALSE)</f>
        <v>15.54</v>
      </c>
      <c r="S8">
        <f>VLOOKUP($A8,Sheet4!$A$2:$Q$122,3,FALSE)</f>
        <v>1.48407</v>
      </c>
      <c r="T8">
        <f>VLOOKUP($A8,Sheet4!$A$2:$Q$122,4,FALSE)</f>
        <v>2.0202</v>
      </c>
      <c r="U8">
        <f>VLOOKUP($A8,Sheet4!$A$2:$Q$122,5,FALSE)</f>
        <v>9.0131999999999994</v>
      </c>
      <c r="V8">
        <f>VLOOKUP($A8,Sheet4!$A$2:$Q$122,6,FALSE)</f>
        <v>24.799999999999997</v>
      </c>
      <c r="W8">
        <f>VLOOKUP($A8,Sheet4!$A$2:$Q$122,7,FALSE)</f>
        <v>0.91511999999999982</v>
      </c>
      <c r="X8">
        <f>VLOOKUP($A8,Sheet4!$A$2:$Q$122,8,FALSE)</f>
        <v>1.34416</v>
      </c>
      <c r="Y8">
        <f>VLOOKUP($A8,Sheet4!$A$2:$Q$122,9,FALSE)</f>
        <v>12.399999999999999</v>
      </c>
      <c r="Z8">
        <f>VLOOKUP($A8,Sheet4!$A$2:$Q$122,10,FALSE)</f>
        <v>26.1</v>
      </c>
      <c r="AA8">
        <f>VLOOKUP($A8,Sheet4!$A$2:$Q$122,11,FALSE)</f>
        <v>1.00224</v>
      </c>
      <c r="AB8">
        <f>VLOOKUP($A8,Sheet4!$A$2:$Q$122,12,FALSE)</f>
        <v>1.3023899999999999</v>
      </c>
      <c r="AC8">
        <f>VLOOKUP($A8,Sheet4!$A$2:$Q$122,13,FALSE)</f>
        <v>9.6831000000000014</v>
      </c>
      <c r="AD8">
        <f>VLOOKUP($A8,Sheet4!$A$2:$Q$122,14,FALSE)</f>
        <v>25.22</v>
      </c>
      <c r="AE8">
        <f>VLOOKUP($A8,Sheet4!$A$2:$Q$122,15,FALSE)</f>
        <v>1.1248119999999999</v>
      </c>
      <c r="AF8">
        <f>VLOOKUP($A8,Sheet4!$A$2:$Q$122,16,FALSE)</f>
        <v>1.7956639999999999</v>
      </c>
      <c r="AG8">
        <f>VLOOKUP($A8,Sheet4!$A$2:$Q$122,17,FALSE)</f>
        <v>10.869819999999999</v>
      </c>
    </row>
    <row r="9" spans="1:33" x14ac:dyDescent="0.3">
      <c r="A9" s="27">
        <v>277</v>
      </c>
      <c r="B9" s="27" t="str">
        <f>VLOOKUP($A9, Sheet5!$A$1:$E$119,2,FALSE)</f>
        <v>Healthy</v>
      </c>
      <c r="C9" s="27" t="str">
        <f>VLOOKUP($A9, Sheet5!$A$1:$E$119,3,FALSE)</f>
        <v>otu_1</v>
      </c>
      <c r="D9" s="27" t="str">
        <f>VLOOKUP($A9, Sheet5!$A$1:$E$119,4,FALSE)</f>
        <v>M</v>
      </c>
      <c r="E9" s="27">
        <f>VLOOKUP($A9, Sheet5!$A$1:$E$119,5,FALSE)</f>
        <v>4</v>
      </c>
      <c r="F9" s="86"/>
      <c r="G9" s="86"/>
      <c r="H9" s="86"/>
      <c r="I9">
        <v>0.19949999999999998</v>
      </c>
      <c r="J9">
        <v>0.79799999999999993</v>
      </c>
      <c r="K9">
        <v>4.7499999999999999E-3</v>
      </c>
      <c r="R9">
        <f>VLOOKUP($A9,Sheet4!$A$2:$Q$122,2,FALSE)</f>
        <v>19.940000000000001</v>
      </c>
      <c r="S9">
        <f>VLOOKUP($A9,Sheet4!$A$2:$Q$122,3,FALSE)</f>
        <v>5.5832000000000007E-2</v>
      </c>
      <c r="T9">
        <f>VLOOKUP($A9,Sheet4!$A$2:$Q$122,4,FALSE)</f>
        <v>0.31106400000000006</v>
      </c>
      <c r="U9">
        <f>VLOOKUP($A9,Sheet4!$A$2:$Q$122,5,FALSE)</f>
        <v>0</v>
      </c>
      <c r="V9">
        <f>VLOOKUP($A9,Sheet4!$A$2:$Q$122,6,FALSE)</f>
        <v>4.25</v>
      </c>
      <c r="W9">
        <f>VLOOKUP($A9,Sheet4!$A$2:$Q$122,7,FALSE)</f>
        <v>0</v>
      </c>
      <c r="X9">
        <f>VLOOKUP($A9,Sheet4!$A$2:$Q$122,8,FALSE)</f>
        <v>0</v>
      </c>
      <c r="Y9">
        <f>VLOOKUP($A9,Sheet4!$A$2:$Q$122,9,FALSE)</f>
        <v>0</v>
      </c>
      <c r="Z9">
        <f>VLOOKUP($A9,Sheet4!$A$2:$Q$122,10,FALSE)</f>
        <v>13.1</v>
      </c>
      <c r="AA9">
        <f>VLOOKUP($A9,Sheet4!$A$2:$Q$122,11,FALSE)</f>
        <v>0.37597000000000003</v>
      </c>
      <c r="AB9">
        <f>VLOOKUP($A9,Sheet4!$A$2:$Q$122,12,FALSE)</f>
        <v>0.16899</v>
      </c>
      <c r="AC9">
        <f>VLOOKUP($A9,Sheet4!$A$2:$Q$122,13,FALSE)</f>
        <v>0</v>
      </c>
      <c r="AD9">
        <f>VLOOKUP($A9,Sheet4!$A$2:$Q$122,14,FALSE)</f>
        <v>4.4799999999999995</v>
      </c>
      <c r="AE9">
        <f>VLOOKUP($A9,Sheet4!$A$2:$Q$122,15,FALSE)</f>
        <v>6.809599999999999E-2</v>
      </c>
      <c r="AF9">
        <f>VLOOKUP($A9,Sheet4!$A$2:$Q$122,16,FALSE)</f>
        <v>4.7039999999999998E-2</v>
      </c>
      <c r="AG9">
        <f>VLOOKUP($A9,Sheet4!$A$2:$Q$122,17,FALSE)</f>
        <v>2.4998399999999994</v>
      </c>
    </row>
    <row r="10" spans="1:33" x14ac:dyDescent="0.3">
      <c r="A10" s="27">
        <v>280</v>
      </c>
      <c r="B10" s="27" t="str">
        <f>VLOOKUP($A10, Sheet5!$A$1:$E$119,2,FALSE)</f>
        <v>Healthy</v>
      </c>
      <c r="C10" s="27" t="str">
        <f>VLOOKUP($A10, Sheet5!$A$1:$E$119,3,FALSE)</f>
        <v>otu_1</v>
      </c>
      <c r="D10" s="27" t="str">
        <f>VLOOKUP($A10, Sheet5!$A$1:$E$119,4,FALSE)</f>
        <v>M</v>
      </c>
      <c r="E10" s="27">
        <f>VLOOKUP($A10, Sheet5!$A$1:$E$119,5,FALSE)</f>
        <v>4</v>
      </c>
      <c r="F10" s="67">
        <v>2.1164000000000001</v>
      </c>
      <c r="G10" s="67">
        <v>0.68067999999999995</v>
      </c>
      <c r="H10" s="67">
        <v>9.1983783783783787E-2</v>
      </c>
      <c r="L10">
        <v>1.5371199999999998</v>
      </c>
      <c r="M10">
        <v>0.20322499999999999</v>
      </c>
      <c r="N10">
        <v>9.7704326923076928E-3</v>
      </c>
      <c r="O10">
        <v>1.6523999999999999</v>
      </c>
      <c r="P10">
        <v>0.11423999999999999</v>
      </c>
      <c r="Q10">
        <v>6.913580246913581E-2</v>
      </c>
      <c r="R10">
        <f>VLOOKUP($A10,Sheet4!$A$2:$Q$122,2,FALSE)</f>
        <v>0</v>
      </c>
      <c r="S10">
        <f>VLOOKUP($A10,Sheet4!$A$2:$Q$122,3,FALSE)</f>
        <v>0</v>
      </c>
      <c r="T10">
        <f>VLOOKUP($A10,Sheet4!$A$2:$Q$122,4,FALSE)</f>
        <v>0</v>
      </c>
      <c r="U10">
        <f>VLOOKUP($A10,Sheet4!$A$2:$Q$122,5,FALSE)</f>
        <v>0</v>
      </c>
      <c r="V10">
        <f>VLOOKUP($A10,Sheet4!$A$2:$Q$122,6,FALSE)</f>
        <v>0</v>
      </c>
      <c r="W10">
        <f>VLOOKUP($A10,Sheet4!$A$2:$Q$122,7,FALSE)</f>
        <v>0</v>
      </c>
      <c r="X10">
        <f>VLOOKUP($A10,Sheet4!$A$2:$Q$122,8,FALSE)</f>
        <v>0</v>
      </c>
      <c r="Y10">
        <f>VLOOKUP($A10,Sheet4!$A$2:$Q$122,9,FALSE)</f>
        <v>0</v>
      </c>
      <c r="Z10">
        <f>VLOOKUP($A10,Sheet4!$A$2:$Q$122,10,FALSE)</f>
        <v>0</v>
      </c>
      <c r="AA10">
        <f>VLOOKUP($A10,Sheet4!$A$2:$Q$122,11,FALSE)</f>
        <v>0</v>
      </c>
      <c r="AB10">
        <f>VLOOKUP($A10,Sheet4!$A$2:$Q$122,12,FALSE)</f>
        <v>0</v>
      </c>
      <c r="AC10">
        <f>VLOOKUP($A10,Sheet4!$A$2:$Q$122,13,FALSE)</f>
        <v>0</v>
      </c>
      <c r="AD10">
        <f>VLOOKUP($A10,Sheet4!$A$2:$Q$122,14,FALSE)</f>
        <v>0</v>
      </c>
      <c r="AE10">
        <f>VLOOKUP($A10,Sheet4!$A$2:$Q$122,15,FALSE)</f>
        <v>0</v>
      </c>
      <c r="AF10">
        <f>VLOOKUP($A10,Sheet4!$A$2:$Q$122,16,FALSE)</f>
        <v>0</v>
      </c>
      <c r="AG10">
        <f>VLOOKUP($A10,Sheet4!$A$2:$Q$122,17,FALSE)</f>
        <v>0</v>
      </c>
    </row>
    <row r="11" spans="1:33" x14ac:dyDescent="0.3">
      <c r="A11" s="27">
        <v>282</v>
      </c>
      <c r="B11" s="27" t="str">
        <f>VLOOKUP($A11, Sheet5!$A$1:$E$119,2,FALSE)</f>
        <v>Healthy</v>
      </c>
      <c r="C11" s="27" t="str">
        <f>VLOOKUP($A11, Sheet5!$A$1:$E$119,3,FALSE)</f>
        <v>otu_1</v>
      </c>
      <c r="D11" s="27" t="str">
        <f>VLOOKUP($A11, Sheet5!$A$1:$E$119,4,FALSE)</f>
        <v>M</v>
      </c>
      <c r="E11" s="27">
        <f>VLOOKUP($A11, Sheet5!$A$1:$E$119,5,FALSE)</f>
        <v>0</v>
      </c>
      <c r="F11" s="60"/>
      <c r="G11" s="60"/>
      <c r="H11" s="60"/>
      <c r="I11" s="96"/>
      <c r="J11" s="96"/>
      <c r="K11" s="96"/>
      <c r="L11" s="95">
        <v>1.1870799999999999</v>
      </c>
      <c r="M11" s="95">
        <v>0.84016000000000002</v>
      </c>
      <c r="N11" s="95">
        <v>1.6702982107355865E-2</v>
      </c>
      <c r="R11">
        <f>VLOOKUP($A11,Sheet4!$A$2:$Q$122,2,FALSE)</f>
        <v>32.799999999999997</v>
      </c>
      <c r="S11">
        <f>VLOOKUP($A11,Sheet4!$A$2:$Q$122,3,FALSE)</f>
        <v>0</v>
      </c>
      <c r="T11">
        <f>VLOOKUP($A11,Sheet4!$A$2:$Q$122,4,FALSE)</f>
        <v>0</v>
      </c>
      <c r="U11">
        <f>VLOOKUP($A11,Sheet4!$A$2:$Q$122,5,FALSE)</f>
        <v>0</v>
      </c>
      <c r="V11">
        <f>VLOOKUP($A11,Sheet4!$A$2:$Q$122,6,FALSE)</f>
        <v>6.0600000000000005</v>
      </c>
      <c r="W11">
        <f>VLOOKUP($A11,Sheet4!$A$2:$Q$122,7,FALSE)</f>
        <v>0</v>
      </c>
      <c r="X11">
        <f>VLOOKUP($A11,Sheet4!$A$2:$Q$122,8,FALSE)</f>
        <v>0</v>
      </c>
      <c r="Y11">
        <f>VLOOKUP($A11,Sheet4!$A$2:$Q$122,9,FALSE)</f>
        <v>0</v>
      </c>
      <c r="Z11">
        <f>VLOOKUP($A11,Sheet4!$A$2:$Q$122,10,FALSE)</f>
        <v>25.1</v>
      </c>
      <c r="AA11">
        <f>VLOOKUP($A11,Sheet4!$A$2:$Q$122,11,FALSE)</f>
        <v>0</v>
      </c>
      <c r="AB11">
        <f>VLOOKUP($A11,Sheet4!$A$2:$Q$122,12,FALSE)</f>
        <v>0</v>
      </c>
      <c r="AC11">
        <f>VLOOKUP($A11,Sheet4!$A$2:$Q$122,13,FALSE)</f>
        <v>0</v>
      </c>
      <c r="AD11">
        <f>VLOOKUP($A11,Sheet4!$A$2:$Q$122,14,FALSE)</f>
        <v>3.91</v>
      </c>
      <c r="AE11">
        <f>VLOOKUP($A11,Sheet4!$A$2:$Q$122,15,FALSE)</f>
        <v>0.21074899999999999</v>
      </c>
      <c r="AF11">
        <f>VLOOKUP($A11,Sheet4!$A$2:$Q$122,16,FALSE)</f>
        <v>0.15522700000000003</v>
      </c>
      <c r="AG11">
        <f>VLOOKUP($A11,Sheet4!$A$2:$Q$122,17,FALSE)</f>
        <v>1.5249000000000001</v>
      </c>
    </row>
    <row r="12" spans="1:33" x14ac:dyDescent="0.3">
      <c r="A12" s="27">
        <v>283</v>
      </c>
      <c r="B12" s="27" t="str">
        <f>VLOOKUP($A12, Sheet5!$A$1:$E$119,2,FALSE)</f>
        <v>Healthy</v>
      </c>
      <c r="C12" s="27" t="str">
        <f>VLOOKUP($A12, Sheet5!$A$1:$E$119,3,FALSE)</f>
        <v>otu_1</v>
      </c>
      <c r="D12" s="27" t="str">
        <f>VLOOKUP($A12, Sheet5!$A$1:$E$119,4,FALSE)</f>
        <v>M</v>
      </c>
      <c r="E12" s="27">
        <f>VLOOKUP($A12, Sheet5!$A$1:$E$119,5,FALSE)</f>
        <v>2</v>
      </c>
      <c r="F12" s="67">
        <v>1.375</v>
      </c>
      <c r="G12" s="67">
        <v>0.35499999999999998</v>
      </c>
      <c r="H12" s="67">
        <v>6.4545454545454545E-2</v>
      </c>
      <c r="I12">
        <v>0.36604800000000004</v>
      </c>
      <c r="J12">
        <v>1.3775999999999999</v>
      </c>
      <c r="K12">
        <v>2.6146285714285719E-2</v>
      </c>
      <c r="L12">
        <v>1.1485099999999999</v>
      </c>
      <c r="M12">
        <v>0.21396100000000001</v>
      </c>
      <c r="N12">
        <v>1.0860964467005076E-2</v>
      </c>
      <c r="O12">
        <v>2.05328</v>
      </c>
      <c r="P12">
        <v>8.0031999999999992E-2</v>
      </c>
      <c r="Q12">
        <v>3.8977635782747599E-2</v>
      </c>
      <c r="R12">
        <f>VLOOKUP($A12,Sheet4!$A$2:$Q$122,2,FALSE)</f>
        <v>23.11</v>
      </c>
      <c r="S12">
        <f>VLOOKUP($A12,Sheet4!$A$2:$Q$122,3,FALSE)</f>
        <v>0.96137600000000001</v>
      </c>
      <c r="T12">
        <f>VLOOKUP($A12,Sheet4!$A$2:$Q$122,4,FALSE)</f>
        <v>2.4496599999999997</v>
      </c>
      <c r="U12">
        <f>VLOOKUP($A12,Sheet4!$A$2:$Q$122,5,FALSE)</f>
        <v>8.4120399999999993</v>
      </c>
      <c r="V12">
        <f>VLOOKUP($A12,Sheet4!$A$2:$Q$122,6,FALSE)</f>
        <v>23</v>
      </c>
      <c r="W12">
        <f>VLOOKUP($A12,Sheet4!$A$2:$Q$122,7,FALSE)</f>
        <v>0</v>
      </c>
      <c r="X12">
        <f>VLOOKUP($A12,Sheet4!$A$2:$Q$122,8,FALSE)</f>
        <v>0</v>
      </c>
      <c r="Y12">
        <f>VLOOKUP($A12,Sheet4!$A$2:$Q$122,9,FALSE)</f>
        <v>0</v>
      </c>
      <c r="Z12">
        <f>VLOOKUP($A12,Sheet4!$A$2:$Q$122,10,FALSE)</f>
        <v>26.1</v>
      </c>
      <c r="AA12">
        <f>VLOOKUP($A12,Sheet4!$A$2:$Q$122,11,FALSE)</f>
        <v>0.79605000000000004</v>
      </c>
      <c r="AB12">
        <f>VLOOKUP($A12,Sheet4!$A$2:$Q$122,12,FALSE)</f>
        <v>2.0958299999999999</v>
      </c>
      <c r="AC12">
        <f>VLOOKUP($A12,Sheet4!$A$2:$Q$122,13,FALSE)</f>
        <v>8.952300000000001</v>
      </c>
      <c r="AD12">
        <f>VLOOKUP($A12,Sheet4!$A$2:$Q$122,14,FALSE)</f>
        <v>23.93</v>
      </c>
      <c r="AE12">
        <f>VLOOKUP($A12,Sheet4!$A$2:$Q$122,15,FALSE)</f>
        <v>0.99548800000000004</v>
      </c>
      <c r="AF12">
        <f>VLOOKUP($A12,Sheet4!$A$2:$Q$122,16,FALSE)</f>
        <v>1.4932320000000001</v>
      </c>
      <c r="AG12">
        <f>VLOOKUP($A12,Sheet4!$A$2:$Q$122,17,FALSE)</f>
        <v>12.85041</v>
      </c>
    </row>
    <row r="13" spans="1:33" x14ac:dyDescent="0.3">
      <c r="A13" s="27">
        <v>287</v>
      </c>
      <c r="B13" s="27" t="str">
        <f>VLOOKUP($A13, Sheet5!$A$1:$E$119,2,FALSE)</f>
        <v>Healthy</v>
      </c>
      <c r="C13" s="27" t="str">
        <f>VLOOKUP($A13, Sheet5!$A$1:$E$119,3,FALSE)</f>
        <v>otu_1</v>
      </c>
      <c r="D13" s="27" t="str">
        <f>VLOOKUP($A13, Sheet5!$A$1:$E$119,4,FALSE)</f>
        <v>M</v>
      </c>
      <c r="E13" s="27">
        <f>VLOOKUP($A13, Sheet5!$A$1:$E$119,5,FALSE)</f>
        <v>2</v>
      </c>
      <c r="F13" s="60"/>
      <c r="G13" s="60"/>
      <c r="H13" s="60"/>
      <c r="I13">
        <v>0.26207999999999998</v>
      </c>
      <c r="J13">
        <v>1.4469000000000001</v>
      </c>
      <c r="K13">
        <v>9.8898113207547163E-3</v>
      </c>
      <c r="O13">
        <v>1.5903999999999998</v>
      </c>
      <c r="P13">
        <v>0.41159999999999997</v>
      </c>
      <c r="Q13">
        <v>0.25880281690140844</v>
      </c>
      <c r="R13">
        <f>VLOOKUP($A13,Sheet4!$A$2:$Q$122,2,FALSE)</f>
        <v>9.58</v>
      </c>
      <c r="S13">
        <f>VLOOKUP($A13,Sheet4!$A$2:$Q$122,3,FALSE)</f>
        <v>1.8872599999999999</v>
      </c>
      <c r="T13">
        <f>VLOOKUP($A13,Sheet4!$A$2:$Q$122,4,FALSE)</f>
        <v>0.82962800000000003</v>
      </c>
      <c r="U13">
        <f>VLOOKUP($A13,Sheet4!$A$2:$Q$122,5,FALSE)</f>
        <v>4.8666400000000003</v>
      </c>
      <c r="V13">
        <f>VLOOKUP($A13,Sheet4!$A$2:$Q$122,6,FALSE)</f>
        <v>1.88</v>
      </c>
      <c r="W13">
        <f>VLOOKUP($A13,Sheet4!$A$2:$Q$122,7,FALSE)</f>
        <v>0.15528799999999998</v>
      </c>
      <c r="X13">
        <f>VLOOKUP($A13,Sheet4!$A$2:$Q$122,8,FALSE)</f>
        <v>8.2907999999999996E-2</v>
      </c>
      <c r="Y13">
        <f>VLOOKUP($A13,Sheet4!$A$2:$Q$122,9,FALSE)</f>
        <v>0.58091999999999988</v>
      </c>
      <c r="Z13">
        <f>VLOOKUP($A13,Sheet4!$A$2:$Q$122,10,FALSE)</f>
        <v>3.91</v>
      </c>
      <c r="AA13">
        <f>VLOOKUP($A13,Sheet4!$A$2:$Q$122,11,FALSE)</f>
        <v>0.20214699999999999</v>
      </c>
      <c r="AB13">
        <f>VLOOKUP($A13,Sheet4!$A$2:$Q$122,12,FALSE)</f>
        <v>0.243202</v>
      </c>
      <c r="AC13">
        <f>VLOOKUP($A13,Sheet4!$A$2:$Q$122,13,FALSE)</f>
        <v>0.60214000000000001</v>
      </c>
      <c r="AD13">
        <f>VLOOKUP($A13,Sheet4!$A$2:$Q$122,14,FALSE)</f>
        <v>3.45</v>
      </c>
      <c r="AE13">
        <f>VLOOKUP($A13,Sheet4!$A$2:$Q$122,15,FALSE)</f>
        <v>0.51060000000000005</v>
      </c>
      <c r="AF13">
        <f>VLOOKUP($A13,Sheet4!$A$2:$Q$122,16,FALSE)</f>
        <v>0.33603</v>
      </c>
      <c r="AG13">
        <f>VLOOKUP($A13,Sheet4!$A$2:$Q$122,17,FALSE)</f>
        <v>0.65895000000000015</v>
      </c>
    </row>
    <row r="14" spans="1:33" x14ac:dyDescent="0.3">
      <c r="A14" s="27">
        <v>289</v>
      </c>
      <c r="B14" s="27" t="str">
        <f>VLOOKUP($A14, Sheet5!$A$1:$E$119,2,FALSE)</f>
        <v>Healthy</v>
      </c>
      <c r="C14" s="27" t="str">
        <f>VLOOKUP($A14, Sheet5!$A$1:$E$119,3,FALSE)</f>
        <v>otu_1</v>
      </c>
      <c r="D14" s="27" t="str">
        <f>VLOOKUP($A14, Sheet5!$A$1:$E$119,4,FALSE)</f>
        <v>M</v>
      </c>
      <c r="E14" s="27">
        <f>VLOOKUP($A14, Sheet5!$A$1:$E$119,5,FALSE)</f>
        <v>3</v>
      </c>
      <c r="F14" s="60"/>
      <c r="G14" s="60"/>
      <c r="H14" s="60"/>
      <c r="R14">
        <f>VLOOKUP($A14,Sheet4!$A$2:$Q$122,2,FALSE)</f>
        <v>19.850000000000001</v>
      </c>
      <c r="S14">
        <f>VLOOKUP($A14,Sheet4!$A$2:$Q$122,3,FALSE)</f>
        <v>6.7291499999999997</v>
      </c>
      <c r="T14">
        <f>VLOOKUP($A14,Sheet4!$A$2:$Q$122,4,FALSE)</f>
        <v>0.86546000000000012</v>
      </c>
      <c r="U14">
        <f>VLOOKUP($A14,Sheet4!$A$2:$Q$122,5,FALSE)</f>
        <v>9.7860499999999995</v>
      </c>
      <c r="V14">
        <f>VLOOKUP($A14,Sheet4!$A$2:$Q$122,6,FALSE)</f>
        <v>0</v>
      </c>
      <c r="W14">
        <f>VLOOKUP($A14,Sheet4!$A$2:$Q$122,7,FALSE)</f>
        <v>0</v>
      </c>
      <c r="X14">
        <f>VLOOKUP($A14,Sheet4!$A$2:$Q$122,8,FALSE)</f>
        <v>0</v>
      </c>
      <c r="Y14">
        <f>VLOOKUP($A14,Sheet4!$A$2:$Q$122,9,FALSE)</f>
        <v>0</v>
      </c>
      <c r="Z14">
        <f>VLOOKUP($A14,Sheet4!$A$2:$Q$122,10,FALSE)</f>
        <v>0</v>
      </c>
      <c r="AA14">
        <f>VLOOKUP($A14,Sheet4!$A$2:$Q$122,11,FALSE)</f>
        <v>0</v>
      </c>
      <c r="AB14">
        <f>VLOOKUP($A14,Sheet4!$A$2:$Q$122,12,FALSE)</f>
        <v>0</v>
      </c>
      <c r="AC14">
        <f>VLOOKUP($A14,Sheet4!$A$2:$Q$122,13,FALSE)</f>
        <v>0</v>
      </c>
      <c r="AD14">
        <f>VLOOKUP($A14,Sheet4!$A$2:$Q$122,14,FALSE)</f>
        <v>0</v>
      </c>
      <c r="AE14">
        <f>VLOOKUP($A14,Sheet4!$A$2:$Q$122,15,FALSE)</f>
        <v>0</v>
      </c>
      <c r="AF14">
        <f>VLOOKUP($A14,Sheet4!$A$2:$Q$122,16,FALSE)</f>
        <v>0</v>
      </c>
      <c r="AG14">
        <f>VLOOKUP($A14,Sheet4!$A$2:$Q$122,17,FALSE)</f>
        <v>0</v>
      </c>
    </row>
    <row r="15" spans="1:33" x14ac:dyDescent="0.3">
      <c r="A15" s="27">
        <v>300</v>
      </c>
      <c r="B15" s="27" t="str">
        <f>VLOOKUP($A15, Sheet5!$A$1:$E$119,2,FALSE)</f>
        <v>Healthy</v>
      </c>
      <c r="C15" s="27" t="str">
        <f>VLOOKUP($A15, Sheet5!$A$1:$E$119,3,FALSE)</f>
        <v>otu_1</v>
      </c>
      <c r="D15" s="27" t="str">
        <f>VLOOKUP($A15, Sheet5!$A$1:$E$119,4,FALSE)</f>
        <v>M</v>
      </c>
      <c r="E15" s="27">
        <f>VLOOKUP($A15, Sheet5!$A$1:$E$119,5,FALSE)</f>
        <v>1</v>
      </c>
      <c r="F15" s="67">
        <v>1.1721699999999999</v>
      </c>
      <c r="G15" s="67">
        <v>0.68649000000000004</v>
      </c>
      <c r="H15" s="67">
        <v>0.27350199203187253</v>
      </c>
      <c r="I15" s="95">
        <v>0.13832</v>
      </c>
      <c r="J15" s="95">
        <v>1.6432000000000002</v>
      </c>
      <c r="K15" s="95">
        <v>8.7544303797468352E-3</v>
      </c>
      <c r="L15" s="95">
        <v>2.9849999999999999</v>
      </c>
      <c r="M15" s="95">
        <v>0.44177999999999995</v>
      </c>
      <c r="N15" s="95">
        <v>2.9452000000000002E-2</v>
      </c>
      <c r="O15">
        <v>1.4175</v>
      </c>
      <c r="P15">
        <v>0.17324999999999999</v>
      </c>
      <c r="Q15">
        <v>0.12222222222222222</v>
      </c>
      <c r="R15">
        <f>VLOOKUP($A15,Sheet4!$A$2:$Q$122,2,FALSE)</f>
        <v>30.480000000000004</v>
      </c>
      <c r="S15">
        <f>VLOOKUP($A15,Sheet4!$A$2:$Q$122,3,FALSE)</f>
        <v>3.4137600000000003</v>
      </c>
      <c r="T15">
        <f>VLOOKUP($A15,Sheet4!$A$2:$Q$122,4,FALSE)</f>
        <v>2.7462480000000005</v>
      </c>
      <c r="U15">
        <f>VLOOKUP($A15,Sheet4!$A$2:$Q$122,5,FALSE)</f>
        <v>15.880080000000003</v>
      </c>
      <c r="V15">
        <f>VLOOKUP($A15,Sheet4!$A$2:$Q$122,6,FALSE)</f>
        <v>25.75</v>
      </c>
      <c r="W15">
        <f>VLOOKUP($A15,Sheet4!$A$2:$Q$122,7,FALSE)</f>
        <v>0.71584999999999999</v>
      </c>
      <c r="X15">
        <f>VLOOKUP($A15,Sheet4!$A$2:$Q$122,8,FALSE)</f>
        <v>1.5681749999999999</v>
      </c>
      <c r="Y15">
        <f>VLOOKUP($A15,Sheet4!$A$2:$Q$122,9,FALSE)</f>
        <v>15.115250000000001</v>
      </c>
      <c r="Z15">
        <f>VLOOKUP($A15,Sheet4!$A$2:$Q$122,10,FALSE)</f>
        <v>24.8</v>
      </c>
      <c r="AA15">
        <f>VLOOKUP($A15,Sheet4!$A$2:$Q$122,11,FALSE)</f>
        <v>0.51088</v>
      </c>
      <c r="AB15">
        <f>VLOOKUP($A15,Sheet4!$A$2:$Q$122,12,FALSE)</f>
        <v>4.8856000000000002</v>
      </c>
      <c r="AC15">
        <f>VLOOKUP($A15,Sheet4!$A$2:$Q$122,13,FALSE)</f>
        <v>6.3984000000000005</v>
      </c>
      <c r="AD15">
        <f>VLOOKUP($A15,Sheet4!$A$2:$Q$122,14,FALSE)</f>
        <v>15.64</v>
      </c>
      <c r="AE15">
        <f>VLOOKUP($A15,Sheet4!$A$2:$Q$122,15,FALSE)</f>
        <v>0.309672</v>
      </c>
      <c r="AF15">
        <f>VLOOKUP($A15,Sheet4!$A$2:$Q$122,16,FALSE)</f>
        <v>0.42540800000000006</v>
      </c>
      <c r="AG15">
        <f>VLOOKUP($A15,Sheet4!$A$2:$Q$122,17,FALSE)</f>
        <v>8.6801999999999992</v>
      </c>
    </row>
    <row r="16" spans="1:33" x14ac:dyDescent="0.3">
      <c r="A16" s="27">
        <v>303</v>
      </c>
      <c r="B16" s="27" t="str">
        <f>VLOOKUP($A16, Sheet5!$A$1:$E$119,2,FALSE)</f>
        <v>Healthy</v>
      </c>
      <c r="C16" s="27" t="str">
        <f>VLOOKUP($A16, Sheet5!$A$1:$E$119,3,FALSE)</f>
        <v>otu_1</v>
      </c>
      <c r="D16" s="27" t="str">
        <f>VLOOKUP($A16, Sheet5!$A$1:$E$119,4,FALSE)</f>
        <v>M</v>
      </c>
      <c r="E16" s="27">
        <f>VLOOKUP($A16, Sheet5!$A$1:$E$119,5,FALSE)</f>
        <v>2</v>
      </c>
      <c r="F16" s="67">
        <v>7.1539999999999999</v>
      </c>
      <c r="G16" s="67">
        <v>1.6513</v>
      </c>
      <c r="H16" s="67">
        <v>5.6551369863013699E-2</v>
      </c>
      <c r="I16">
        <v>7.3980000000000018E-2</v>
      </c>
      <c r="J16">
        <v>1.5282000000000002</v>
      </c>
      <c r="K16">
        <v>2.6141342756183751E-3</v>
      </c>
      <c r="L16">
        <v>3.27156</v>
      </c>
      <c r="M16">
        <v>1.7591600000000001</v>
      </c>
      <c r="N16">
        <v>4.2801946472019459E-2</v>
      </c>
      <c r="O16">
        <v>1.27925</v>
      </c>
      <c r="P16">
        <v>5.8905000000000006E-2</v>
      </c>
      <c r="Q16">
        <v>4.6046511627906982E-2</v>
      </c>
      <c r="R16">
        <f>VLOOKUP($A16,Sheet4!$A$2:$Q$122,2,FALSE)</f>
        <v>9.65</v>
      </c>
      <c r="S16">
        <f>VLOOKUP($A16,Sheet4!$A$2:$Q$122,3,FALSE)</f>
        <v>0.34740000000000004</v>
      </c>
      <c r="T16">
        <f>VLOOKUP($A16,Sheet4!$A$2:$Q$122,4,FALSE)</f>
        <v>1.2930999999999999</v>
      </c>
      <c r="U16">
        <f>VLOOKUP($A16,Sheet4!$A$2:$Q$122,5,FALSE)</f>
        <v>5.0566000000000004</v>
      </c>
      <c r="V16">
        <f>VLOOKUP($A16,Sheet4!$A$2:$Q$122,6,FALSE)</f>
        <v>10.42</v>
      </c>
      <c r="W16">
        <f>VLOOKUP($A16,Sheet4!$A$2:$Q$122,7,FALSE)</f>
        <v>1.1253599999999999</v>
      </c>
      <c r="X16">
        <f>VLOOKUP($A16,Sheet4!$A$2:$Q$122,8,FALSE)</f>
        <v>0.64083000000000001</v>
      </c>
      <c r="Y16">
        <f>VLOOKUP($A16,Sheet4!$A$2:$Q$122,9,FALSE)</f>
        <v>2.8863400000000001</v>
      </c>
      <c r="Z16">
        <f>VLOOKUP($A16,Sheet4!$A$2:$Q$122,10,FALSE)</f>
        <v>20.5</v>
      </c>
      <c r="AA16">
        <f>VLOOKUP($A16,Sheet4!$A$2:$Q$122,11,FALSE)</f>
        <v>0.52890000000000004</v>
      </c>
      <c r="AB16">
        <f>VLOOKUP($A16,Sheet4!$A$2:$Q$122,12,FALSE)</f>
        <v>0.36285000000000006</v>
      </c>
      <c r="AC16">
        <f>VLOOKUP($A16,Sheet4!$A$2:$Q$122,13,FALSE)</f>
        <v>4.5715000000000003</v>
      </c>
      <c r="AD16">
        <f>VLOOKUP($A16,Sheet4!$A$2:$Q$122,14,FALSE)</f>
        <v>8.93</v>
      </c>
      <c r="AE16">
        <f>VLOOKUP($A16,Sheet4!$A$2:$Q$122,15,FALSE)</f>
        <v>0.8867489999999999</v>
      </c>
      <c r="AF16">
        <f>VLOOKUP($A16,Sheet4!$A$2:$Q$122,16,FALSE)</f>
        <v>0.46793200000000001</v>
      </c>
      <c r="AG16">
        <f>VLOOKUP($A16,Sheet4!$A$2:$Q$122,17,FALSE)</f>
        <v>3.1165699999999998</v>
      </c>
    </row>
    <row r="17" spans="1:33" x14ac:dyDescent="0.3">
      <c r="A17" s="27">
        <v>304</v>
      </c>
      <c r="B17" s="27" t="str">
        <f>VLOOKUP($A17, Sheet5!$A$1:$E$119,2,FALSE)</f>
        <v>Healthy</v>
      </c>
      <c r="C17" s="27" t="str">
        <f>VLOOKUP($A17, Sheet5!$A$1:$E$119,3,FALSE)</f>
        <v>otu_1</v>
      </c>
      <c r="D17" s="27" t="str">
        <f>VLOOKUP($A17, Sheet5!$A$1:$E$119,4,FALSE)</f>
        <v>M</v>
      </c>
      <c r="E17" s="27">
        <f>VLOOKUP($A17, Sheet5!$A$1:$E$119,5,FALSE)</f>
        <v>0</v>
      </c>
      <c r="F17" s="67">
        <v>4.8803999999999998</v>
      </c>
      <c r="G17" s="67">
        <v>0.54780000000000006</v>
      </c>
      <c r="H17" s="67">
        <v>3.726530612244898E-2</v>
      </c>
      <c r="I17" s="95">
        <v>9.2064000000000007E-2</v>
      </c>
      <c r="J17" s="95">
        <v>1.2667200000000001</v>
      </c>
      <c r="K17" s="95">
        <v>2.4420159151193632E-3</v>
      </c>
      <c r="L17" s="95">
        <v>2.4653200000000002</v>
      </c>
      <c r="M17" s="95">
        <v>0.35635600000000006</v>
      </c>
      <c r="N17" s="95">
        <v>8.2681206496519714E-3</v>
      </c>
      <c r="O17">
        <v>0.90888000000000002</v>
      </c>
      <c r="P17">
        <v>5.7887000000000001E-2</v>
      </c>
      <c r="Q17">
        <v>6.3690476190476186E-2</v>
      </c>
      <c r="R17">
        <f>VLOOKUP($A17,Sheet4!$A$2:$Q$122,2,FALSE)</f>
        <v>11.29</v>
      </c>
      <c r="S17">
        <f>VLOOKUP($A17,Sheet4!$A$2:$Q$122,3,FALSE)</f>
        <v>4.222459999999999</v>
      </c>
      <c r="T17">
        <f>VLOOKUP($A17,Sheet4!$A$2:$Q$122,4,FALSE)</f>
        <v>2.0321999999999996</v>
      </c>
      <c r="U17">
        <f>VLOOKUP($A17,Sheet4!$A$2:$Q$122,5,FALSE)</f>
        <v>1.9080099999999995</v>
      </c>
      <c r="V17">
        <f>VLOOKUP($A17,Sheet4!$A$2:$Q$122,6,FALSE)</f>
        <v>6.59</v>
      </c>
      <c r="W17">
        <f>VLOOKUP($A17,Sheet4!$A$2:$Q$122,7,FALSE)</f>
        <v>0.94896000000000003</v>
      </c>
      <c r="X17">
        <f>VLOOKUP($A17,Sheet4!$A$2:$Q$122,8,FALSE)</f>
        <v>1.6870400000000001</v>
      </c>
      <c r="Y17">
        <f>VLOOKUP($A17,Sheet4!$A$2:$Q$122,9,FALSE)</f>
        <v>0.581897</v>
      </c>
      <c r="Z17">
        <f>VLOOKUP($A17,Sheet4!$A$2:$Q$122,10,FALSE)</f>
        <v>16.920000000000002</v>
      </c>
      <c r="AA17">
        <f>VLOOKUP($A17,Sheet4!$A$2:$Q$122,11,FALSE)</f>
        <v>1.5160320000000005</v>
      </c>
      <c r="AB17">
        <f>VLOOKUP($A17,Sheet4!$A$2:$Q$122,12,FALSE)</f>
        <v>9.5767200000000017</v>
      </c>
      <c r="AC17">
        <f>VLOOKUP($A17,Sheet4!$A$2:$Q$122,13,FALSE)</f>
        <v>0.37224000000000002</v>
      </c>
      <c r="AD17">
        <f>VLOOKUP($A17,Sheet4!$A$2:$Q$122,14,FALSE)</f>
        <v>9.84</v>
      </c>
      <c r="AE17">
        <f>VLOOKUP($A17,Sheet4!$A$2:$Q$122,15,FALSE)</f>
        <v>1.48584</v>
      </c>
      <c r="AF17">
        <f>VLOOKUP($A17,Sheet4!$A$2:$Q$122,16,FALSE)</f>
        <v>3.7588800000000004</v>
      </c>
      <c r="AG17">
        <f>VLOOKUP($A17,Sheet4!$A$2:$Q$122,17,FALSE)</f>
        <v>0.67699200000000004</v>
      </c>
    </row>
    <row r="18" spans="1:33" x14ac:dyDescent="0.3">
      <c r="A18" s="27">
        <v>308</v>
      </c>
      <c r="B18" s="27" t="str">
        <f>VLOOKUP($A18, Sheet5!$A$1:$E$119,2,FALSE)</f>
        <v>Healthy</v>
      </c>
      <c r="C18" s="27" t="str">
        <f>VLOOKUP($A18, Sheet5!$A$1:$E$119,3,FALSE)</f>
        <v>otu_1</v>
      </c>
      <c r="D18" s="27" t="str">
        <f>VLOOKUP($A18, Sheet5!$A$1:$E$119,4,FALSE)</f>
        <v>M</v>
      </c>
      <c r="E18" s="27">
        <f>VLOOKUP($A18, Sheet5!$A$1:$E$119,5,FALSE)</f>
        <v>0</v>
      </c>
      <c r="F18" s="67">
        <v>1.87</v>
      </c>
      <c r="G18" s="67">
        <v>0.34600000000000003</v>
      </c>
      <c r="H18" s="67">
        <v>1.8502673796791446E-2</v>
      </c>
      <c r="I18" s="95">
        <v>1.2266999999999998E-2</v>
      </c>
      <c r="J18" s="95">
        <v>0.22532999999999997</v>
      </c>
      <c r="K18" s="95">
        <v>4.7362934362934361E-4</v>
      </c>
      <c r="L18" s="95">
        <v>0.72850999999999999</v>
      </c>
      <c r="M18" s="95">
        <v>0.14764100000000002</v>
      </c>
      <c r="N18" s="95">
        <v>5.6137262357414449E-3</v>
      </c>
      <c r="O18">
        <v>0.46976000000000001</v>
      </c>
      <c r="P18">
        <v>9.4686000000000006E-2</v>
      </c>
      <c r="Q18">
        <v>0.20156250000000001</v>
      </c>
      <c r="R18">
        <f>VLOOKUP($A18,Sheet4!$A$2:$Q$122,2,FALSE)</f>
        <v>0</v>
      </c>
      <c r="S18">
        <f>VLOOKUP($A18,Sheet4!$A$2:$Q$122,3,FALSE)</f>
        <v>0</v>
      </c>
      <c r="T18">
        <f>VLOOKUP($A18,Sheet4!$A$2:$Q$122,4,FALSE)</f>
        <v>0</v>
      </c>
      <c r="U18">
        <f>VLOOKUP($A18,Sheet4!$A$2:$Q$122,5,FALSE)</f>
        <v>0</v>
      </c>
      <c r="V18">
        <f>VLOOKUP($A18,Sheet4!$A$2:$Q$122,6,FALSE)</f>
        <v>12.370000000000001</v>
      </c>
      <c r="W18">
        <f>VLOOKUP($A18,Sheet4!$A$2:$Q$122,7,FALSE)</f>
        <v>1.4843999999999999</v>
      </c>
      <c r="X18">
        <f>VLOOKUP($A18,Sheet4!$A$2:$Q$122,8,FALSE)</f>
        <v>4.7253400000000001</v>
      </c>
      <c r="Y18">
        <f>VLOOKUP($A18,Sheet4!$A$2:$Q$122,9,FALSE)</f>
        <v>0.24740000000000001</v>
      </c>
      <c r="Z18">
        <f>VLOOKUP($A18,Sheet4!$A$2:$Q$122,10,FALSE)</f>
        <v>8.879999999999999</v>
      </c>
      <c r="AA18">
        <f>VLOOKUP($A18,Sheet4!$A$2:$Q$122,11,FALSE)</f>
        <v>1.2787199999999999</v>
      </c>
      <c r="AB18">
        <f>VLOOKUP($A18,Sheet4!$A$2:$Q$122,12,FALSE)</f>
        <v>4.6175999999999995</v>
      </c>
      <c r="AC18">
        <f>VLOOKUP($A18,Sheet4!$A$2:$Q$122,13,FALSE)</f>
        <v>0.236208</v>
      </c>
      <c r="AD18">
        <f>VLOOKUP($A18,Sheet4!$A$2:$Q$122,14,FALSE)</f>
        <v>11.9</v>
      </c>
      <c r="AE18">
        <f>VLOOKUP($A18,Sheet4!$A$2:$Q$122,15,FALSE)</f>
        <v>1.2971000000000001</v>
      </c>
      <c r="AF18">
        <f>VLOOKUP($A18,Sheet4!$A$2:$Q$122,16,FALSE)</f>
        <v>5.0575000000000001</v>
      </c>
      <c r="AG18">
        <f>VLOOKUP($A18,Sheet4!$A$2:$Q$122,17,FALSE)</f>
        <v>0.50099000000000005</v>
      </c>
    </row>
    <row r="19" spans="1:33" x14ac:dyDescent="0.3">
      <c r="A19" s="27">
        <v>315</v>
      </c>
      <c r="B19" s="27" t="str">
        <f>VLOOKUP($A19, Sheet5!$A$1:$E$119,2,FALSE)</f>
        <v>Healthy</v>
      </c>
      <c r="C19" s="27" t="str">
        <f>VLOOKUP($A19, Sheet5!$A$1:$E$119,3,FALSE)</f>
        <v>otu_1</v>
      </c>
      <c r="D19" s="27" t="str">
        <f>VLOOKUP($A19, Sheet5!$A$1:$E$119,4,FALSE)</f>
        <v>M</v>
      </c>
      <c r="E19" s="27">
        <f>VLOOKUP($A19, Sheet5!$A$1:$E$119,5,FALSE)</f>
        <v>0</v>
      </c>
      <c r="F19" s="67">
        <v>0.23058000000000003</v>
      </c>
      <c r="G19" s="67">
        <v>7.2900000000000006E-2</v>
      </c>
      <c r="H19" s="67">
        <v>1.7072599531615922E-3</v>
      </c>
      <c r="I19" s="95">
        <v>0</v>
      </c>
      <c r="J19" s="95">
        <v>2.3166000000000003E-2</v>
      </c>
      <c r="K19" s="95">
        <v>0</v>
      </c>
      <c r="L19" s="95">
        <v>0.40064</v>
      </c>
      <c r="M19" s="95">
        <v>4.8895999999999995E-2</v>
      </c>
      <c r="N19" s="95">
        <v>1.5621725239616613E-3</v>
      </c>
      <c r="O19">
        <v>0.20188000000000003</v>
      </c>
      <c r="P19">
        <v>8.3429999999999997E-3</v>
      </c>
      <c r="Q19">
        <v>4.1326530612244887E-2</v>
      </c>
      <c r="R19">
        <f>VLOOKUP($A19,Sheet4!$A$2:$Q$122,2,FALSE)</f>
        <v>0</v>
      </c>
      <c r="S19">
        <f>VLOOKUP($A19,Sheet4!$A$2:$Q$122,3,FALSE)</f>
        <v>0</v>
      </c>
      <c r="T19">
        <f>VLOOKUP($A19,Sheet4!$A$2:$Q$122,4,FALSE)</f>
        <v>0</v>
      </c>
      <c r="U19">
        <f>VLOOKUP($A19,Sheet4!$A$2:$Q$122,5,FALSE)</f>
        <v>0</v>
      </c>
      <c r="V19">
        <f>VLOOKUP($A19,Sheet4!$A$2:$Q$122,6,FALSE)</f>
        <v>1.1100000000000001</v>
      </c>
      <c r="W19">
        <f>VLOOKUP($A19,Sheet4!$A$2:$Q$122,7,FALSE)</f>
        <v>0.48396000000000006</v>
      </c>
      <c r="X19">
        <f>VLOOKUP($A19,Sheet4!$A$2:$Q$122,8,FALSE)</f>
        <v>0.22533</v>
      </c>
      <c r="Y19">
        <f>VLOOKUP($A19,Sheet4!$A$2:$Q$122,9,FALSE)</f>
        <v>0.26751000000000003</v>
      </c>
      <c r="Z19">
        <f>VLOOKUP($A19,Sheet4!$A$2:$Q$122,10,FALSE)</f>
        <v>1.51</v>
      </c>
      <c r="AA19">
        <f>VLOOKUP($A19,Sheet4!$A$2:$Q$122,11,FALSE)</f>
        <v>0</v>
      </c>
      <c r="AB19">
        <f>VLOOKUP($A19,Sheet4!$A$2:$Q$122,12,FALSE)</f>
        <v>0.73385999999999996</v>
      </c>
      <c r="AC19">
        <f>VLOOKUP($A19,Sheet4!$A$2:$Q$122,13,FALSE)</f>
        <v>8.0784999999999996E-2</v>
      </c>
      <c r="AD19">
        <f>VLOOKUP($A19,Sheet4!$A$2:$Q$122,14,FALSE)</f>
        <v>1.47</v>
      </c>
      <c r="AE19">
        <f>VLOOKUP($A19,Sheet4!$A$2:$Q$122,15,FALSE)</f>
        <v>0.65855999999999992</v>
      </c>
      <c r="AF19">
        <f>VLOOKUP($A19,Sheet4!$A$2:$Q$122,16,FALSE)</f>
        <v>0.47480999999999995</v>
      </c>
      <c r="AG19">
        <f>VLOOKUP($A19,Sheet4!$A$2:$Q$122,17,FALSE)</f>
        <v>6.2181000000000007E-2</v>
      </c>
    </row>
    <row r="20" spans="1:33" x14ac:dyDescent="0.3">
      <c r="A20" s="27">
        <v>316</v>
      </c>
      <c r="B20" s="27" t="str">
        <f>VLOOKUP($A20, Sheet5!$A$1:$E$119,2,FALSE)</f>
        <v>Healthy</v>
      </c>
      <c r="C20" s="27" t="str">
        <f>VLOOKUP($A20, Sheet5!$A$1:$E$119,3,FALSE)</f>
        <v>otu_1</v>
      </c>
      <c r="D20" s="27" t="str">
        <f>VLOOKUP($A20, Sheet5!$A$1:$E$119,4,FALSE)</f>
        <v>M</v>
      </c>
      <c r="E20" s="27">
        <f>VLOOKUP($A20, Sheet5!$A$1:$E$119,5,FALSE)</f>
        <v>0</v>
      </c>
      <c r="F20" s="67">
        <v>2.7376</v>
      </c>
      <c r="G20" s="67">
        <v>3.2096000000000005</v>
      </c>
      <c r="H20" s="67">
        <v>0.27668965517241378</v>
      </c>
      <c r="I20" s="95">
        <v>7.0029999999999995E-2</v>
      </c>
      <c r="J20" s="95">
        <v>1.1711399999999998</v>
      </c>
      <c r="K20" s="95">
        <v>1.7819338422391858E-3</v>
      </c>
      <c r="L20" s="95">
        <v>1.28</v>
      </c>
      <c r="M20" s="95">
        <v>0.38900000000000001</v>
      </c>
      <c r="N20" s="95">
        <v>3.0390625000000001E-2</v>
      </c>
      <c r="O20">
        <v>0.61403999999999992</v>
      </c>
      <c r="P20">
        <v>4.6783999999999999E-2</v>
      </c>
      <c r="Q20">
        <v>7.6190476190476197E-2</v>
      </c>
      <c r="R20">
        <f>VLOOKUP($A20,Sheet4!$A$2:$Q$122,2,FALSE)</f>
        <v>10.600000000000001</v>
      </c>
      <c r="S20">
        <f>VLOOKUP($A20,Sheet4!$A$2:$Q$122,3,FALSE)</f>
        <v>2.9786000000000006</v>
      </c>
      <c r="T20">
        <f>VLOOKUP($A20,Sheet4!$A$2:$Q$122,4,FALSE)</f>
        <v>0</v>
      </c>
      <c r="U20">
        <f>VLOOKUP($A20,Sheet4!$A$2:$Q$122,5,FALSE)</f>
        <v>0.86072000000000004</v>
      </c>
      <c r="V20">
        <f>VLOOKUP($A20,Sheet4!$A$2:$Q$122,6,FALSE)</f>
        <v>13.54</v>
      </c>
      <c r="W20">
        <f>VLOOKUP($A20,Sheet4!$A$2:$Q$122,7,FALSE)</f>
        <v>4.0484599999999995</v>
      </c>
      <c r="X20">
        <f>VLOOKUP($A20,Sheet4!$A$2:$Q$122,8,FALSE)</f>
        <v>4.2786399999999993</v>
      </c>
      <c r="Y20">
        <f>VLOOKUP($A20,Sheet4!$A$2:$Q$122,9,FALSE)</f>
        <v>1.192874</v>
      </c>
      <c r="Z20">
        <f>VLOOKUP($A20,Sheet4!$A$2:$Q$122,10,FALSE)</f>
        <v>14.07</v>
      </c>
      <c r="AA20">
        <f>VLOOKUP($A20,Sheet4!$A$2:$Q$122,11,FALSE)</f>
        <v>1.270521</v>
      </c>
      <c r="AB20">
        <f>VLOOKUP($A20,Sheet4!$A$2:$Q$122,12,FALSE)</f>
        <v>6.8520900000000005</v>
      </c>
      <c r="AC20">
        <f>VLOOKUP($A20,Sheet4!$A$2:$Q$122,13,FALSE)</f>
        <v>0.31516800000000006</v>
      </c>
      <c r="AD20">
        <f>VLOOKUP($A20,Sheet4!$A$2:$Q$122,14,FALSE)</f>
        <v>9.49</v>
      </c>
      <c r="AE20">
        <f>VLOOKUP($A20,Sheet4!$A$2:$Q$122,15,FALSE)</f>
        <v>2.2301500000000001</v>
      </c>
      <c r="AF20">
        <f>VLOOKUP($A20,Sheet4!$A$2:$Q$122,16,FALSE)</f>
        <v>3.3879299999999999</v>
      </c>
      <c r="AG20">
        <f>VLOOKUP($A20,Sheet4!$A$2:$Q$122,17,FALSE)</f>
        <v>0.54377700000000007</v>
      </c>
    </row>
    <row r="21" spans="1:33" x14ac:dyDescent="0.3">
      <c r="A21" s="27">
        <v>317</v>
      </c>
      <c r="B21" s="27" t="str">
        <f>VLOOKUP($A21, Sheet5!$A$1:$E$119,2,FALSE)</f>
        <v>Healthy</v>
      </c>
      <c r="C21" s="27" t="str">
        <f>VLOOKUP($A21, Sheet5!$A$1:$E$119,3,FALSE)</f>
        <v>otu_1</v>
      </c>
      <c r="D21" s="27" t="str">
        <f>VLOOKUP($A21, Sheet5!$A$1:$E$119,4,FALSE)</f>
        <v>M</v>
      </c>
      <c r="E21" s="27">
        <f>VLOOKUP($A21, Sheet5!$A$1:$E$119,5,FALSE)</f>
        <v>0</v>
      </c>
      <c r="F21" s="60"/>
      <c r="G21" s="60"/>
      <c r="H21" s="60"/>
      <c r="I21">
        <v>0.22159800000000002</v>
      </c>
      <c r="J21">
        <v>2.5284900000000001</v>
      </c>
      <c r="K21">
        <v>8.2995505617977534E-3</v>
      </c>
      <c r="L21">
        <v>4.7459999999999996</v>
      </c>
      <c r="M21">
        <v>0.12039999999999999</v>
      </c>
      <c r="N21">
        <v>3.5516224188790555E-3</v>
      </c>
      <c r="O21">
        <v>1.27641</v>
      </c>
      <c r="P21">
        <v>7.5359999999999996E-2</v>
      </c>
      <c r="Q21">
        <v>5.9040590405904057E-2</v>
      </c>
      <c r="R21">
        <f>VLOOKUP($A21,Sheet4!$A$2:$Q$122,2,FALSE)</f>
        <v>12.3</v>
      </c>
      <c r="S21">
        <f>VLOOKUP($A21,Sheet4!$A$2:$Q$122,3,FALSE)</f>
        <v>3.1611000000000002</v>
      </c>
      <c r="T21">
        <f>VLOOKUP($A21,Sheet4!$A$2:$Q$122,4,FALSE)</f>
        <v>0</v>
      </c>
      <c r="U21">
        <f>VLOOKUP($A21,Sheet4!$A$2:$Q$122,5,FALSE)</f>
        <v>0.79704000000000008</v>
      </c>
      <c r="V21">
        <f>VLOOKUP($A21,Sheet4!$A$2:$Q$122,6,FALSE)</f>
        <v>0</v>
      </c>
      <c r="W21">
        <f>VLOOKUP($A21,Sheet4!$A$2:$Q$122,7,FALSE)</f>
        <v>0</v>
      </c>
      <c r="X21">
        <f>VLOOKUP($A21,Sheet4!$A$2:$Q$122,8,FALSE)</f>
        <v>0</v>
      </c>
      <c r="Y21">
        <f>VLOOKUP($A21,Sheet4!$A$2:$Q$122,9,FALSE)</f>
        <v>0</v>
      </c>
      <c r="Z21">
        <f>VLOOKUP($A21,Sheet4!$A$2:$Q$122,10,FALSE)</f>
        <v>8.39</v>
      </c>
      <c r="AA21">
        <f>VLOOKUP($A21,Sheet4!$A$2:$Q$122,11,FALSE)</f>
        <v>0.93968000000000007</v>
      </c>
      <c r="AB21">
        <f>VLOOKUP($A21,Sheet4!$A$2:$Q$122,12,FALSE)</f>
        <v>3.5573600000000001</v>
      </c>
      <c r="AC21">
        <f>VLOOKUP($A21,Sheet4!$A$2:$Q$122,13,FALSE)</f>
        <v>0.316303</v>
      </c>
      <c r="AD21">
        <f>VLOOKUP($A21,Sheet4!$A$2:$Q$122,14,FALSE)</f>
        <v>10.399999999999999</v>
      </c>
      <c r="AE21">
        <f>VLOOKUP($A21,Sheet4!$A$2:$Q$122,15,FALSE)</f>
        <v>2.0487999999999995</v>
      </c>
      <c r="AF21">
        <f>VLOOKUP($A21,Sheet4!$A$2:$Q$122,16,FALSE)</f>
        <v>3.5775999999999994</v>
      </c>
      <c r="AG21">
        <f>VLOOKUP($A21,Sheet4!$A$2:$Q$122,17,FALSE)</f>
        <v>0.79871999999999987</v>
      </c>
    </row>
    <row r="22" spans="1:33" x14ac:dyDescent="0.3">
      <c r="A22" s="7">
        <v>401</v>
      </c>
      <c r="B22" s="27" t="str">
        <f>VLOOKUP($A22, Sheet5!$A$1:$E$119,2,FALSE)</f>
        <v>IBD</v>
      </c>
      <c r="C22" s="27" t="str">
        <f>VLOOKUP($A22, Sheet5!$A$1:$E$119,3,FALSE)</f>
        <v>otu_1</v>
      </c>
      <c r="D22" s="27" t="str">
        <f>VLOOKUP($A22, Sheet5!$A$1:$E$119,4,FALSE)</f>
        <v>M</v>
      </c>
      <c r="E22" s="27">
        <f>VLOOKUP($A22, Sheet5!$A$1:$E$119,5,FALSE)</f>
        <v>2</v>
      </c>
      <c r="F22" s="67">
        <v>0.53619000000000006</v>
      </c>
      <c r="G22" s="67">
        <v>5.6256E-2</v>
      </c>
      <c r="H22" s="67">
        <v>3.0740983606557374E-3</v>
      </c>
      <c r="I22">
        <v>0.129444</v>
      </c>
      <c r="J22">
        <v>1.9899600000000002</v>
      </c>
      <c r="K22">
        <v>3.1418446601941753E-3</v>
      </c>
      <c r="L22">
        <v>0.73738000000000004</v>
      </c>
      <c r="M22">
        <v>5.7316000000000006E-2</v>
      </c>
      <c r="N22">
        <v>2.5028820960698696E-3</v>
      </c>
      <c r="O22">
        <v>2.3550499999999999</v>
      </c>
      <c r="P22">
        <v>0.11951000000000001</v>
      </c>
      <c r="Q22">
        <v>3.5674626865671638E-3</v>
      </c>
      <c r="R22">
        <f>VLOOKUP($A22,Sheet4!$A$2:$Q$122,2,FALSE)</f>
        <v>2.3699999999999997</v>
      </c>
      <c r="S22">
        <f>VLOOKUP($A22,Sheet4!$A$2:$Q$122,3,FALSE)</f>
        <v>5.2139999999999999E-3</v>
      </c>
      <c r="T22">
        <f>VLOOKUP($A22,Sheet4!$A$2:$Q$122,4,FALSE)</f>
        <v>2.1329999999999995E-2</v>
      </c>
      <c r="U22">
        <f>VLOOKUP($A22,Sheet4!$A$2:$Q$122,5,FALSE)</f>
        <v>9.2666999999999985E-2</v>
      </c>
      <c r="V22">
        <f>VLOOKUP($A22,Sheet4!$A$2:$Q$122,6,FALSE)</f>
        <v>2.7</v>
      </c>
      <c r="W22">
        <f>VLOOKUP($A22,Sheet4!$A$2:$Q$122,7,FALSE)</f>
        <v>1.2149999999999999E-3</v>
      </c>
      <c r="X22">
        <f>VLOOKUP($A22,Sheet4!$A$2:$Q$122,8,FALSE)</f>
        <v>1.1340000000000002E-3</v>
      </c>
      <c r="Y22">
        <f>VLOOKUP($A22,Sheet4!$A$2:$Q$122,9,FALSE)</f>
        <v>0.15822000000000003</v>
      </c>
      <c r="Z22">
        <f>VLOOKUP($A22,Sheet4!$A$2:$Q$122,10,FALSE)</f>
        <v>7.17</v>
      </c>
      <c r="AA22">
        <f>VLOOKUP($A22,Sheet4!$A$2:$Q$122,11,FALSE)</f>
        <v>1.9359000000000001E-2</v>
      </c>
      <c r="AB22">
        <f>VLOOKUP($A22,Sheet4!$A$2:$Q$122,12,FALSE)</f>
        <v>3.2265000000000002E-2</v>
      </c>
      <c r="AC22">
        <f>VLOOKUP($A22,Sheet4!$A$2:$Q$122,13,FALSE)</f>
        <v>0.11687099999999999</v>
      </c>
      <c r="AD22">
        <f>VLOOKUP($A22,Sheet4!$A$2:$Q$122,14,FALSE)</f>
        <v>3.23</v>
      </c>
      <c r="AE22">
        <f>VLOOKUP($A22,Sheet4!$A$2:$Q$122,15,FALSE)</f>
        <v>1.0013000000000001E-2</v>
      </c>
      <c r="AF22">
        <f>VLOOKUP($A22,Sheet4!$A$2:$Q$122,16,FALSE)</f>
        <v>8.3979999999999992E-3</v>
      </c>
      <c r="AG22">
        <f>VLOOKUP($A22,Sheet4!$A$2:$Q$122,17,FALSE)</f>
        <v>8.5595000000000004E-2</v>
      </c>
    </row>
    <row r="23" spans="1:33" x14ac:dyDescent="0.3">
      <c r="A23" s="7">
        <v>410</v>
      </c>
      <c r="B23" s="27" t="str">
        <f>VLOOKUP($A23, Sheet5!$A$1:$E$119,2,FALSE)</f>
        <v>IBD</v>
      </c>
      <c r="C23" s="27" t="str">
        <f>VLOOKUP($A23, Sheet5!$A$1:$E$119,3,FALSE)</f>
        <v>otu_1</v>
      </c>
      <c r="D23" s="27" t="str">
        <f>VLOOKUP($A23, Sheet5!$A$1:$E$119,4,FALSE)</f>
        <v>M</v>
      </c>
      <c r="E23" s="27">
        <f>VLOOKUP($A23, Sheet5!$A$1:$E$119,5,FALSE)</f>
        <v>5</v>
      </c>
      <c r="F23" s="67">
        <v>1.75244</v>
      </c>
      <c r="G23" s="67">
        <v>1.9976000000000001E-2</v>
      </c>
      <c r="H23" s="67">
        <v>5.1751295336787567E-4</v>
      </c>
      <c r="I23">
        <v>8.9960999999999999E-2</v>
      </c>
      <c r="J23">
        <v>2.0158800000000001</v>
      </c>
      <c r="K23">
        <v>2.101892523364486E-3</v>
      </c>
      <c r="L23">
        <v>1.6472</v>
      </c>
      <c r="M23">
        <v>4.9699999999999994E-2</v>
      </c>
      <c r="N23">
        <v>1.0711206896551722E-3</v>
      </c>
      <c r="O23">
        <v>2.0855999999999999</v>
      </c>
      <c r="P23">
        <v>6.7308000000000007E-2</v>
      </c>
      <c r="Q23">
        <v>1.5297272727272729E-3</v>
      </c>
      <c r="R23">
        <f>VLOOKUP($A23,Sheet4!$A$2:$Q$122,2,FALSE)</f>
        <v>5.0200000000000005</v>
      </c>
      <c r="S23">
        <f>VLOOKUP($A23,Sheet4!$A$2:$Q$122,3,FALSE)</f>
        <v>1.255E-2</v>
      </c>
      <c r="T23">
        <f>VLOOKUP($A23,Sheet4!$A$2:$Q$122,4,FALSE)</f>
        <v>6.1244000000000007E-2</v>
      </c>
      <c r="U23">
        <f>VLOOKUP($A23,Sheet4!$A$2:$Q$122,5,FALSE)</f>
        <v>8.2830000000000001E-2</v>
      </c>
      <c r="V23">
        <f>VLOOKUP($A23,Sheet4!$A$2:$Q$122,6,FALSE)</f>
        <v>3.35</v>
      </c>
      <c r="W23">
        <f>VLOOKUP($A23,Sheet4!$A$2:$Q$122,7,FALSE)</f>
        <v>1.0385E-2</v>
      </c>
      <c r="X23">
        <f>VLOOKUP($A23,Sheet4!$A$2:$Q$122,8,FALSE)</f>
        <v>1.072E-2</v>
      </c>
      <c r="Y23">
        <f>VLOOKUP($A23,Sheet4!$A$2:$Q$122,9,FALSE)</f>
        <v>8.5760000000000003E-2</v>
      </c>
      <c r="Z23">
        <f>VLOOKUP($A23,Sheet4!$A$2:$Q$122,10,FALSE)</f>
        <v>8.42</v>
      </c>
      <c r="AA23">
        <f>VLOOKUP($A23,Sheet4!$A$2:$Q$122,11,FALSE)</f>
        <v>5.4730000000000001E-2</v>
      </c>
      <c r="AB23">
        <f>VLOOKUP($A23,Sheet4!$A$2:$Q$122,12,FALSE)</f>
        <v>3.789E-2</v>
      </c>
      <c r="AC23">
        <f>VLOOKUP($A23,Sheet4!$A$2:$Q$122,13,FALSE)</f>
        <v>0.21471000000000001</v>
      </c>
      <c r="AD23">
        <f>VLOOKUP($A23,Sheet4!$A$2:$Q$122,14,FALSE)</f>
        <v>1.4</v>
      </c>
      <c r="AE23">
        <f>VLOOKUP($A23,Sheet4!$A$2:$Q$122,15,FALSE)</f>
        <v>1.2319999999999999E-2</v>
      </c>
      <c r="AF23">
        <f>VLOOKUP($A23,Sheet4!$A$2:$Q$122,16,FALSE)</f>
        <v>3.9619999999999995E-2</v>
      </c>
      <c r="AG23">
        <f>VLOOKUP($A23,Sheet4!$A$2:$Q$122,17,FALSE)</f>
        <v>6.5659999999999996E-2</v>
      </c>
    </row>
    <row r="24" spans="1:33" x14ac:dyDescent="0.3">
      <c r="A24" s="7">
        <v>411</v>
      </c>
      <c r="B24" s="27" t="str">
        <f>VLOOKUP($A24, Sheet5!$A$1:$E$119,2,FALSE)</f>
        <v>IBD</v>
      </c>
      <c r="C24" s="27" t="str">
        <f>VLOOKUP($A24, Sheet5!$A$1:$E$119,3,FALSE)</f>
        <v>otu_1</v>
      </c>
      <c r="D24" s="27" t="str">
        <f>VLOOKUP($A24, Sheet5!$A$1:$E$119,4,FALSE)</f>
        <v>M</v>
      </c>
      <c r="E24" s="27">
        <f>VLOOKUP($A24, Sheet5!$A$1:$E$119,5,FALSE)</f>
        <v>5</v>
      </c>
      <c r="F24" s="67">
        <v>0.63063000000000002</v>
      </c>
      <c r="G24" s="67">
        <v>1.9845000000000002E-2</v>
      </c>
      <c r="H24" s="67">
        <v>1.3877622377622375E-3</v>
      </c>
      <c r="I24">
        <v>2.3519999999999999E-2</v>
      </c>
      <c r="J24">
        <v>0.72320000000000007</v>
      </c>
      <c r="K24">
        <v>5.2035398230088493E-4</v>
      </c>
      <c r="L24">
        <v>1.4444300000000001</v>
      </c>
      <c r="M24">
        <v>2.3452000000000001E-2</v>
      </c>
      <c r="N24">
        <v>8.6538745387453877E-4</v>
      </c>
      <c r="O24">
        <v>3.1523100000000004</v>
      </c>
      <c r="P24">
        <v>5.9160999999999998E-2</v>
      </c>
      <c r="Q24">
        <v>1.6571708683473388E-3</v>
      </c>
      <c r="R24">
        <f>VLOOKUP($A24,Sheet4!$A$2:$Q$122,2,FALSE)</f>
        <v>2.88</v>
      </c>
      <c r="S24">
        <f>VLOOKUP($A24,Sheet4!$A$2:$Q$122,3,FALSE)</f>
        <v>9.5040000000000003E-3</v>
      </c>
      <c r="T24">
        <f>VLOOKUP($A24,Sheet4!$A$2:$Q$122,4,FALSE)</f>
        <v>6.6816E-2</v>
      </c>
      <c r="U24">
        <f>VLOOKUP($A24,Sheet4!$A$2:$Q$122,5,FALSE)</f>
        <v>7.1423999999999987E-2</v>
      </c>
      <c r="V24">
        <f>VLOOKUP($A24,Sheet4!$A$2:$Q$122,6,FALSE)</f>
        <v>1.9400000000000002</v>
      </c>
      <c r="W24">
        <f>VLOOKUP($A24,Sheet4!$A$2:$Q$122,7,FALSE)</f>
        <v>2.3280000000000002E-3</v>
      </c>
      <c r="X24">
        <f>VLOOKUP($A24,Sheet4!$A$2:$Q$122,8,FALSE)</f>
        <v>2.7160000000000005E-3</v>
      </c>
      <c r="Y24">
        <f>VLOOKUP($A24,Sheet4!$A$2:$Q$122,9,FALSE)</f>
        <v>0.11834</v>
      </c>
      <c r="Z24">
        <f>VLOOKUP($A24,Sheet4!$A$2:$Q$122,10,FALSE)</f>
        <v>3</v>
      </c>
      <c r="AA24">
        <f>VLOOKUP($A24,Sheet4!$A$2:$Q$122,11,FALSE)</f>
        <v>1.7399999999999999E-2</v>
      </c>
      <c r="AB24">
        <f>VLOOKUP($A24,Sheet4!$A$2:$Q$122,12,FALSE)</f>
        <v>2.9699999999999997E-2</v>
      </c>
      <c r="AC24">
        <f>VLOOKUP($A24,Sheet4!$A$2:$Q$122,13,FALSE)</f>
        <v>7.6499999999999999E-2</v>
      </c>
      <c r="AD24">
        <f>VLOOKUP($A24,Sheet4!$A$2:$Q$122,14,FALSE)</f>
        <v>3.3400000000000003</v>
      </c>
      <c r="AE24">
        <f>VLOOKUP($A24,Sheet4!$A$2:$Q$122,15,FALSE)</f>
        <v>1.7034000000000004E-2</v>
      </c>
      <c r="AF24">
        <f>VLOOKUP($A24,Sheet4!$A$2:$Q$122,16,FALSE)</f>
        <v>1.4696000000000002E-2</v>
      </c>
      <c r="AG24">
        <f>VLOOKUP($A24,Sheet4!$A$2:$Q$122,17,FALSE)</f>
        <v>8.5169999999999996E-2</v>
      </c>
    </row>
    <row r="25" spans="1:33" x14ac:dyDescent="0.3">
      <c r="A25" s="7">
        <v>415</v>
      </c>
      <c r="B25" s="27" t="str">
        <f>VLOOKUP($A25, Sheet5!$A$1:$E$119,2,FALSE)</f>
        <v>IBD</v>
      </c>
      <c r="C25" s="27" t="str">
        <f>VLOOKUP($A25, Sheet5!$A$1:$E$119,3,FALSE)</f>
        <v>otu_1</v>
      </c>
      <c r="D25" s="27" t="str">
        <f>VLOOKUP($A25, Sheet5!$A$1:$E$119,4,FALSE)</f>
        <v>M</v>
      </c>
      <c r="E25" s="27">
        <f>VLOOKUP($A25, Sheet5!$A$1:$E$119,5,FALSE)</f>
        <v>5</v>
      </c>
      <c r="F25" s="86"/>
      <c r="G25" s="86"/>
      <c r="H25" s="86"/>
      <c r="L25">
        <v>0.23980000000000001</v>
      </c>
      <c r="M25">
        <v>6.3219999999999995E-3</v>
      </c>
      <c r="N25">
        <v>5.7472727272727276E-4</v>
      </c>
      <c r="O25">
        <v>1.0512000000000001</v>
      </c>
      <c r="P25">
        <v>3.168E-2</v>
      </c>
      <c r="Q25">
        <v>1.084931506849315E-3</v>
      </c>
      <c r="R25">
        <f>VLOOKUP($A25,Sheet4!$A$2:$Q$122,2,FALSE)</f>
        <v>3.5</v>
      </c>
      <c r="S25">
        <f>VLOOKUP($A25,Sheet4!$A$2:$Q$122,3,FALSE)</f>
        <v>5.6000000000000008E-3</v>
      </c>
      <c r="T25">
        <f>VLOOKUP($A25,Sheet4!$A$2:$Q$122,4,FALSE)</f>
        <v>6.6149999999999987E-2</v>
      </c>
      <c r="U25">
        <f>VLOOKUP($A25,Sheet4!$A$2:$Q$122,5,FALSE)</f>
        <v>0.12542999999999999</v>
      </c>
      <c r="V25">
        <f>VLOOKUP($A25,Sheet4!$A$2:$Q$122,6,FALSE)</f>
        <v>2.7600000000000002</v>
      </c>
      <c r="W25">
        <f>VLOOKUP($A25,Sheet4!$A$2:$Q$122,7,FALSE)</f>
        <v>2.3736E-3</v>
      </c>
      <c r="X25">
        <f>VLOOKUP($A25,Sheet4!$A$2:$Q$122,8,FALSE)</f>
        <v>4.6920000000000009E-3</v>
      </c>
      <c r="Y25">
        <f>VLOOKUP($A25,Sheet4!$A$2:$Q$122,9,FALSE)</f>
        <v>0.115368</v>
      </c>
      <c r="Z25">
        <f>VLOOKUP($A25,Sheet4!$A$2:$Q$122,10,FALSE)</f>
        <v>8.41</v>
      </c>
      <c r="AA25">
        <f>VLOOKUP($A25,Sheet4!$A$2:$Q$122,11,FALSE)</f>
        <v>6.3075000000000006E-3</v>
      </c>
      <c r="AB25">
        <f>VLOOKUP($A25,Sheet4!$A$2:$Q$122,12,FALSE)</f>
        <v>3.7844999999999997E-2</v>
      </c>
      <c r="AC25">
        <f>VLOOKUP($A25,Sheet4!$A$2:$Q$122,13,FALSE)</f>
        <v>0.123627</v>
      </c>
      <c r="AD25">
        <f>VLOOKUP($A25,Sheet4!$A$2:$Q$122,14,FALSE)</f>
        <v>3.5100000000000002</v>
      </c>
      <c r="AE25">
        <f>VLOOKUP($A25,Sheet4!$A$2:$Q$122,15,FALSE)</f>
        <v>6.6690000000000004E-3</v>
      </c>
      <c r="AF25">
        <f>VLOOKUP($A25,Sheet4!$A$2:$Q$122,16,FALSE)</f>
        <v>1.8252000000000001E-2</v>
      </c>
      <c r="AG25">
        <f>VLOOKUP($A25,Sheet4!$A$2:$Q$122,17,FALSE)</f>
        <v>0.18673200000000001</v>
      </c>
    </row>
    <row r="26" spans="1:33" x14ac:dyDescent="0.3">
      <c r="A26" s="22">
        <v>418</v>
      </c>
      <c r="B26" s="27" t="str">
        <f>VLOOKUP($A26, Sheet5!$A$1:$E$119,2,FALSE)</f>
        <v>IBD</v>
      </c>
      <c r="C26" s="27" t="str">
        <f>VLOOKUP($A26, Sheet5!$A$1:$E$119,3,FALSE)</f>
        <v>otu_2</v>
      </c>
      <c r="D26" s="27" t="str">
        <f>VLOOKUP($A26, Sheet5!$A$1:$E$119,4,FALSE)</f>
        <v>F</v>
      </c>
      <c r="E26" s="27">
        <f>VLOOKUP($A26, Sheet5!$A$1:$E$119,5,FALSE)</f>
        <v>3</v>
      </c>
      <c r="F26" s="67">
        <v>1.7639999999999999E-2</v>
      </c>
      <c r="G26" s="67">
        <v>2.52E-2</v>
      </c>
      <c r="H26" s="67">
        <v>1.8000000000000002E-2</v>
      </c>
      <c r="I26" s="95">
        <v>2.666E-2</v>
      </c>
      <c r="J26" s="95">
        <v>4.2999999999999997E-2</v>
      </c>
      <c r="K26" s="95">
        <v>1.0664E-2</v>
      </c>
      <c r="L26">
        <v>5.2499999999999998E-2</v>
      </c>
      <c r="M26">
        <v>0.252</v>
      </c>
      <c r="N26">
        <v>8.4000000000000005E-2</v>
      </c>
      <c r="O26">
        <v>1.7751000000000003E-2</v>
      </c>
      <c r="P26">
        <v>3.7830000000000003E-2</v>
      </c>
      <c r="Q26">
        <v>6.2016393442622962E-2</v>
      </c>
      <c r="R26">
        <f>VLOOKUP($A26,Sheet4!$A$2:$Q$122,2,FALSE)</f>
        <v>0.48</v>
      </c>
      <c r="S26">
        <f>VLOOKUP($A26,Sheet4!$A$2:$Q$122,3,FALSE)</f>
        <v>4.4111999999999998E-2</v>
      </c>
      <c r="T26">
        <f>VLOOKUP($A26,Sheet4!$A$2:$Q$122,4,FALSE)</f>
        <v>1.3343999999999998E-2</v>
      </c>
      <c r="U26">
        <f>VLOOKUP($A26,Sheet4!$A$2:$Q$122,5,FALSE)</f>
        <v>9.1680000000000011E-2</v>
      </c>
      <c r="V26">
        <f>VLOOKUP($A26,Sheet4!$A$2:$Q$122,6,FALSE)</f>
        <v>0.14699999999999999</v>
      </c>
      <c r="W26">
        <f>VLOOKUP($A26,Sheet4!$A$2:$Q$122,7,FALSE)</f>
        <v>6.0269999999999994E-3</v>
      </c>
      <c r="X26">
        <f>VLOOKUP($A26,Sheet4!$A$2:$Q$122,8,FALSE)</f>
        <v>2.7195000000000001E-3</v>
      </c>
      <c r="Y26">
        <f>VLOOKUP($A26,Sheet4!$A$2:$Q$122,9,FALSE)</f>
        <v>4.2923999999999997E-2</v>
      </c>
      <c r="Z26">
        <f>VLOOKUP($A26,Sheet4!$A$2:$Q$122,10,FALSE)</f>
        <v>0.37</v>
      </c>
      <c r="AA26">
        <f>VLOOKUP($A26,Sheet4!$A$2:$Q$122,11,FALSE)</f>
        <v>2.9489000000000001E-2</v>
      </c>
      <c r="AB26">
        <f>VLOOKUP($A26,Sheet4!$A$2:$Q$122,12,FALSE)</f>
        <v>1.0545000000000001E-2</v>
      </c>
      <c r="AC26">
        <f>VLOOKUP($A26,Sheet4!$A$2:$Q$122,13,FALSE)</f>
        <v>9.1020000000000004E-2</v>
      </c>
      <c r="AD26">
        <f>VLOOKUP($A26,Sheet4!$A$2:$Q$122,14,FALSE)</f>
        <v>0.36399999999999999</v>
      </c>
      <c r="AE26">
        <f>VLOOKUP($A26,Sheet4!$A$2:$Q$122,15,FALSE)</f>
        <v>4.0039999999999992E-2</v>
      </c>
      <c r="AF26">
        <f>VLOOKUP($A26,Sheet4!$A$2:$Q$122,16,FALSE)</f>
        <v>1.5906800000000002E-2</v>
      </c>
      <c r="AG26">
        <f>VLOOKUP($A26,Sheet4!$A$2:$Q$122,17,FALSE)</f>
        <v>0.13322400000000001</v>
      </c>
    </row>
    <row r="27" spans="1:33" x14ac:dyDescent="0.3">
      <c r="A27" s="22">
        <v>423</v>
      </c>
      <c r="B27" s="27" t="str">
        <f>VLOOKUP($A27, Sheet5!$A$1:$E$119,2,FALSE)</f>
        <v>IBD</v>
      </c>
      <c r="C27" s="27" t="str">
        <f>VLOOKUP($A27, Sheet5!$A$1:$E$119,3,FALSE)</f>
        <v>otu_2</v>
      </c>
      <c r="D27" s="27" t="str">
        <f>VLOOKUP($A27, Sheet5!$A$1:$E$119,4,FALSE)</f>
        <v>F</v>
      </c>
      <c r="E27" s="27">
        <f>VLOOKUP($A27, Sheet5!$A$1:$E$119,5,FALSE)</f>
        <v>6</v>
      </c>
      <c r="F27" s="67">
        <v>3.7407000000000003E-2</v>
      </c>
      <c r="G27" s="67">
        <v>0.12132000000000001</v>
      </c>
      <c r="H27" s="67">
        <v>0.10929729729729729</v>
      </c>
      <c r="I27" s="67">
        <v>4.3089000000000002E-2</v>
      </c>
      <c r="J27" s="67">
        <v>0.105961</v>
      </c>
      <c r="K27" s="67">
        <v>1.1020204603580563E-2</v>
      </c>
      <c r="L27">
        <v>0.20047999999999999</v>
      </c>
      <c r="M27">
        <v>0.26312999999999998</v>
      </c>
      <c r="N27">
        <v>2.3493750000000001E-2</v>
      </c>
      <c r="O27">
        <v>6.8154999999999993E-2</v>
      </c>
      <c r="P27">
        <v>0.10535</v>
      </c>
      <c r="Q27">
        <v>3.3233438485804422E-2</v>
      </c>
      <c r="R27">
        <f>VLOOKUP($A27,Sheet4!$A$2:$Q$122,2,FALSE)</f>
        <v>0.33999999999999997</v>
      </c>
      <c r="S27">
        <f>VLOOKUP($A27,Sheet4!$A$2:$Q$122,3,FALSE)</f>
        <v>4.4879999999999996E-2</v>
      </c>
      <c r="T27">
        <f>VLOOKUP($A27,Sheet4!$A$2:$Q$122,4,FALSE)</f>
        <v>2.5023999999999998E-2</v>
      </c>
      <c r="U27">
        <f>VLOOKUP($A27,Sheet4!$A$2:$Q$122,5,FALSE)</f>
        <v>7.5479999999999992E-2</v>
      </c>
      <c r="V27">
        <f>VLOOKUP($A27,Sheet4!$A$2:$Q$122,6,FALSE)</f>
        <v>0.192</v>
      </c>
      <c r="W27">
        <f>VLOOKUP($A27,Sheet4!$A$2:$Q$122,7,FALSE)</f>
        <v>0</v>
      </c>
      <c r="X27">
        <f>VLOOKUP($A27,Sheet4!$A$2:$Q$122,8,FALSE)</f>
        <v>0</v>
      </c>
      <c r="Y27">
        <f>VLOOKUP($A27,Sheet4!$A$2:$Q$122,9,FALSE)</f>
        <v>0</v>
      </c>
      <c r="Z27">
        <f>VLOOKUP($A27,Sheet4!$A$2:$Q$122,10,FALSE)</f>
        <v>0.217</v>
      </c>
      <c r="AA27">
        <f>VLOOKUP($A27,Sheet4!$A$2:$Q$122,11,FALSE)</f>
        <v>0</v>
      </c>
      <c r="AB27">
        <f>VLOOKUP($A27,Sheet4!$A$2:$Q$122,12,FALSE)</f>
        <v>0</v>
      </c>
      <c r="AC27">
        <f>VLOOKUP($A27,Sheet4!$A$2:$Q$122,13,FALSE)</f>
        <v>0</v>
      </c>
      <c r="AD27">
        <f>VLOOKUP($A27,Sheet4!$A$2:$Q$122,14,FALSE)</f>
        <v>0.2</v>
      </c>
      <c r="AE27">
        <f>VLOOKUP($A27,Sheet4!$A$2:$Q$122,15,FALSE)</f>
        <v>0</v>
      </c>
      <c r="AF27">
        <f>VLOOKUP($A27,Sheet4!$A$2:$Q$122,16,FALSE)</f>
        <v>0</v>
      </c>
      <c r="AG27">
        <f>VLOOKUP($A27,Sheet4!$A$2:$Q$122,17,FALSE)</f>
        <v>0</v>
      </c>
    </row>
    <row r="28" spans="1:33" x14ac:dyDescent="0.3">
      <c r="A28" s="22">
        <v>424</v>
      </c>
      <c r="B28" s="27" t="str">
        <f>VLOOKUP($A28, Sheet5!$A$1:$E$119,2,FALSE)</f>
        <v>IBD</v>
      </c>
      <c r="C28" s="27" t="str">
        <f>VLOOKUP($A28, Sheet5!$A$1:$E$119,3,FALSE)</f>
        <v>otu_2</v>
      </c>
      <c r="D28" s="27" t="str">
        <f>VLOOKUP($A28, Sheet5!$A$1:$E$119,4,FALSE)</f>
        <v>M</v>
      </c>
      <c r="E28" s="27">
        <f>VLOOKUP($A28, Sheet5!$A$1:$E$119,5,FALSE)</f>
        <v>4</v>
      </c>
      <c r="F28" s="67">
        <v>0.25414399999999998</v>
      </c>
      <c r="G28" s="67">
        <v>4.2597999999999997E-2</v>
      </c>
      <c r="H28" s="67">
        <v>6.050852272727272E-3</v>
      </c>
      <c r="I28" s="67">
        <v>0.14808800000000003</v>
      </c>
      <c r="J28" s="67">
        <v>0.88596000000000008</v>
      </c>
      <c r="K28" s="67">
        <v>7.1540096618357496E-3</v>
      </c>
      <c r="L28">
        <v>0.294624</v>
      </c>
      <c r="M28">
        <v>3.2053999999999999E-2</v>
      </c>
      <c r="N28">
        <v>3.7099537037037032E-3</v>
      </c>
      <c r="O28">
        <v>0.30564000000000002</v>
      </c>
      <c r="P28">
        <v>2.9520000000000001E-2</v>
      </c>
      <c r="Q28">
        <v>3.4770318021201414E-3</v>
      </c>
      <c r="R28">
        <f>VLOOKUP($A28,Sheet4!$A$2:$Q$122,2,FALSE)</f>
        <v>0</v>
      </c>
      <c r="S28">
        <f>VLOOKUP($A28,Sheet4!$A$2:$Q$122,3,FALSE)</f>
        <v>0</v>
      </c>
      <c r="T28">
        <f>VLOOKUP($A28,Sheet4!$A$2:$Q$122,4,FALSE)</f>
        <v>0</v>
      </c>
      <c r="U28">
        <f>VLOOKUP($A28,Sheet4!$A$2:$Q$122,5,FALSE)</f>
        <v>0</v>
      </c>
      <c r="V28">
        <f>VLOOKUP($A28,Sheet4!$A$2:$Q$122,6,FALSE)</f>
        <v>0</v>
      </c>
      <c r="W28">
        <f>VLOOKUP($A28,Sheet4!$A$2:$Q$122,7,FALSE)</f>
        <v>0</v>
      </c>
      <c r="X28">
        <f>VLOOKUP($A28,Sheet4!$A$2:$Q$122,8,FALSE)</f>
        <v>0</v>
      </c>
      <c r="Y28">
        <f>VLOOKUP($A28,Sheet4!$A$2:$Q$122,9,FALSE)</f>
        <v>0</v>
      </c>
      <c r="Z28">
        <f>VLOOKUP($A28,Sheet4!$A$2:$Q$122,10,FALSE)</f>
        <v>0</v>
      </c>
      <c r="AA28">
        <f>VLOOKUP($A28,Sheet4!$A$2:$Q$122,11,FALSE)</f>
        <v>0</v>
      </c>
      <c r="AB28">
        <f>VLOOKUP($A28,Sheet4!$A$2:$Q$122,12,FALSE)</f>
        <v>0</v>
      </c>
      <c r="AC28">
        <f>VLOOKUP($A28,Sheet4!$A$2:$Q$122,13,FALSE)</f>
        <v>0</v>
      </c>
      <c r="AD28">
        <f>VLOOKUP($A28,Sheet4!$A$2:$Q$122,14,FALSE)</f>
        <v>0</v>
      </c>
      <c r="AE28">
        <f>VLOOKUP($A28,Sheet4!$A$2:$Q$122,15,FALSE)</f>
        <v>0</v>
      </c>
      <c r="AF28">
        <f>VLOOKUP($A28,Sheet4!$A$2:$Q$122,16,FALSE)</f>
        <v>0</v>
      </c>
      <c r="AG28">
        <f>VLOOKUP($A28,Sheet4!$A$2:$Q$122,17,FALSE)</f>
        <v>0</v>
      </c>
    </row>
    <row r="29" spans="1:33" x14ac:dyDescent="0.3">
      <c r="A29" s="22">
        <v>430</v>
      </c>
      <c r="B29" s="27" t="str">
        <f>VLOOKUP($A29, Sheet5!$A$1:$E$119,2,FALSE)</f>
        <v>IBD</v>
      </c>
      <c r="C29" s="27" t="str">
        <f>VLOOKUP($A29, Sheet5!$A$1:$E$119,3,FALSE)</f>
        <v>otu_2</v>
      </c>
      <c r="D29" s="27" t="str">
        <f>VLOOKUP($A29, Sheet5!$A$1:$E$119,4,FALSE)</f>
        <v>F</v>
      </c>
      <c r="E29" s="27" t="str">
        <f>VLOOKUP($A29, Sheet5!$A$1:$E$119,5,FALSE)</f>
        <v>NA</v>
      </c>
      <c r="F29" s="67">
        <v>6.2048000000000006E-2</v>
      </c>
      <c r="G29" s="67">
        <v>0.26536599999999999</v>
      </c>
      <c r="H29" s="67">
        <v>0.23693392857142853</v>
      </c>
      <c r="I29" s="67">
        <v>4.5095000000000003E-2</v>
      </c>
      <c r="J29" s="67">
        <v>9.3299999999999994E-2</v>
      </c>
      <c r="K29" s="67">
        <v>1.5031666666666665E-2</v>
      </c>
      <c r="L29">
        <v>7.0152000000000006E-2</v>
      </c>
      <c r="M29">
        <v>0.29970000000000002</v>
      </c>
      <c r="N29">
        <v>9.4841772151898734E-2</v>
      </c>
      <c r="O29">
        <v>4.8180000000000008E-2</v>
      </c>
      <c r="P29">
        <v>7.7964000000000006E-2</v>
      </c>
      <c r="Q29">
        <v>7.087636363636364E-2</v>
      </c>
      <c r="R29">
        <f>VLOOKUP($A29,Sheet4!$A$2:$Q$122,2,FALSE)</f>
        <v>0.53</v>
      </c>
      <c r="S29">
        <f>VLOOKUP($A29,Sheet4!$A$2:$Q$122,3,FALSE)</f>
        <v>6.837E-2</v>
      </c>
      <c r="T29">
        <f>VLOOKUP($A29,Sheet4!$A$2:$Q$122,4,FALSE)</f>
        <v>4.5368000000000006E-2</v>
      </c>
      <c r="U29">
        <f>VLOOKUP($A29,Sheet4!$A$2:$Q$122,5,FALSE)</f>
        <v>0.18391000000000002</v>
      </c>
      <c r="V29">
        <f>VLOOKUP($A29,Sheet4!$A$2:$Q$122,6,FALSE)</f>
        <v>0.62</v>
      </c>
      <c r="W29">
        <f>VLOOKUP($A29,Sheet4!$A$2:$Q$122,7,FALSE)</f>
        <v>0.15127999999999997</v>
      </c>
      <c r="X29">
        <f>VLOOKUP($A29,Sheet4!$A$2:$Q$122,8,FALSE)</f>
        <v>3.0442E-2</v>
      </c>
      <c r="Y29">
        <f>VLOOKUP($A29,Sheet4!$A$2:$Q$122,9,FALSE)</f>
        <v>0.20274</v>
      </c>
      <c r="Z29">
        <f>VLOOKUP($A29,Sheet4!$A$2:$Q$122,10,FALSE)</f>
        <v>0.39</v>
      </c>
      <c r="AA29">
        <f>VLOOKUP($A29,Sheet4!$A$2:$Q$122,11,FALSE)</f>
        <v>6.5129999999999993E-2</v>
      </c>
      <c r="AB29">
        <f>VLOOKUP($A29,Sheet4!$A$2:$Q$122,12,FALSE)</f>
        <v>2.3283000000000002E-2</v>
      </c>
      <c r="AC29">
        <f>VLOOKUP($A29,Sheet4!$A$2:$Q$122,13,FALSE)</f>
        <v>9.7110000000000002E-2</v>
      </c>
      <c r="AD29">
        <f>VLOOKUP($A29,Sheet4!$A$2:$Q$122,14,FALSE)</f>
        <v>0.51</v>
      </c>
      <c r="AE29">
        <f>VLOOKUP($A29,Sheet4!$A$2:$Q$122,15,FALSE)</f>
        <v>0.11577</v>
      </c>
      <c r="AF29">
        <f>VLOOKUP($A29,Sheet4!$A$2:$Q$122,16,FALSE)</f>
        <v>2.2286999999999998E-2</v>
      </c>
      <c r="AG29">
        <f>VLOOKUP($A29,Sheet4!$A$2:$Q$122,17,FALSE)</f>
        <v>0</v>
      </c>
    </row>
    <row r="30" spans="1:33" x14ac:dyDescent="0.3">
      <c r="A30" s="22">
        <v>431</v>
      </c>
      <c r="B30" s="27" t="str">
        <f>VLOOKUP($A30, Sheet5!$A$1:$E$119,2,FALSE)</f>
        <v>IBD</v>
      </c>
      <c r="C30" s="27" t="str">
        <f>VLOOKUP($A30, Sheet5!$A$1:$E$119,3,FALSE)</f>
        <v>otu_2</v>
      </c>
      <c r="D30" s="27" t="str">
        <f>VLOOKUP($A30, Sheet5!$A$1:$E$119,4,FALSE)</f>
        <v>F</v>
      </c>
      <c r="E30" s="27">
        <f>VLOOKUP($A30, Sheet5!$A$1:$E$119,5,FALSE)</f>
        <v>4</v>
      </c>
      <c r="F30" s="67">
        <v>5.6376000000000002E-2</v>
      </c>
      <c r="G30" s="67">
        <v>6.2856000000000009E-2</v>
      </c>
      <c r="H30" s="67">
        <v>7.2248275862068972E-2</v>
      </c>
      <c r="I30" s="67">
        <v>3.8E-3</v>
      </c>
      <c r="J30" s="67">
        <v>2.8799999999999999E-2</v>
      </c>
      <c r="K30" s="67">
        <v>2.638888888888889E-3</v>
      </c>
      <c r="L30">
        <v>3.0419999999999999E-2</v>
      </c>
      <c r="M30">
        <v>0.14913600000000002</v>
      </c>
      <c r="N30">
        <v>7.6480000000000006E-2</v>
      </c>
      <c r="O30">
        <v>3.4729999999999997E-2</v>
      </c>
      <c r="P30">
        <v>6.7044000000000006E-2</v>
      </c>
      <c r="Q30">
        <v>5.8299130434782624E-2</v>
      </c>
      <c r="R30">
        <f>VLOOKUP($A30,Sheet4!$A$2:$Q$122,2,FALSE)</f>
        <v>0.54</v>
      </c>
      <c r="S30">
        <f>VLOOKUP($A30,Sheet4!$A$2:$Q$122,3,FALSE)</f>
        <v>0</v>
      </c>
      <c r="T30">
        <f>VLOOKUP($A30,Sheet4!$A$2:$Q$122,4,FALSE)</f>
        <v>0</v>
      </c>
      <c r="U30">
        <f>VLOOKUP($A30,Sheet4!$A$2:$Q$122,5,FALSE)</f>
        <v>0</v>
      </c>
      <c r="V30">
        <f>VLOOKUP($A30,Sheet4!$A$2:$Q$122,6,FALSE)</f>
        <v>0.53</v>
      </c>
      <c r="W30">
        <f>VLOOKUP($A30,Sheet4!$A$2:$Q$122,7,FALSE)</f>
        <v>0.12667</v>
      </c>
      <c r="X30">
        <f>VLOOKUP($A30,Sheet4!$A$2:$Q$122,8,FALSE)</f>
        <v>1.6642000000000001E-2</v>
      </c>
      <c r="Y30">
        <f>VLOOKUP($A30,Sheet4!$A$2:$Q$122,9,FALSE)</f>
        <v>0.16377</v>
      </c>
      <c r="Z30">
        <f>VLOOKUP($A30,Sheet4!$A$2:$Q$122,10,FALSE)</f>
        <v>0.44999999999999996</v>
      </c>
      <c r="AA30">
        <f>VLOOKUP($A30,Sheet4!$A$2:$Q$122,11,FALSE)</f>
        <v>0</v>
      </c>
      <c r="AB30">
        <f>VLOOKUP($A30,Sheet4!$A$2:$Q$122,12,FALSE)</f>
        <v>0</v>
      </c>
      <c r="AC30">
        <f>VLOOKUP($A30,Sheet4!$A$2:$Q$122,13,FALSE)</f>
        <v>0</v>
      </c>
      <c r="AD30">
        <f>VLOOKUP($A30,Sheet4!$A$2:$Q$122,14,FALSE)</f>
        <v>0.64</v>
      </c>
      <c r="AE30">
        <f>VLOOKUP($A30,Sheet4!$A$2:$Q$122,15,FALSE)</f>
        <v>0</v>
      </c>
      <c r="AF30">
        <f>VLOOKUP($A30,Sheet4!$A$2:$Q$122,16,FALSE)</f>
        <v>4.2816E-2</v>
      </c>
      <c r="AG30">
        <f>VLOOKUP($A30,Sheet4!$A$2:$Q$122,17,FALSE)</f>
        <v>0</v>
      </c>
    </row>
    <row r="31" spans="1:33" x14ac:dyDescent="0.3">
      <c r="A31" s="7">
        <v>433</v>
      </c>
      <c r="B31" s="27" t="str">
        <f>VLOOKUP($A31, Sheet5!$A$1:$E$119,2,FALSE)</f>
        <v>IBD</v>
      </c>
      <c r="C31" s="27" t="str">
        <f>VLOOKUP($A31, Sheet5!$A$1:$E$119,3,FALSE)</f>
        <v>otu_1</v>
      </c>
      <c r="D31" s="27" t="str">
        <f>VLOOKUP($A31, Sheet5!$A$1:$E$119,4,FALSE)</f>
        <v>F</v>
      </c>
      <c r="E31" s="27">
        <f>VLOOKUP($A31, Sheet5!$A$1:$E$119,5,FALSE)</f>
        <v>3</v>
      </c>
      <c r="F31" s="67">
        <v>0.18747900000000001</v>
      </c>
      <c r="G31" s="67">
        <v>7.659E-3</v>
      </c>
      <c r="H31" s="67">
        <v>1.3603907637655419E-3</v>
      </c>
      <c r="I31" s="45">
        <v>0.23736000000000002</v>
      </c>
      <c r="J31" s="45">
        <v>0.44344</v>
      </c>
      <c r="K31" s="45">
        <v>9.8489626556016591E-3</v>
      </c>
      <c r="L31">
        <v>0.43309999999999993</v>
      </c>
      <c r="M31">
        <v>3.5499999999999997E-2</v>
      </c>
      <c r="N31">
        <v>2.9098360655737702E-3</v>
      </c>
      <c r="O31">
        <v>0.38793999999999995</v>
      </c>
      <c r="P31">
        <v>1.0431999999999999E-2</v>
      </c>
      <c r="Q31">
        <v>8.7663865546218486E-4</v>
      </c>
      <c r="R31">
        <f>VLOOKUP($A31,Sheet4!$A$2:$Q$122,2,FALSE)</f>
        <v>3.55</v>
      </c>
      <c r="S31">
        <f>VLOOKUP($A31,Sheet4!$A$2:$Q$122,3,FALSE)</f>
        <v>0.14377499999999999</v>
      </c>
      <c r="T31">
        <f>VLOOKUP($A31,Sheet4!$A$2:$Q$122,4,FALSE)</f>
        <v>0.31595000000000001</v>
      </c>
      <c r="U31">
        <f>VLOOKUP($A31,Sheet4!$A$2:$Q$122,5,FALSE)</f>
        <v>0.183535</v>
      </c>
      <c r="V31">
        <f>VLOOKUP($A31,Sheet4!$A$2:$Q$122,6,FALSE)</f>
        <v>4.4700000000000006</v>
      </c>
      <c r="W31">
        <f>VLOOKUP($A31,Sheet4!$A$2:$Q$122,7,FALSE)</f>
        <v>2.2350000000000002E-2</v>
      </c>
      <c r="X31">
        <f>VLOOKUP($A31,Sheet4!$A$2:$Q$122,8,FALSE)</f>
        <v>6.5709000000000004E-2</v>
      </c>
      <c r="Y31">
        <f>VLOOKUP($A31,Sheet4!$A$2:$Q$122,9,FALSE)</f>
        <v>0.113985</v>
      </c>
      <c r="Z31">
        <f>VLOOKUP($A31,Sheet4!$A$2:$Q$122,10,FALSE)</f>
        <v>4.26</v>
      </c>
      <c r="AA31">
        <f>VLOOKUP($A31,Sheet4!$A$2:$Q$122,11,FALSE)</f>
        <v>1.6188000000000001E-2</v>
      </c>
      <c r="AB31">
        <f>VLOOKUP($A31,Sheet4!$A$2:$Q$122,12,FALSE)</f>
        <v>8.4347999999999992E-2</v>
      </c>
      <c r="AC31">
        <f>VLOOKUP($A31,Sheet4!$A$2:$Q$122,13,FALSE)</f>
        <v>4.4303999999999996E-2</v>
      </c>
      <c r="AD31">
        <f>VLOOKUP($A31,Sheet4!$A$2:$Q$122,14,FALSE)</f>
        <v>3.1399999999999997</v>
      </c>
      <c r="AE31">
        <f>VLOOKUP($A31,Sheet4!$A$2:$Q$122,15,FALSE)</f>
        <v>1.7583999999999999E-2</v>
      </c>
      <c r="AF31">
        <f>VLOOKUP($A31,Sheet4!$A$2:$Q$122,16,FALSE)</f>
        <v>4.7727999999999993E-2</v>
      </c>
      <c r="AG31">
        <f>VLOOKUP($A31,Sheet4!$A$2:$Q$122,17,FALSE)</f>
        <v>6.0601999999999989E-2</v>
      </c>
    </row>
    <row r="32" spans="1:33" x14ac:dyDescent="0.3">
      <c r="A32" s="7">
        <v>434</v>
      </c>
      <c r="B32" s="27" t="str">
        <f>VLOOKUP($A32, Sheet5!$A$1:$E$119,2,FALSE)</f>
        <v>IBD</v>
      </c>
      <c r="C32" s="27" t="str">
        <f>VLOOKUP($A32, Sheet5!$A$1:$E$119,3,FALSE)</f>
        <v>otu_1</v>
      </c>
      <c r="D32" s="27" t="str">
        <f>VLOOKUP($A32, Sheet5!$A$1:$E$119,4,FALSE)</f>
        <v>F</v>
      </c>
      <c r="E32" s="27">
        <f>VLOOKUP($A32, Sheet5!$A$1:$E$119,5,FALSE)</f>
        <v>2</v>
      </c>
      <c r="F32" s="67">
        <v>0.27904000000000001</v>
      </c>
      <c r="G32" s="67">
        <v>0.12492800000000001</v>
      </c>
      <c r="H32" s="67">
        <v>1.1461284403669725E-2</v>
      </c>
      <c r="I32" s="45">
        <v>3.0294999999999996E-2</v>
      </c>
      <c r="J32" s="45">
        <v>0.74825000000000008</v>
      </c>
      <c r="K32" s="45">
        <v>1.4778048780487805E-3</v>
      </c>
      <c r="L32">
        <v>0.25679999999999997</v>
      </c>
      <c r="M32">
        <v>8.1105999999999998E-2</v>
      </c>
      <c r="N32">
        <v>3.3794166666666669E-3</v>
      </c>
      <c r="O32">
        <v>1.4126400000000001</v>
      </c>
      <c r="P32">
        <v>0.11837400000000001</v>
      </c>
      <c r="Q32">
        <v>5.4802777777777775E-3</v>
      </c>
      <c r="R32">
        <f>VLOOKUP($A32,Sheet4!$A$2:$Q$122,2,FALSE)</f>
        <v>5.17</v>
      </c>
      <c r="S32">
        <f>VLOOKUP($A32,Sheet4!$A$2:$Q$122,3,FALSE)</f>
        <v>1.7578E-2</v>
      </c>
      <c r="T32">
        <f>VLOOKUP($A32,Sheet4!$A$2:$Q$122,4,FALSE)</f>
        <v>4.6530000000000002E-2</v>
      </c>
      <c r="U32">
        <f>VLOOKUP($A32,Sheet4!$A$2:$Q$122,5,FALSE)</f>
        <v>0.12149499999999999</v>
      </c>
      <c r="V32">
        <f>VLOOKUP($A32,Sheet4!$A$2:$Q$122,6,FALSE)</f>
        <v>2.46</v>
      </c>
      <c r="W32">
        <f>VLOOKUP($A32,Sheet4!$A$2:$Q$122,7,FALSE)</f>
        <v>8.4870000000000001E-2</v>
      </c>
      <c r="X32">
        <f>VLOOKUP($A32,Sheet4!$A$2:$Q$122,8,FALSE)</f>
        <v>1.7957999999999998E-2</v>
      </c>
      <c r="Y32">
        <f>VLOOKUP($A32,Sheet4!$A$2:$Q$122,9,FALSE)</f>
        <v>0</v>
      </c>
      <c r="Z32">
        <f>VLOOKUP($A32,Sheet4!$A$2:$Q$122,10,FALSE)</f>
        <v>5.59</v>
      </c>
      <c r="AA32">
        <f>VLOOKUP($A32,Sheet4!$A$2:$Q$122,11,FALSE)</f>
        <v>6.8197999999999995E-2</v>
      </c>
      <c r="AB32">
        <f>VLOOKUP($A32,Sheet4!$A$2:$Q$122,12,FALSE)</f>
        <v>1.7328999999999997E-2</v>
      </c>
      <c r="AC32">
        <f>VLOOKUP($A32,Sheet4!$A$2:$Q$122,13,FALSE)</f>
        <v>0.35161099999999995</v>
      </c>
      <c r="AD32">
        <f>VLOOKUP($A32,Sheet4!$A$2:$Q$122,14,FALSE)</f>
        <v>5.5</v>
      </c>
      <c r="AE32">
        <f>VLOOKUP($A32,Sheet4!$A$2:$Q$122,15,FALSE)</f>
        <v>3.1349999999999996E-2</v>
      </c>
      <c r="AF32">
        <f>VLOOKUP($A32,Sheet4!$A$2:$Q$122,16,FALSE)</f>
        <v>1.485E-2</v>
      </c>
      <c r="AG32">
        <f>VLOOKUP($A32,Sheet4!$A$2:$Q$122,17,FALSE)</f>
        <v>0.33769999999999994</v>
      </c>
    </row>
    <row r="33" spans="1:33" x14ac:dyDescent="0.3">
      <c r="A33" s="7">
        <v>439</v>
      </c>
      <c r="B33" s="27" t="str">
        <f>VLOOKUP($A33, Sheet5!$A$1:$E$119,2,FALSE)</f>
        <v>IBD</v>
      </c>
      <c r="C33" s="27" t="str">
        <f>VLOOKUP($A33, Sheet5!$A$1:$E$119,3,FALSE)</f>
        <v>otu_1</v>
      </c>
      <c r="D33" s="27" t="str">
        <f>VLOOKUP($A33, Sheet5!$A$1:$E$119,4,FALSE)</f>
        <v>F</v>
      </c>
      <c r="E33" s="27">
        <f>VLOOKUP($A33, Sheet5!$A$1:$E$119,5,FALSE)</f>
        <v>2</v>
      </c>
      <c r="F33" s="67">
        <v>1.1733399999999998</v>
      </c>
      <c r="G33" s="67">
        <v>8.1605999999999984E-2</v>
      </c>
      <c r="H33" s="67">
        <v>2.8237370242214527E-3</v>
      </c>
      <c r="I33" s="45">
        <v>0.14377800000000002</v>
      </c>
      <c r="J33" s="45">
        <v>3.3548200000000001</v>
      </c>
      <c r="K33" s="45">
        <v>3.312857142857143E-3</v>
      </c>
      <c r="L33">
        <v>0.85792000000000002</v>
      </c>
      <c r="M33">
        <v>8.7323999999999999E-2</v>
      </c>
      <c r="N33">
        <v>3.8983928571428572E-3</v>
      </c>
      <c r="O33">
        <v>2.4123999999999999</v>
      </c>
      <c r="P33">
        <v>9.7799999999999998E-2</v>
      </c>
      <c r="Q33">
        <v>3.3040540540540536E-3</v>
      </c>
      <c r="R33">
        <f>VLOOKUP($A33,Sheet4!$A$2:$Q$122,2,FALSE)</f>
        <v>0.76</v>
      </c>
      <c r="S33">
        <f>VLOOKUP($A33,Sheet4!$A$2:$Q$122,3,FALSE)</f>
        <v>8.8920000000000006E-3</v>
      </c>
      <c r="T33">
        <f>VLOOKUP($A33,Sheet4!$A$2:$Q$122,4,FALSE)</f>
        <v>4.104E-2</v>
      </c>
      <c r="U33">
        <f>VLOOKUP($A33,Sheet4!$A$2:$Q$122,5,FALSE)</f>
        <v>0</v>
      </c>
      <c r="V33">
        <f>VLOOKUP($A33,Sheet4!$A$2:$Q$122,6,FALSE)</f>
        <v>1.31</v>
      </c>
      <c r="W33">
        <f>VLOOKUP($A33,Sheet4!$A$2:$Q$122,7,FALSE)</f>
        <v>2.9344000000000005E-2</v>
      </c>
      <c r="X33">
        <f>VLOOKUP($A33,Sheet4!$A$2:$Q$122,8,FALSE)</f>
        <v>1.4279000000000002E-2</v>
      </c>
      <c r="Y33">
        <f>VLOOKUP($A33,Sheet4!$A$2:$Q$122,9,FALSE)</f>
        <v>0.19257000000000002</v>
      </c>
      <c r="Z33">
        <f>VLOOKUP($A33,Sheet4!$A$2:$Q$122,10,FALSE)</f>
        <v>6.48</v>
      </c>
      <c r="AA33">
        <f>VLOOKUP($A33,Sheet4!$A$2:$Q$122,11,FALSE)</f>
        <v>0.15292800000000001</v>
      </c>
      <c r="AB33">
        <f>VLOOKUP($A33,Sheet4!$A$2:$Q$122,12,FALSE)</f>
        <v>7.1928000000000006E-2</v>
      </c>
      <c r="AC33">
        <f>VLOOKUP($A33,Sheet4!$A$2:$Q$122,13,FALSE)</f>
        <v>0.53395199999999998</v>
      </c>
      <c r="AD33">
        <f>VLOOKUP($A33,Sheet4!$A$2:$Q$122,14,FALSE)</f>
        <v>2.89</v>
      </c>
      <c r="AE33">
        <f>VLOOKUP($A33,Sheet4!$A$2:$Q$122,15,FALSE)</f>
        <v>4.9708000000000002E-2</v>
      </c>
      <c r="AF33">
        <f>VLOOKUP($A33,Sheet4!$A$2:$Q$122,16,FALSE)</f>
        <v>3.0923000000000003E-2</v>
      </c>
      <c r="AG33">
        <f>VLOOKUP($A33,Sheet4!$A$2:$Q$122,17,FALSE)</f>
        <v>0.224553</v>
      </c>
    </row>
    <row r="34" spans="1:33" x14ac:dyDescent="0.3">
      <c r="A34" s="7">
        <v>445</v>
      </c>
      <c r="B34" s="27" t="str">
        <f>VLOOKUP($A34, Sheet5!$A$1:$E$119,2,FALSE)</f>
        <v>IBD</v>
      </c>
      <c r="C34" s="27" t="str">
        <f>VLOOKUP($A34, Sheet5!$A$1:$E$119,3,FALSE)</f>
        <v>otu_1</v>
      </c>
      <c r="D34" s="27" t="str">
        <f>VLOOKUP($A34, Sheet5!$A$1:$E$119,4,FALSE)</f>
        <v>F</v>
      </c>
      <c r="E34" s="27">
        <f>VLOOKUP($A34, Sheet5!$A$1:$E$119,5,FALSE)</f>
        <v>4</v>
      </c>
      <c r="F34" s="67">
        <v>1.4643300000000001</v>
      </c>
      <c r="G34" s="67">
        <v>0.106533</v>
      </c>
      <c r="H34" s="67">
        <v>2.9028065395095364E-3</v>
      </c>
      <c r="I34" s="45">
        <v>6.1853999999999992E-2</v>
      </c>
      <c r="J34" s="45">
        <v>2.5296699999999999</v>
      </c>
      <c r="K34" s="45">
        <v>1.9389968652037618E-3</v>
      </c>
      <c r="L34">
        <v>1.6329099999999999</v>
      </c>
      <c r="M34">
        <v>0.22906899999999999</v>
      </c>
      <c r="N34">
        <v>8.0943109540636046E-3</v>
      </c>
      <c r="O34">
        <v>0.67055999999999993</v>
      </c>
      <c r="P34">
        <v>8.4744000000000014E-2</v>
      </c>
      <c r="Q34">
        <v>3.3363779527559056E-3</v>
      </c>
      <c r="R34">
        <f>VLOOKUP($A34,Sheet4!$A$2:$Q$122,2,FALSE)</f>
        <v>4.99</v>
      </c>
      <c r="S34">
        <f>VLOOKUP($A34,Sheet4!$A$2:$Q$122,3,FALSE)</f>
        <v>9.980000000000001E-3</v>
      </c>
      <c r="T34">
        <f>VLOOKUP($A34,Sheet4!$A$2:$Q$122,4,FALSE)</f>
        <v>3.2933999999999998E-2</v>
      </c>
      <c r="U34">
        <f>VLOOKUP($A34,Sheet4!$A$2:$Q$122,5,FALSE)</f>
        <v>0.17015900000000003</v>
      </c>
      <c r="V34">
        <f>VLOOKUP($A34,Sheet4!$A$2:$Q$122,6,FALSE)</f>
        <v>3.88</v>
      </c>
      <c r="W34">
        <f>VLOOKUP($A34,Sheet4!$A$2:$Q$122,7,FALSE)</f>
        <v>7.3720000000000001E-3</v>
      </c>
      <c r="X34">
        <f>VLOOKUP($A34,Sheet4!$A$2:$Q$122,8,FALSE)</f>
        <v>7.7600000000000004E-3</v>
      </c>
      <c r="Y34">
        <f>VLOOKUP($A34,Sheet4!$A$2:$Q$122,9,FALSE)</f>
        <v>0.32863599999999998</v>
      </c>
      <c r="Z34">
        <f>VLOOKUP($A34,Sheet4!$A$2:$Q$122,10,FALSE)</f>
        <v>8.81</v>
      </c>
      <c r="AA34">
        <f>VLOOKUP($A34,Sheet4!$A$2:$Q$122,11,FALSE)</f>
        <v>4.7574000000000005E-2</v>
      </c>
      <c r="AB34">
        <f>VLOOKUP($A34,Sheet4!$A$2:$Q$122,12,FALSE)</f>
        <v>2.6430000000000002E-2</v>
      </c>
      <c r="AC34">
        <f>VLOOKUP($A34,Sheet4!$A$2:$Q$122,13,FALSE)</f>
        <v>0.49600300000000003</v>
      </c>
      <c r="AD34">
        <f>VLOOKUP($A34,Sheet4!$A$2:$Q$122,14,FALSE)</f>
        <v>5.0999999999999996</v>
      </c>
      <c r="AE34">
        <f>VLOOKUP($A34,Sheet4!$A$2:$Q$122,15,FALSE)</f>
        <v>9.1799999999999989E-3</v>
      </c>
      <c r="AF34">
        <f>VLOOKUP($A34,Sheet4!$A$2:$Q$122,16,FALSE)</f>
        <v>8.1599999999999989E-3</v>
      </c>
      <c r="AG34">
        <f>VLOOKUP($A34,Sheet4!$A$2:$Q$122,17,FALSE)</f>
        <v>9.5879999999999993E-2</v>
      </c>
    </row>
    <row r="35" spans="1:33" x14ac:dyDescent="0.3">
      <c r="A35" s="7">
        <v>446</v>
      </c>
      <c r="B35" s="27" t="str">
        <f>VLOOKUP($A35, Sheet5!$A$1:$E$119,2,FALSE)</f>
        <v>IBD</v>
      </c>
      <c r="C35" s="27" t="str">
        <f>VLOOKUP($A35, Sheet5!$A$1:$E$119,3,FALSE)</f>
        <v>otu_1</v>
      </c>
      <c r="D35" s="27" t="str">
        <f>VLOOKUP($A35, Sheet5!$A$1:$E$119,4,FALSE)</f>
        <v>F</v>
      </c>
      <c r="E35" s="27">
        <f>VLOOKUP($A35, Sheet5!$A$1:$E$119,5,FALSE)</f>
        <v>1</v>
      </c>
      <c r="F35" s="67">
        <v>0.1807</v>
      </c>
      <c r="G35" s="67">
        <v>4.8230000000000002E-2</v>
      </c>
      <c r="H35" s="67">
        <v>3.469784172661871E-3</v>
      </c>
      <c r="I35" s="45"/>
      <c r="J35" s="45"/>
      <c r="K35" s="45"/>
      <c r="L35">
        <v>1.30938</v>
      </c>
      <c r="M35">
        <v>0.30232499999999995</v>
      </c>
      <c r="N35">
        <v>9.6281847133757956E-3</v>
      </c>
      <c r="O35">
        <v>0.78569999999999995</v>
      </c>
      <c r="P35">
        <v>9.6418000000000004E-2</v>
      </c>
      <c r="Q35">
        <v>2.3806913580246914E-3</v>
      </c>
      <c r="R35">
        <f>VLOOKUP($A35,Sheet4!$A$2:$Q$122,2,FALSE)</f>
        <v>4.92</v>
      </c>
      <c r="S35">
        <f>VLOOKUP($A35,Sheet4!$A$2:$Q$122,3,FALSE)</f>
        <v>6.5928E-2</v>
      </c>
      <c r="T35">
        <f>VLOOKUP($A35,Sheet4!$A$2:$Q$122,4,FALSE)</f>
        <v>0.10824</v>
      </c>
      <c r="U35">
        <f>VLOOKUP($A35,Sheet4!$A$2:$Q$122,5,FALSE)</f>
        <v>0.29126400000000002</v>
      </c>
      <c r="V35">
        <f>VLOOKUP($A35,Sheet4!$A$2:$Q$122,6,FALSE)</f>
        <v>3.63</v>
      </c>
      <c r="W35">
        <f>VLOOKUP($A35,Sheet4!$A$2:$Q$122,7,FALSE)</f>
        <v>7.2236999999999996E-2</v>
      </c>
      <c r="X35">
        <f>VLOOKUP($A35,Sheet4!$A$2:$Q$122,8,FALSE)</f>
        <v>1.8149999999999999E-2</v>
      </c>
      <c r="Y35">
        <f>VLOOKUP($A35,Sheet4!$A$2:$Q$122,9,FALSE)</f>
        <v>0.33178200000000002</v>
      </c>
      <c r="Z35">
        <f>VLOOKUP($A35,Sheet4!$A$2:$Q$122,10,FALSE)</f>
        <v>8.14</v>
      </c>
      <c r="AA35">
        <f>VLOOKUP($A35,Sheet4!$A$2:$Q$122,11,FALSE)</f>
        <v>0.16605600000000004</v>
      </c>
      <c r="AB35">
        <f>VLOOKUP($A35,Sheet4!$A$2:$Q$122,12,FALSE)</f>
        <v>3.5816000000000001E-2</v>
      </c>
      <c r="AC35">
        <f>VLOOKUP($A35,Sheet4!$A$2:$Q$122,13,FALSE)</f>
        <v>0.73097200000000018</v>
      </c>
      <c r="AD35">
        <f>VLOOKUP($A35,Sheet4!$A$2:$Q$122,14,FALSE)</f>
        <v>3.7199999999999998</v>
      </c>
      <c r="AE35">
        <f>VLOOKUP($A35,Sheet4!$A$2:$Q$122,15,FALSE)</f>
        <v>0.10267199999999999</v>
      </c>
      <c r="AF35">
        <f>VLOOKUP($A35,Sheet4!$A$2:$Q$122,16,FALSE)</f>
        <v>2.6039999999999997E-2</v>
      </c>
      <c r="AG35">
        <f>VLOOKUP($A35,Sheet4!$A$2:$Q$122,17,FALSE)</f>
        <v>0.33628799999999992</v>
      </c>
    </row>
    <row r="36" spans="1:33" x14ac:dyDescent="0.3">
      <c r="A36" s="7">
        <v>448</v>
      </c>
      <c r="B36" s="27" t="str">
        <f>VLOOKUP($A36, Sheet5!$A$1:$E$119,2,FALSE)</f>
        <v>IBD</v>
      </c>
      <c r="C36" s="27" t="str">
        <f>VLOOKUP($A36, Sheet5!$A$1:$E$119,3,FALSE)</f>
        <v>otu_1</v>
      </c>
      <c r="D36" s="27" t="str">
        <f>VLOOKUP($A36, Sheet5!$A$1:$E$119,4,FALSE)</f>
        <v>M</v>
      </c>
      <c r="E36" s="27">
        <f>VLOOKUP($A36, Sheet5!$A$1:$E$119,5,FALSE)</f>
        <v>7</v>
      </c>
      <c r="F36" s="67">
        <v>1.0845</v>
      </c>
      <c r="G36" s="67">
        <v>5.4225000000000002E-3</v>
      </c>
      <c r="H36" s="67">
        <v>3.615E-4</v>
      </c>
      <c r="I36" s="45">
        <v>6.9412000000000001E-2</v>
      </c>
      <c r="J36" s="45">
        <v>1.1550800000000001</v>
      </c>
      <c r="K36" s="45">
        <v>1.6104872389791183E-3</v>
      </c>
      <c r="L36">
        <v>1.0055099999999999</v>
      </c>
      <c r="M36">
        <v>4.5011999999999996E-2</v>
      </c>
      <c r="N36">
        <v>1.6249819494584836E-3</v>
      </c>
      <c r="R36">
        <f>VLOOKUP($A36,Sheet4!$A$2:$Q$122,2,FALSE)</f>
        <v>0</v>
      </c>
      <c r="S36">
        <f>VLOOKUP($A36,Sheet4!$A$2:$Q$122,3,FALSE)</f>
        <v>0</v>
      </c>
      <c r="T36">
        <f>VLOOKUP($A36,Sheet4!$A$2:$Q$122,4,FALSE)</f>
        <v>0</v>
      </c>
      <c r="U36">
        <f>VLOOKUP($A36,Sheet4!$A$2:$Q$122,5,FALSE)</f>
        <v>0</v>
      </c>
      <c r="V36">
        <f>VLOOKUP($A36,Sheet4!$A$2:$Q$122,6,FALSE)</f>
        <v>0</v>
      </c>
      <c r="W36">
        <f>VLOOKUP($A36,Sheet4!$A$2:$Q$122,7,FALSE)</f>
        <v>0</v>
      </c>
      <c r="X36">
        <f>VLOOKUP($A36,Sheet4!$A$2:$Q$122,8,FALSE)</f>
        <v>0</v>
      </c>
      <c r="Y36">
        <f>VLOOKUP($A36,Sheet4!$A$2:$Q$122,9,FALSE)</f>
        <v>0</v>
      </c>
      <c r="Z36">
        <f>VLOOKUP($A36,Sheet4!$A$2:$Q$122,10,FALSE)</f>
        <v>0</v>
      </c>
      <c r="AA36">
        <f>VLOOKUP($A36,Sheet4!$A$2:$Q$122,11,FALSE)</f>
        <v>0</v>
      </c>
      <c r="AB36">
        <f>VLOOKUP($A36,Sheet4!$A$2:$Q$122,12,FALSE)</f>
        <v>0</v>
      </c>
      <c r="AC36">
        <f>VLOOKUP($A36,Sheet4!$A$2:$Q$122,13,FALSE)</f>
        <v>0</v>
      </c>
      <c r="AD36">
        <f>VLOOKUP($A36,Sheet4!$A$2:$Q$122,14,FALSE)</f>
        <v>0</v>
      </c>
      <c r="AE36">
        <f>VLOOKUP($A36,Sheet4!$A$2:$Q$122,15,FALSE)</f>
        <v>0</v>
      </c>
      <c r="AF36">
        <f>VLOOKUP($A36,Sheet4!$A$2:$Q$122,16,FALSE)</f>
        <v>0</v>
      </c>
      <c r="AG36">
        <f>VLOOKUP($A36,Sheet4!$A$2:$Q$122,17,FALSE)</f>
        <v>0</v>
      </c>
    </row>
    <row r="37" spans="1:33" x14ac:dyDescent="0.3">
      <c r="A37" s="22">
        <v>449</v>
      </c>
      <c r="B37" s="27" t="str">
        <f>VLOOKUP($A37, Sheet5!$A$1:$E$119,2,FALSE)</f>
        <v>IBD</v>
      </c>
      <c r="C37" s="27" t="str">
        <f>VLOOKUP($A37, Sheet5!$A$1:$E$119,3,FALSE)</f>
        <v>otu_2</v>
      </c>
      <c r="D37" s="27" t="str">
        <f>VLOOKUP($A37, Sheet5!$A$1:$E$119,4,FALSE)</f>
        <v>F</v>
      </c>
      <c r="E37" s="27">
        <f>VLOOKUP($A37, Sheet5!$A$1:$E$119,5,FALSE)</f>
        <v>6</v>
      </c>
      <c r="F37" s="67">
        <v>0.37125000000000002</v>
      </c>
      <c r="G37" s="67">
        <v>0.16250000000000001</v>
      </c>
      <c r="H37" s="67">
        <v>2.7356902356902357E-2</v>
      </c>
      <c r="I37" s="67">
        <v>9.3561999999999992E-2</v>
      </c>
      <c r="J37" s="67">
        <v>0.45633000000000001</v>
      </c>
      <c r="K37" s="67">
        <v>1.176880503144654E-2</v>
      </c>
      <c r="L37">
        <v>0.24254999999999999</v>
      </c>
      <c r="M37">
        <v>9.2894999999999991E-2</v>
      </c>
      <c r="N37">
        <v>6.3193877551020409E-3</v>
      </c>
      <c r="O37">
        <v>0.23373000000000002</v>
      </c>
      <c r="P37">
        <v>8.5064999999999988E-2</v>
      </c>
      <c r="Q37">
        <v>5.7867346938775509E-3</v>
      </c>
      <c r="R37">
        <f>VLOOKUP($A37,Sheet4!$A$2:$Q$122,2,FALSE)</f>
        <v>0</v>
      </c>
      <c r="S37">
        <f>VLOOKUP($A37,Sheet4!$A$2:$Q$122,3,FALSE)</f>
        <v>0</v>
      </c>
      <c r="T37">
        <f>VLOOKUP($A37,Sheet4!$A$2:$Q$122,4,FALSE)</f>
        <v>0</v>
      </c>
      <c r="U37">
        <f>VLOOKUP($A37,Sheet4!$A$2:$Q$122,5,FALSE)</f>
        <v>0</v>
      </c>
      <c r="V37">
        <f>VLOOKUP($A37,Sheet4!$A$2:$Q$122,6,FALSE)</f>
        <v>1.2999999999999998</v>
      </c>
      <c r="W37">
        <f>VLOOKUP($A37,Sheet4!$A$2:$Q$122,7,FALSE)</f>
        <v>0.38479999999999998</v>
      </c>
      <c r="X37">
        <f>VLOOKUP($A37,Sheet4!$A$2:$Q$122,8,FALSE)</f>
        <v>0</v>
      </c>
      <c r="Y37">
        <f>VLOOKUP($A37,Sheet4!$A$2:$Q$122,9,FALSE)</f>
        <v>0.41209999999999991</v>
      </c>
      <c r="Z37">
        <f>VLOOKUP($A37,Sheet4!$A$2:$Q$122,10,FALSE)</f>
        <v>17.54</v>
      </c>
      <c r="AA37">
        <f>VLOOKUP($A37,Sheet4!$A$2:$Q$122,11,FALSE)</f>
        <v>1.5926319999999998</v>
      </c>
      <c r="AB37">
        <f>VLOOKUP($A37,Sheet4!$A$2:$Q$122,12,FALSE)</f>
        <v>0</v>
      </c>
      <c r="AC37">
        <f>VLOOKUP($A37,Sheet4!$A$2:$Q$122,13,FALSE)</f>
        <v>0</v>
      </c>
      <c r="AD37">
        <f>VLOOKUP($A37,Sheet4!$A$2:$Q$122,14,FALSE)</f>
        <v>0.89200000000000002</v>
      </c>
      <c r="AE37">
        <f>VLOOKUP($A37,Sheet4!$A$2:$Q$122,15,FALSE)</f>
        <v>0</v>
      </c>
      <c r="AF37">
        <f>VLOOKUP($A37,Sheet4!$A$2:$Q$122,16,FALSE)</f>
        <v>0</v>
      </c>
      <c r="AG37">
        <f>VLOOKUP($A37,Sheet4!$A$2:$Q$122,17,FALSE)</f>
        <v>0.342528</v>
      </c>
    </row>
    <row r="38" spans="1:33" x14ac:dyDescent="0.3">
      <c r="A38" s="7">
        <v>450</v>
      </c>
      <c r="B38" s="27" t="str">
        <f>VLOOKUP($A38, Sheet5!$A$1:$E$119,2,FALSE)</f>
        <v>IBD</v>
      </c>
      <c r="C38" s="27" t="str">
        <f>VLOOKUP($A38, Sheet5!$A$1:$E$119,3,FALSE)</f>
        <v>otu_1</v>
      </c>
      <c r="D38" s="27" t="str">
        <f>VLOOKUP($A38, Sheet5!$A$1:$E$119,4,FALSE)</f>
        <v>M</v>
      </c>
      <c r="E38" s="27">
        <f>VLOOKUP($A38, Sheet5!$A$1:$E$119,5,FALSE)</f>
        <v>1</v>
      </c>
      <c r="F38" s="67">
        <v>0.66676000000000002</v>
      </c>
      <c r="G38" s="67">
        <v>2.5319999999999995E-2</v>
      </c>
      <c r="H38" s="67">
        <v>1.6025316455696198E-3</v>
      </c>
      <c r="I38" s="45">
        <v>5.1324000000000009E-2</v>
      </c>
      <c r="J38" s="45">
        <v>1.69764</v>
      </c>
      <c r="K38" s="45">
        <v>9.9465116279069763E-4</v>
      </c>
      <c r="L38">
        <v>0.70286000000000004</v>
      </c>
      <c r="M38">
        <v>1.9903999999999998E-2</v>
      </c>
      <c r="N38">
        <v>8.8070796460176987E-4</v>
      </c>
      <c r="O38">
        <v>0.94782999999999984</v>
      </c>
      <c r="P38">
        <v>1.6801E-2</v>
      </c>
      <c r="Q38">
        <v>5.6190635451505017E-4</v>
      </c>
      <c r="R38">
        <f>VLOOKUP($A38,Sheet4!$A$2:$Q$122,2,FALSE)</f>
        <v>3.6999999999999997</v>
      </c>
      <c r="S38">
        <f>VLOOKUP($A38,Sheet4!$A$2:$Q$122,3,FALSE)</f>
        <v>1.5910000000000001E-2</v>
      </c>
      <c r="T38">
        <f>VLOOKUP($A38,Sheet4!$A$2:$Q$122,4,FALSE)</f>
        <v>0.21201</v>
      </c>
      <c r="U38">
        <f>VLOOKUP($A38,Sheet4!$A$2:$Q$122,5,FALSE)</f>
        <v>4.2000000000000003E-2</v>
      </c>
      <c r="V38">
        <f>VLOOKUP($A38,Sheet4!$A$2:$Q$122,6,FALSE)</f>
        <v>3.18</v>
      </c>
      <c r="W38">
        <f>VLOOKUP($A38,Sheet4!$A$2:$Q$122,7,FALSE)</f>
        <v>2.0988000000000003E-2</v>
      </c>
      <c r="X38">
        <f>VLOOKUP($A38,Sheet4!$A$2:$Q$122,8,FALSE)</f>
        <v>1.1129999999999999E-2</v>
      </c>
      <c r="Y38">
        <f>VLOOKUP($A38,Sheet4!$A$2:$Q$122,9,FALSE)</f>
        <v>0.17935199999999998</v>
      </c>
      <c r="Z38">
        <f>VLOOKUP($A38,Sheet4!$A$2:$Q$122,10,FALSE)</f>
        <v>5.13</v>
      </c>
      <c r="AA38">
        <f>VLOOKUP($A38,Sheet4!$A$2:$Q$122,11,FALSE)</f>
        <v>2.4110999999999997E-2</v>
      </c>
      <c r="AB38">
        <f>VLOOKUP($A38,Sheet4!$A$2:$Q$122,12,FALSE)</f>
        <v>3.8988000000000002E-2</v>
      </c>
      <c r="AC38">
        <f>VLOOKUP($A38,Sheet4!$A$2:$Q$122,13,FALSE)</f>
        <v>0.28676699999999999</v>
      </c>
      <c r="AD38">
        <f>VLOOKUP($A38,Sheet4!$A$2:$Q$122,14,FALSE)</f>
        <v>3.77</v>
      </c>
      <c r="AE38">
        <f>VLOOKUP($A38,Sheet4!$A$2:$Q$122,15,FALSE)</f>
        <v>3.1291000000000001E-3</v>
      </c>
      <c r="AF38">
        <f>VLOOKUP($A38,Sheet4!$A$2:$Q$122,16,FALSE)</f>
        <v>3.7699999999999999E-3</v>
      </c>
      <c r="AG38">
        <f>VLOOKUP($A38,Sheet4!$A$2:$Q$122,17,FALSE)</f>
        <v>0.103298</v>
      </c>
    </row>
    <row r="39" spans="1:33" x14ac:dyDescent="0.3">
      <c r="A39" s="22">
        <v>452</v>
      </c>
      <c r="B39" s="27" t="str">
        <f>VLOOKUP($A39, Sheet5!$A$1:$E$119,2,FALSE)</f>
        <v>IBD</v>
      </c>
      <c r="C39" s="27" t="str">
        <f>VLOOKUP($A39, Sheet5!$A$1:$E$119,3,FALSE)</f>
        <v>otu_2</v>
      </c>
      <c r="D39" s="27" t="str">
        <f>VLOOKUP($A39, Sheet5!$A$1:$E$119,4,FALSE)</f>
        <v>M</v>
      </c>
      <c r="E39" s="27">
        <f>VLOOKUP($A39, Sheet5!$A$1:$E$119,5,FALSE)</f>
        <v>4</v>
      </c>
      <c r="F39" s="67">
        <v>2.3079000000000002E-2</v>
      </c>
      <c r="G39" s="67">
        <v>0.39893700000000004</v>
      </c>
      <c r="H39" s="67">
        <v>0.81415714285714302</v>
      </c>
      <c r="I39" s="67">
        <v>0.13839499999999999</v>
      </c>
      <c r="J39" s="67">
        <v>7.0285999999999987E-2</v>
      </c>
      <c r="K39" s="67">
        <v>6.1236725663716823E-2</v>
      </c>
      <c r="L39">
        <v>3.066E-2</v>
      </c>
      <c r="M39">
        <v>0.30659999999999998</v>
      </c>
      <c r="N39">
        <v>0.21899999999999997</v>
      </c>
      <c r="O39">
        <v>3.2225999999999998E-2</v>
      </c>
      <c r="P39">
        <v>0.80564999999999998</v>
      </c>
      <c r="Q39">
        <v>0.98250000000000004</v>
      </c>
      <c r="R39">
        <f>VLOOKUP($A39,Sheet4!$A$2:$Q$122,2,FALSE)</f>
        <v>0.52</v>
      </c>
      <c r="S39">
        <f>VLOOKUP($A39,Sheet4!$A$2:$Q$122,3,FALSE)</f>
        <v>0</v>
      </c>
      <c r="T39">
        <f>VLOOKUP($A39,Sheet4!$A$2:$Q$122,4,FALSE)</f>
        <v>0</v>
      </c>
      <c r="U39">
        <f>VLOOKUP($A39,Sheet4!$A$2:$Q$122,5,FALSE)</f>
        <v>0</v>
      </c>
      <c r="V39">
        <f>VLOOKUP($A39,Sheet4!$A$2:$Q$122,6,FALSE)</f>
        <v>1.9699999999999998</v>
      </c>
      <c r="W39">
        <f>VLOOKUP($A39,Sheet4!$A$2:$Q$122,7,FALSE)</f>
        <v>3.8217999999999995E-2</v>
      </c>
      <c r="X39">
        <f>VLOOKUP($A39,Sheet4!$A$2:$Q$122,8,FALSE)</f>
        <v>2.5609999999999999E-3</v>
      </c>
      <c r="Y39">
        <f>VLOOKUP($A39,Sheet4!$A$2:$Q$122,9,FALSE)</f>
        <v>1.1288099999999999</v>
      </c>
      <c r="Z39">
        <f>VLOOKUP($A39,Sheet4!$A$2:$Q$122,10,FALSE)</f>
        <v>16.600000000000001</v>
      </c>
      <c r="AA39">
        <f>VLOOKUP($A39,Sheet4!$A$2:$Q$122,11,FALSE)</f>
        <v>1.1072200000000001</v>
      </c>
      <c r="AB39">
        <f>VLOOKUP($A39,Sheet4!$A$2:$Q$122,12,FALSE)</f>
        <v>0</v>
      </c>
      <c r="AC39">
        <f>VLOOKUP($A39,Sheet4!$A$2:$Q$122,13,FALSE)</f>
        <v>11.304600000000001</v>
      </c>
      <c r="AD39">
        <f>VLOOKUP($A39,Sheet4!$A$2:$Q$122,14,FALSE)</f>
        <v>0.74</v>
      </c>
      <c r="AE39">
        <f>VLOOKUP($A39,Sheet4!$A$2:$Q$122,15,FALSE)</f>
        <v>0.10656</v>
      </c>
      <c r="AF39">
        <f>VLOOKUP($A39,Sheet4!$A$2:$Q$122,16,FALSE)</f>
        <v>2.294E-3</v>
      </c>
      <c r="AG39">
        <f>VLOOKUP($A39,Sheet4!$A$2:$Q$122,17,FALSE)</f>
        <v>0.52170000000000005</v>
      </c>
    </row>
    <row r="40" spans="1:33" x14ac:dyDescent="0.3">
      <c r="A40" s="22">
        <v>453</v>
      </c>
      <c r="B40" s="27" t="str">
        <f>VLOOKUP($A40, Sheet5!$A$1:$E$119,2,FALSE)</f>
        <v>IBD</v>
      </c>
      <c r="C40" s="27" t="str">
        <f>VLOOKUP($A40, Sheet5!$A$1:$E$119,3,FALSE)</f>
        <v>otu_2</v>
      </c>
      <c r="D40" s="27" t="str">
        <f>VLOOKUP($A40, Sheet5!$A$1:$E$119,4,FALSE)</f>
        <v>F</v>
      </c>
      <c r="E40" s="27">
        <f>VLOOKUP($A40, Sheet5!$A$1:$E$119,5,FALSE)</f>
        <v>4</v>
      </c>
      <c r="F40" s="67">
        <v>0.29625000000000001</v>
      </c>
      <c r="G40" s="67">
        <v>0.37375000000000003</v>
      </c>
      <c r="H40" s="67">
        <v>0.15770042194092829</v>
      </c>
      <c r="I40" s="67">
        <v>0.10932600000000001</v>
      </c>
      <c r="J40" s="67">
        <v>0.32239200000000001</v>
      </c>
      <c r="K40" s="67">
        <v>2.7060891089108915E-2</v>
      </c>
      <c r="L40">
        <v>0.32100000000000001</v>
      </c>
      <c r="M40">
        <v>7.4471999999999997E-2</v>
      </c>
      <c r="N40">
        <v>7.4471999999999993E-3</v>
      </c>
      <c r="O40">
        <v>0.36782000000000004</v>
      </c>
      <c r="P40">
        <v>6.3154000000000002E-2</v>
      </c>
      <c r="Q40">
        <v>5.9579245283018882E-3</v>
      </c>
      <c r="R40">
        <f>VLOOKUP($A40,Sheet4!$A$2:$Q$122,2,FALSE)</f>
        <v>0</v>
      </c>
      <c r="S40">
        <f>VLOOKUP($A40,Sheet4!$A$2:$Q$122,3,FALSE)</f>
        <v>0</v>
      </c>
      <c r="T40">
        <f>VLOOKUP($A40,Sheet4!$A$2:$Q$122,4,FALSE)</f>
        <v>0</v>
      </c>
      <c r="U40">
        <f>VLOOKUP($A40,Sheet4!$A$2:$Q$122,5,FALSE)</f>
        <v>0</v>
      </c>
      <c r="V40">
        <f>VLOOKUP($A40,Sheet4!$A$2:$Q$122,6,FALSE)</f>
        <v>0</v>
      </c>
      <c r="W40">
        <f>VLOOKUP($A40,Sheet4!$A$2:$Q$122,7,FALSE)</f>
        <v>0</v>
      </c>
      <c r="X40">
        <f>VLOOKUP($A40,Sheet4!$A$2:$Q$122,8,FALSE)</f>
        <v>0</v>
      </c>
      <c r="Y40">
        <f>VLOOKUP($A40,Sheet4!$A$2:$Q$122,9,FALSE)</f>
        <v>0</v>
      </c>
      <c r="Z40">
        <f>VLOOKUP($A40,Sheet4!$A$2:$Q$122,10,FALSE)</f>
        <v>0</v>
      </c>
      <c r="AA40">
        <f>VLOOKUP($A40,Sheet4!$A$2:$Q$122,11,FALSE)</f>
        <v>0</v>
      </c>
      <c r="AB40">
        <f>VLOOKUP($A40,Sheet4!$A$2:$Q$122,12,FALSE)</f>
        <v>0</v>
      </c>
      <c r="AC40">
        <f>VLOOKUP($A40,Sheet4!$A$2:$Q$122,13,FALSE)</f>
        <v>0</v>
      </c>
      <c r="AD40">
        <f>VLOOKUP($A40,Sheet4!$A$2:$Q$122,14,FALSE)</f>
        <v>0</v>
      </c>
      <c r="AE40">
        <f>VLOOKUP($A40,Sheet4!$A$2:$Q$122,15,FALSE)</f>
        <v>0</v>
      </c>
      <c r="AF40">
        <f>VLOOKUP($A40,Sheet4!$A$2:$Q$122,16,FALSE)</f>
        <v>0</v>
      </c>
      <c r="AG40">
        <f>VLOOKUP($A40,Sheet4!$A$2:$Q$122,17,FALSE)</f>
        <v>0</v>
      </c>
    </row>
    <row r="41" spans="1:33" x14ac:dyDescent="0.3">
      <c r="A41" s="22">
        <v>458</v>
      </c>
      <c r="B41" s="27" t="str">
        <f>VLOOKUP($A41, Sheet5!$A$1:$E$119,2,FALSE)</f>
        <v>IBD</v>
      </c>
      <c r="C41" s="27" t="str">
        <f>VLOOKUP($A41, Sheet5!$A$1:$E$119,3,FALSE)</f>
        <v>otu_2</v>
      </c>
      <c r="D41" s="27" t="str">
        <f>VLOOKUP($A41, Sheet5!$A$1:$E$119,4,FALSE)</f>
        <v>F</v>
      </c>
      <c r="E41" s="27">
        <f>VLOOKUP($A41, Sheet5!$A$1:$E$119,5,FALSE)</f>
        <v>1</v>
      </c>
      <c r="F41" s="67">
        <v>0.17799599999999999</v>
      </c>
      <c r="G41" s="67">
        <v>7.7261999999999997E-2</v>
      </c>
      <c r="H41" s="67">
        <v>4.2451648351648351E-2</v>
      </c>
      <c r="I41" s="67">
        <v>3.7350000000000001E-2</v>
      </c>
      <c r="J41" s="67">
        <v>0.133215</v>
      </c>
      <c r="K41" s="67">
        <v>6.9813084112149548E-3</v>
      </c>
      <c r="L41">
        <v>3.0910000000000003E-2</v>
      </c>
      <c r="M41">
        <v>2.3869999999999999E-2</v>
      </c>
      <c r="N41">
        <v>8.494661921708186E-3</v>
      </c>
      <c r="O41">
        <v>0.15758999999999998</v>
      </c>
      <c r="P41">
        <v>6.8339999999999984E-2</v>
      </c>
      <c r="Q41">
        <v>7.3721682847896434E-3</v>
      </c>
      <c r="R41">
        <f>VLOOKUP($A41,Sheet4!$A$2:$Q$122,2,FALSE)</f>
        <v>0.65</v>
      </c>
      <c r="S41">
        <f>VLOOKUP($A41,Sheet4!$A$2:$Q$122,3,FALSE)</f>
        <v>8.7750000000000009E-2</v>
      </c>
      <c r="T41">
        <f>VLOOKUP($A41,Sheet4!$A$2:$Q$122,4,FALSE)</f>
        <v>5.8955E-2</v>
      </c>
      <c r="U41">
        <f>VLOOKUP($A41,Sheet4!$A$2:$Q$122,5,FALSE)</f>
        <v>0.22359999999999999</v>
      </c>
      <c r="V41">
        <f>VLOOKUP($A41,Sheet4!$A$2:$Q$122,6,FALSE)</f>
        <v>0.45</v>
      </c>
      <c r="W41">
        <f>VLOOKUP($A41,Sheet4!$A$2:$Q$122,7,FALSE)</f>
        <v>0.12509999999999999</v>
      </c>
      <c r="X41">
        <f>VLOOKUP($A41,Sheet4!$A$2:$Q$122,8,FALSE)</f>
        <v>1.6154999999999999E-2</v>
      </c>
      <c r="Y41">
        <f>VLOOKUP($A41,Sheet4!$A$2:$Q$122,9,FALSE)</f>
        <v>0.13905000000000001</v>
      </c>
      <c r="Z41">
        <f>VLOOKUP($A41,Sheet4!$A$2:$Q$122,10,FALSE)</f>
        <v>0.33199999999999996</v>
      </c>
      <c r="AA41">
        <f>VLOOKUP($A41,Sheet4!$A$2:$Q$122,11,FALSE)</f>
        <v>3.3531999999999992E-2</v>
      </c>
      <c r="AB41">
        <f>VLOOKUP($A41,Sheet4!$A$2:$Q$122,12,FALSE)</f>
        <v>8.2335999999999989E-3</v>
      </c>
      <c r="AC41">
        <f>VLOOKUP($A41,Sheet4!$A$2:$Q$122,13,FALSE)</f>
        <v>0.14043599999999998</v>
      </c>
      <c r="AD41">
        <f>VLOOKUP($A41,Sheet4!$A$2:$Q$122,14,FALSE)</f>
        <v>0.36000000000000004</v>
      </c>
      <c r="AE41">
        <f>VLOOKUP($A41,Sheet4!$A$2:$Q$122,15,FALSE)</f>
        <v>7.5600000000000001E-2</v>
      </c>
      <c r="AF41">
        <f>VLOOKUP($A41,Sheet4!$A$2:$Q$122,16,FALSE)</f>
        <v>1.0800000000000001E-2</v>
      </c>
      <c r="AG41">
        <f>VLOOKUP($A41,Sheet4!$A$2:$Q$122,17,FALSE)</f>
        <v>0.15048</v>
      </c>
    </row>
    <row r="42" spans="1:33" x14ac:dyDescent="0.3">
      <c r="A42" s="22">
        <v>464</v>
      </c>
      <c r="B42" s="27" t="str">
        <f>VLOOKUP($A42, Sheet5!$A$1:$E$119,2,FALSE)</f>
        <v>IBD</v>
      </c>
      <c r="C42" s="27" t="str">
        <f>VLOOKUP($A42, Sheet5!$A$1:$E$119,3,FALSE)</f>
        <v>otu_2</v>
      </c>
      <c r="D42" s="27" t="str">
        <f>VLOOKUP($A42, Sheet5!$A$1:$E$119,4,FALSE)</f>
        <v>M</v>
      </c>
      <c r="E42" s="27">
        <f>VLOOKUP($A42, Sheet5!$A$1:$E$119,5,FALSE)</f>
        <v>0</v>
      </c>
      <c r="F42" s="67">
        <v>6.0679999999999998E-2</v>
      </c>
      <c r="G42" s="67">
        <v>0.47360000000000008</v>
      </c>
      <c r="H42" s="67">
        <v>0.28878048780487808</v>
      </c>
      <c r="I42" s="67">
        <v>7.6607999999999996E-2</v>
      </c>
      <c r="J42" s="67">
        <v>7.4880000000000002E-2</v>
      </c>
      <c r="K42" s="67">
        <v>1.9643076923076926E-2</v>
      </c>
      <c r="L42">
        <v>4.5942000000000011E-2</v>
      </c>
      <c r="M42">
        <v>0.28458</v>
      </c>
      <c r="N42">
        <v>0.11521457489878544</v>
      </c>
      <c r="O42">
        <v>8.9153999999999997E-2</v>
      </c>
      <c r="P42">
        <v>0.81915000000000004</v>
      </c>
      <c r="Q42">
        <v>0.35006410256410264</v>
      </c>
      <c r="R42">
        <f>VLOOKUP($A42,Sheet4!$A$2:$Q$122,2,FALSE)</f>
        <v>0.48</v>
      </c>
      <c r="S42">
        <f>VLOOKUP($A42,Sheet4!$A$2:$Q$122,3,FALSE)</f>
        <v>0</v>
      </c>
      <c r="T42">
        <f>VLOOKUP($A42,Sheet4!$A$2:$Q$122,4,FALSE)</f>
        <v>1.5840000000000001E-3</v>
      </c>
      <c r="U42">
        <f>VLOOKUP($A42,Sheet4!$A$2:$Q$122,5,FALSE)</f>
        <v>0.31247999999999998</v>
      </c>
      <c r="V42">
        <f>VLOOKUP($A42,Sheet4!$A$2:$Q$122,6,FALSE)</f>
        <v>1.67</v>
      </c>
      <c r="W42">
        <f>VLOOKUP($A42,Sheet4!$A$2:$Q$122,7,FALSE)</f>
        <v>7.8490000000000001E-3</v>
      </c>
      <c r="X42">
        <f>VLOOKUP($A42,Sheet4!$A$2:$Q$122,8,FALSE)</f>
        <v>0</v>
      </c>
      <c r="Y42">
        <f>VLOOKUP($A42,Sheet4!$A$2:$Q$122,9,FALSE)</f>
        <v>1.53139</v>
      </c>
      <c r="Z42">
        <f>VLOOKUP($A42,Sheet4!$A$2:$Q$122,10,FALSE)</f>
        <v>12.7</v>
      </c>
      <c r="AA42">
        <f>VLOOKUP($A42,Sheet4!$A$2:$Q$122,11,FALSE)</f>
        <v>0.87629999999999997</v>
      </c>
      <c r="AB42">
        <f>VLOOKUP($A42,Sheet4!$A$2:$Q$122,12,FALSE)</f>
        <v>0</v>
      </c>
      <c r="AC42">
        <f>VLOOKUP($A42,Sheet4!$A$2:$Q$122,13,FALSE)</f>
        <v>10.972799999999999</v>
      </c>
      <c r="AD42">
        <f>VLOOKUP($A42,Sheet4!$A$2:$Q$122,14,FALSE)</f>
        <v>0.79</v>
      </c>
      <c r="AE42">
        <f>VLOOKUP($A42,Sheet4!$A$2:$Q$122,15,FALSE)</f>
        <v>9.6379999999999993E-2</v>
      </c>
      <c r="AF42">
        <f>VLOOKUP($A42,Sheet4!$A$2:$Q$122,16,FALSE)</f>
        <v>2.2120000000000004E-3</v>
      </c>
      <c r="AG42">
        <f>VLOOKUP($A42,Sheet4!$A$2:$Q$122,17,FALSE)</f>
        <v>0.63278999999999996</v>
      </c>
    </row>
    <row r="43" spans="1:33" x14ac:dyDescent="0.3">
      <c r="A43" s="22">
        <v>469</v>
      </c>
      <c r="B43" s="27" t="str">
        <f>VLOOKUP($A43, Sheet5!$A$1:$E$119,2,FALSE)</f>
        <v>IBD</v>
      </c>
      <c r="C43" s="27" t="str">
        <f>VLOOKUP($A43, Sheet5!$A$1:$E$119,3,FALSE)</f>
        <v>otu_2</v>
      </c>
      <c r="D43" s="27" t="str">
        <f>VLOOKUP($A43, Sheet5!$A$1:$E$119,4,FALSE)</f>
        <v>M</v>
      </c>
      <c r="E43" s="27">
        <f>VLOOKUP($A43, Sheet5!$A$1:$E$119,5,FALSE)</f>
        <v>4</v>
      </c>
      <c r="F43" s="67">
        <v>4.9404000000000003E-2</v>
      </c>
      <c r="G43" s="67">
        <v>3.3831E-3</v>
      </c>
      <c r="H43" s="67">
        <v>3.6772826086956516E-3</v>
      </c>
      <c r="I43" s="86"/>
      <c r="J43" s="86"/>
      <c r="K43" s="86"/>
      <c r="L43">
        <v>0.12185600000000002</v>
      </c>
      <c r="M43">
        <v>3.1280000000000001E-3</v>
      </c>
      <c r="N43">
        <v>3.4910714285714287E-4</v>
      </c>
      <c r="O43">
        <v>0.13055999999999998</v>
      </c>
      <c r="P43">
        <v>1.6640000000000001E-3</v>
      </c>
      <c r="Q43">
        <v>1.6313725490196081E-4</v>
      </c>
      <c r="R43">
        <f>VLOOKUP($A43,Sheet4!$A$2:$Q$122,2,FALSE)</f>
        <v>0.91999999999999993</v>
      </c>
      <c r="S43">
        <f>VLOOKUP($A43,Sheet4!$A$2:$Q$122,3,FALSE)</f>
        <v>0.12328</v>
      </c>
      <c r="T43">
        <f>VLOOKUP($A43,Sheet4!$A$2:$Q$122,4,FALSE)</f>
        <v>8.9515999999999984E-2</v>
      </c>
      <c r="U43">
        <f>VLOOKUP($A43,Sheet4!$A$2:$Q$122,5,FALSE)</f>
        <v>0.44619999999999999</v>
      </c>
      <c r="V43">
        <f>VLOOKUP($A43,Sheet4!$A$2:$Q$122,6,FALSE)</f>
        <v>0.48399999999999999</v>
      </c>
      <c r="W43">
        <f>VLOOKUP($A43,Sheet4!$A$2:$Q$122,7,FALSE)</f>
        <v>0.10212400000000001</v>
      </c>
      <c r="X43">
        <f>VLOOKUP($A43,Sheet4!$A$2:$Q$122,8,FALSE)</f>
        <v>6.5339999999999999E-3</v>
      </c>
      <c r="Y43">
        <f>VLOOKUP($A43,Sheet4!$A$2:$Q$122,9,FALSE)</f>
        <v>0.29330400000000001</v>
      </c>
      <c r="Z43">
        <f>VLOOKUP($A43,Sheet4!$A$2:$Q$122,10,FALSE)</f>
        <v>0</v>
      </c>
      <c r="AA43">
        <f>VLOOKUP($A43,Sheet4!$A$2:$Q$122,11,FALSE)</f>
        <v>0</v>
      </c>
      <c r="AB43">
        <f>VLOOKUP($A43,Sheet4!$A$2:$Q$122,12,FALSE)</f>
        <v>0</v>
      </c>
      <c r="AC43">
        <f>VLOOKUP($A43,Sheet4!$A$2:$Q$122,13,FALSE)</f>
        <v>0</v>
      </c>
      <c r="AD43">
        <f>VLOOKUP($A43,Sheet4!$A$2:$Q$122,14,FALSE)</f>
        <v>1.79</v>
      </c>
      <c r="AE43">
        <f>VLOOKUP($A43,Sheet4!$A$2:$Q$122,15,FALSE)</f>
        <v>2.5776E-2</v>
      </c>
      <c r="AF43">
        <f>VLOOKUP($A43,Sheet4!$A$2:$Q$122,16,FALSE)</f>
        <v>2.6850000000000003E-3</v>
      </c>
      <c r="AG43">
        <f>VLOOKUP($A43,Sheet4!$A$2:$Q$122,17,FALSE)</f>
        <v>1.2834300000000001</v>
      </c>
    </row>
    <row r="44" spans="1:33" x14ac:dyDescent="0.3">
      <c r="A44" s="22">
        <v>470</v>
      </c>
      <c r="B44" s="27" t="str">
        <f>VLOOKUP($A44, Sheet5!$A$1:$E$119,2,FALSE)</f>
        <v>IBD</v>
      </c>
      <c r="C44" s="27" t="str">
        <f>VLOOKUP($A44, Sheet5!$A$1:$E$119,3,FALSE)</f>
        <v>otu_2</v>
      </c>
      <c r="D44" s="27" t="str">
        <f>VLOOKUP($A44, Sheet5!$A$1:$E$119,4,FALSE)</f>
        <v>F</v>
      </c>
      <c r="E44" s="27">
        <f>VLOOKUP($A44, Sheet5!$A$1:$E$119,5,FALSE)</f>
        <v>3</v>
      </c>
      <c r="F44" s="67">
        <v>3.9738000000000002E-2</v>
      </c>
      <c r="G44" s="67">
        <v>0.17184000000000002</v>
      </c>
      <c r="H44" s="67">
        <v>0.23221621621621621</v>
      </c>
      <c r="I44" s="67"/>
      <c r="J44" s="67"/>
      <c r="K44" s="67"/>
      <c r="R44">
        <f>VLOOKUP($A44,Sheet4!$A$2:$Q$122,2,FALSE)</f>
        <v>0</v>
      </c>
      <c r="S44">
        <f>VLOOKUP($A44,Sheet4!$A$2:$Q$122,3,FALSE)</f>
        <v>0</v>
      </c>
      <c r="T44">
        <f>VLOOKUP($A44,Sheet4!$A$2:$Q$122,4,FALSE)</f>
        <v>0</v>
      </c>
      <c r="U44">
        <f>VLOOKUP($A44,Sheet4!$A$2:$Q$122,5,FALSE)</f>
        <v>0</v>
      </c>
      <c r="V44">
        <f>VLOOKUP($A44,Sheet4!$A$2:$Q$122,6,FALSE)</f>
        <v>0</v>
      </c>
      <c r="W44">
        <f>VLOOKUP($A44,Sheet4!$A$2:$Q$122,7,FALSE)</f>
        <v>0</v>
      </c>
      <c r="X44">
        <f>VLOOKUP($A44,Sheet4!$A$2:$Q$122,8,FALSE)</f>
        <v>0</v>
      </c>
      <c r="Y44">
        <f>VLOOKUP($A44,Sheet4!$A$2:$Q$122,9,FALSE)</f>
        <v>0</v>
      </c>
      <c r="Z44">
        <f>VLOOKUP($A44,Sheet4!$A$2:$Q$122,10,FALSE)</f>
        <v>0</v>
      </c>
      <c r="AA44">
        <f>VLOOKUP($A44,Sheet4!$A$2:$Q$122,11,FALSE)</f>
        <v>0</v>
      </c>
      <c r="AB44">
        <f>VLOOKUP($A44,Sheet4!$A$2:$Q$122,12,FALSE)</f>
        <v>0</v>
      </c>
      <c r="AC44">
        <f>VLOOKUP($A44,Sheet4!$A$2:$Q$122,13,FALSE)</f>
        <v>0</v>
      </c>
      <c r="AD44">
        <f>VLOOKUP($A44,Sheet4!$A$2:$Q$122,14,FALSE)</f>
        <v>0</v>
      </c>
      <c r="AE44">
        <f>VLOOKUP($A44,Sheet4!$A$2:$Q$122,15,FALSE)</f>
        <v>0</v>
      </c>
      <c r="AF44">
        <f>VLOOKUP($A44,Sheet4!$A$2:$Q$122,16,FALSE)</f>
        <v>0</v>
      </c>
      <c r="AG44">
        <f>VLOOKUP($A44,Sheet4!$A$2:$Q$122,17,FALSE)</f>
        <v>0</v>
      </c>
    </row>
    <row r="45" spans="1:33" x14ac:dyDescent="0.3">
      <c r="A45" s="22">
        <v>473</v>
      </c>
      <c r="B45" s="27" t="str">
        <f>VLOOKUP($A45, Sheet5!$A$1:$E$119,2,FALSE)</f>
        <v>IBD</v>
      </c>
      <c r="C45" s="27" t="str">
        <f>VLOOKUP($A45, Sheet5!$A$1:$E$119,3,FALSE)</f>
        <v>otu_2</v>
      </c>
      <c r="D45" s="27" t="str">
        <f>VLOOKUP($A45, Sheet5!$A$1:$E$119,4,FALSE)</f>
        <v>M</v>
      </c>
      <c r="E45" s="27">
        <f>VLOOKUP($A45, Sheet5!$A$1:$E$119,5,FALSE)</f>
        <v>5</v>
      </c>
      <c r="F45" s="67">
        <v>0.48436200000000001</v>
      </c>
      <c r="G45" s="67">
        <v>5.0786000000000005E-2</v>
      </c>
      <c r="H45" s="67">
        <v>7.9477308294209712E-3</v>
      </c>
      <c r="I45" s="86"/>
      <c r="J45" s="86"/>
      <c r="K45" s="86"/>
      <c r="R45">
        <f>VLOOKUP($A45,Sheet4!$A$2:$Q$122,2,FALSE)</f>
        <v>1.74</v>
      </c>
      <c r="S45">
        <f>VLOOKUP($A45,Sheet4!$A$2:$Q$122,3,FALSE)</f>
        <v>0.17573999999999998</v>
      </c>
      <c r="T45">
        <f>VLOOKUP($A45,Sheet4!$A$2:$Q$122,4,FALSE)</f>
        <v>5.0460000000000005E-2</v>
      </c>
      <c r="U45">
        <f>VLOOKUP($A45,Sheet4!$A$2:$Q$122,5,FALSE)</f>
        <v>0.96048</v>
      </c>
      <c r="V45">
        <f>VLOOKUP($A45,Sheet4!$A$2:$Q$122,6,FALSE)</f>
        <v>1.1200000000000001</v>
      </c>
      <c r="W45">
        <f>VLOOKUP($A45,Sheet4!$A$2:$Q$122,7,FALSE)</f>
        <v>6.5967999999999999E-2</v>
      </c>
      <c r="X45">
        <f>VLOOKUP($A45,Sheet4!$A$2:$Q$122,8,FALSE)</f>
        <v>8.8480000000000017E-3</v>
      </c>
      <c r="Y45">
        <f>VLOOKUP($A45,Sheet4!$A$2:$Q$122,9,FALSE)</f>
        <v>0.89040000000000008</v>
      </c>
      <c r="Z45">
        <f>VLOOKUP($A45,Sheet4!$A$2:$Q$122,10,FALSE)</f>
        <v>14.2</v>
      </c>
      <c r="AA45">
        <f>VLOOKUP($A45,Sheet4!$A$2:$Q$122,11,FALSE)</f>
        <v>0</v>
      </c>
      <c r="AB45">
        <f>VLOOKUP($A45,Sheet4!$A$2:$Q$122,12,FALSE)</f>
        <v>0</v>
      </c>
      <c r="AC45">
        <f>VLOOKUP($A45,Sheet4!$A$2:$Q$122,13,FALSE)</f>
        <v>0</v>
      </c>
      <c r="AD45">
        <f>VLOOKUP($A45,Sheet4!$A$2:$Q$122,14,FALSE)</f>
        <v>1.8499999999999999</v>
      </c>
      <c r="AE45">
        <f>VLOOKUP($A45,Sheet4!$A$2:$Q$122,15,FALSE)</f>
        <v>0.17538000000000001</v>
      </c>
      <c r="AF45">
        <f>VLOOKUP($A45,Sheet4!$A$2:$Q$122,16,FALSE)</f>
        <v>6.4749999999999999E-3</v>
      </c>
      <c r="AG45">
        <f>VLOOKUP($A45,Sheet4!$A$2:$Q$122,17,FALSE)</f>
        <v>1.3949</v>
      </c>
    </row>
    <row r="46" spans="1:33" x14ac:dyDescent="0.3">
      <c r="A46" s="7">
        <v>476</v>
      </c>
      <c r="B46" s="27" t="str">
        <f>VLOOKUP($A46, Sheet5!$A$1:$E$119,2,FALSE)</f>
        <v>IBD</v>
      </c>
      <c r="C46" s="27" t="str">
        <f>VLOOKUP($A46, Sheet5!$A$1:$E$119,3,FALSE)</f>
        <v>otu_1</v>
      </c>
      <c r="D46" s="27" t="str">
        <f>VLOOKUP($A46, Sheet5!$A$1:$E$119,4,FALSE)</f>
        <v>M</v>
      </c>
      <c r="E46" s="27">
        <f>VLOOKUP($A46, Sheet5!$A$1:$E$119,5,FALSE)</f>
        <v>3</v>
      </c>
      <c r="F46" s="67">
        <v>1.0287200000000001</v>
      </c>
      <c r="G46" s="67">
        <v>5.8520000000000004E-3</v>
      </c>
      <c r="H46" s="67">
        <v>1.7520958083832336E-4</v>
      </c>
      <c r="I46" s="45">
        <v>8.1879999999999994E-2</v>
      </c>
      <c r="J46" s="45">
        <v>2.0699999999999998</v>
      </c>
      <c r="K46" s="45">
        <v>1.8195555555555556E-3</v>
      </c>
      <c r="L46">
        <v>1.1425800000000002</v>
      </c>
      <c r="M46">
        <v>2.9592E-2</v>
      </c>
      <c r="N46">
        <v>1.0644604316546763E-3</v>
      </c>
      <c r="O46">
        <v>1.23136</v>
      </c>
      <c r="P46">
        <v>4.0960000000000003E-2</v>
      </c>
      <c r="Q46">
        <v>8.5155925155925172E-4</v>
      </c>
      <c r="R46">
        <f>VLOOKUP($A46,Sheet4!$A$2:$Q$122,2,FALSE)</f>
        <v>0</v>
      </c>
      <c r="S46">
        <f>VLOOKUP($A46,Sheet4!$A$2:$Q$122,3,FALSE)</f>
        <v>0</v>
      </c>
      <c r="T46">
        <f>VLOOKUP($A46,Sheet4!$A$2:$Q$122,4,FALSE)</f>
        <v>0</v>
      </c>
      <c r="U46">
        <f>VLOOKUP($A46,Sheet4!$A$2:$Q$122,5,FALSE)</f>
        <v>0</v>
      </c>
      <c r="V46">
        <f>VLOOKUP($A46,Sheet4!$A$2:$Q$122,6,FALSE)</f>
        <v>0</v>
      </c>
      <c r="W46">
        <f>VLOOKUP($A46,Sheet4!$A$2:$Q$122,7,FALSE)</f>
        <v>0</v>
      </c>
      <c r="X46">
        <f>VLOOKUP($A46,Sheet4!$A$2:$Q$122,8,FALSE)</f>
        <v>0</v>
      </c>
      <c r="Y46">
        <f>VLOOKUP($A46,Sheet4!$A$2:$Q$122,9,FALSE)</f>
        <v>0</v>
      </c>
      <c r="Z46">
        <f>VLOOKUP($A46,Sheet4!$A$2:$Q$122,10,FALSE)</f>
        <v>0</v>
      </c>
      <c r="AA46">
        <f>VLOOKUP($A46,Sheet4!$A$2:$Q$122,11,FALSE)</f>
        <v>0</v>
      </c>
      <c r="AB46">
        <f>VLOOKUP($A46,Sheet4!$A$2:$Q$122,12,FALSE)</f>
        <v>0</v>
      </c>
      <c r="AC46">
        <f>VLOOKUP($A46,Sheet4!$A$2:$Q$122,13,FALSE)</f>
        <v>0</v>
      </c>
      <c r="AD46">
        <f>VLOOKUP($A46,Sheet4!$A$2:$Q$122,14,FALSE)</f>
        <v>0</v>
      </c>
      <c r="AE46">
        <f>VLOOKUP($A46,Sheet4!$A$2:$Q$122,15,FALSE)</f>
        <v>0</v>
      </c>
      <c r="AF46">
        <f>VLOOKUP($A46,Sheet4!$A$2:$Q$122,16,FALSE)</f>
        <v>0</v>
      </c>
      <c r="AG46">
        <f>VLOOKUP($A46,Sheet4!$A$2:$Q$122,17,FALSE)</f>
        <v>0</v>
      </c>
    </row>
    <row r="47" spans="1:33" x14ac:dyDescent="0.3">
      <c r="A47" s="7">
        <v>481</v>
      </c>
      <c r="B47" s="27" t="str">
        <f>VLOOKUP($A47, Sheet5!$A$1:$E$119,2,FALSE)</f>
        <v>IBD</v>
      </c>
      <c r="C47" s="27" t="str">
        <f>VLOOKUP($A47, Sheet5!$A$1:$E$119,3,FALSE)</f>
        <v>otu_1</v>
      </c>
      <c r="D47" s="27" t="str">
        <f>VLOOKUP($A47, Sheet5!$A$1:$E$119,4,FALSE)</f>
        <v>M</v>
      </c>
      <c r="E47" s="27">
        <f>VLOOKUP($A47, Sheet5!$A$1:$E$119,5,FALSE)</f>
        <v>4</v>
      </c>
      <c r="F47" s="67">
        <v>0.48359999999999997</v>
      </c>
      <c r="G47" s="67">
        <v>8.9900000000000008E-2</v>
      </c>
      <c r="H47" s="67">
        <v>5.7628205128205136E-3</v>
      </c>
      <c r="I47" s="45">
        <v>3.9824999999999999E-2</v>
      </c>
      <c r="J47" s="45">
        <v>0.49028999999999995</v>
      </c>
      <c r="K47" s="45">
        <v>1.4377256317689533E-3</v>
      </c>
      <c r="L47">
        <v>0.42210000000000009</v>
      </c>
      <c r="M47">
        <v>2.2890000000000001E-2</v>
      </c>
      <c r="N47">
        <v>1.1388059701492538E-3</v>
      </c>
      <c r="R47">
        <f>VLOOKUP($A47,Sheet4!$A$2:$Q$122,2,FALSE)</f>
        <v>0.73000000000000009</v>
      </c>
      <c r="S47">
        <f>VLOOKUP($A47,Sheet4!$A$2:$Q$122,3,FALSE)</f>
        <v>0</v>
      </c>
      <c r="T47">
        <f>VLOOKUP($A47,Sheet4!$A$2:$Q$122,4,FALSE)</f>
        <v>0</v>
      </c>
      <c r="U47">
        <f>VLOOKUP($A47,Sheet4!$A$2:$Q$122,5,FALSE)</f>
        <v>0</v>
      </c>
      <c r="V47">
        <f>VLOOKUP($A47,Sheet4!$A$2:$Q$122,6,FALSE)</f>
        <v>0.51</v>
      </c>
      <c r="W47">
        <f>VLOOKUP($A47,Sheet4!$A$2:$Q$122,7,FALSE)</f>
        <v>0</v>
      </c>
      <c r="X47">
        <f>VLOOKUP($A47,Sheet4!$A$2:$Q$122,8,FALSE)</f>
        <v>0</v>
      </c>
      <c r="Y47">
        <f>VLOOKUP($A47,Sheet4!$A$2:$Q$122,9,FALSE)</f>
        <v>0</v>
      </c>
      <c r="Z47">
        <f>VLOOKUP($A47,Sheet4!$A$2:$Q$122,10,FALSE)</f>
        <v>0</v>
      </c>
      <c r="AA47">
        <f>VLOOKUP($A47,Sheet4!$A$2:$Q$122,11,FALSE)</f>
        <v>0</v>
      </c>
      <c r="AB47">
        <f>VLOOKUP($A47,Sheet4!$A$2:$Q$122,12,FALSE)</f>
        <v>0</v>
      </c>
      <c r="AC47">
        <f>VLOOKUP($A47,Sheet4!$A$2:$Q$122,13,FALSE)</f>
        <v>0</v>
      </c>
      <c r="AD47">
        <f>VLOOKUP($A47,Sheet4!$A$2:$Q$122,14,FALSE)</f>
        <v>0.20900000000000002</v>
      </c>
      <c r="AE47">
        <f>VLOOKUP($A47,Sheet4!$A$2:$Q$122,15,FALSE)</f>
        <v>0</v>
      </c>
      <c r="AF47">
        <f>VLOOKUP($A47,Sheet4!$A$2:$Q$122,16,FALSE)</f>
        <v>0</v>
      </c>
      <c r="AG47">
        <f>VLOOKUP($A47,Sheet4!$A$2:$Q$122,17,FALSE)</f>
        <v>0</v>
      </c>
    </row>
    <row r="48" spans="1:33" x14ac:dyDescent="0.3">
      <c r="A48" s="7">
        <v>483</v>
      </c>
      <c r="B48" s="27" t="str">
        <f>VLOOKUP($A48, Sheet5!$A$1:$E$119,2,FALSE)</f>
        <v>IBD</v>
      </c>
      <c r="C48" s="27" t="str">
        <f>VLOOKUP($A48, Sheet5!$A$1:$E$119,3,FALSE)</f>
        <v>otu_1</v>
      </c>
      <c r="D48" s="27" t="str">
        <f>VLOOKUP($A48, Sheet5!$A$1:$E$119,4,FALSE)</f>
        <v>M</v>
      </c>
      <c r="E48" s="27">
        <f>VLOOKUP($A48, Sheet5!$A$1:$E$119,5,FALSE)</f>
        <v>5</v>
      </c>
      <c r="F48" s="67">
        <v>0.50864000000000009</v>
      </c>
      <c r="G48" s="67">
        <v>1.0472000000000001E-3</v>
      </c>
      <c r="H48" s="67">
        <v>7.7000000000000015E-5</v>
      </c>
      <c r="I48" s="45">
        <v>2.4107999999999997E-2</v>
      </c>
      <c r="J48" s="45">
        <v>1.09368</v>
      </c>
      <c r="K48" s="45">
        <v>6.4806451612903215E-4</v>
      </c>
      <c r="L48">
        <v>1.6032499999999998</v>
      </c>
      <c r="M48">
        <v>2.6234999999999998E-2</v>
      </c>
      <c r="N48">
        <v>9.540000000000001E-4</v>
      </c>
      <c r="O48">
        <v>1.2192999999999998</v>
      </c>
      <c r="P48">
        <v>1.1125000000000001E-2</v>
      </c>
      <c r="Q48">
        <v>4.0602189781021903E-4</v>
      </c>
      <c r="R48">
        <f>VLOOKUP($A48,Sheet4!$A$2:$Q$122,2,FALSE)</f>
        <v>2.61</v>
      </c>
      <c r="S48">
        <f>VLOOKUP($A48,Sheet4!$A$2:$Q$122,3,FALSE)</f>
        <v>9.134999999999999E-3</v>
      </c>
      <c r="T48">
        <f>VLOOKUP($A48,Sheet4!$A$2:$Q$122,4,FALSE)</f>
        <v>6.9426000000000002E-2</v>
      </c>
      <c r="U48">
        <f>VLOOKUP($A48,Sheet4!$A$2:$Q$122,5,FALSE)</f>
        <v>9.0045E-2</v>
      </c>
      <c r="V48">
        <f>VLOOKUP($A48,Sheet4!$A$2:$Q$122,6,FALSE)</f>
        <v>0.25</v>
      </c>
      <c r="W48">
        <f>VLOOKUP($A48,Sheet4!$A$2:$Q$122,7,FALSE)</f>
        <v>0</v>
      </c>
      <c r="X48">
        <f>VLOOKUP($A48,Sheet4!$A$2:$Q$122,8,FALSE)</f>
        <v>0</v>
      </c>
      <c r="Y48">
        <f>VLOOKUP($A48,Sheet4!$A$2:$Q$122,9,FALSE)</f>
        <v>0</v>
      </c>
      <c r="Z48">
        <f>VLOOKUP($A48,Sheet4!$A$2:$Q$122,10,FALSE)</f>
        <v>0</v>
      </c>
      <c r="AA48">
        <f>VLOOKUP($A48,Sheet4!$A$2:$Q$122,11,FALSE)</f>
        <v>0</v>
      </c>
      <c r="AB48">
        <f>VLOOKUP($A48,Sheet4!$A$2:$Q$122,12,FALSE)</f>
        <v>0</v>
      </c>
      <c r="AC48">
        <f>VLOOKUP($A48,Sheet4!$A$2:$Q$122,13,FALSE)</f>
        <v>0</v>
      </c>
      <c r="AD48">
        <f>VLOOKUP($A48,Sheet4!$A$2:$Q$122,14,FALSE)</f>
        <v>0</v>
      </c>
      <c r="AE48">
        <f>VLOOKUP($A48,Sheet4!$A$2:$Q$122,15,FALSE)</f>
        <v>0</v>
      </c>
      <c r="AF48">
        <f>VLOOKUP($A48,Sheet4!$A$2:$Q$122,16,FALSE)</f>
        <v>0</v>
      </c>
      <c r="AG48">
        <f>VLOOKUP($A48,Sheet4!$A$2:$Q$122,17,FALSE)</f>
        <v>0</v>
      </c>
    </row>
    <row r="49" spans="1:33" x14ac:dyDescent="0.3">
      <c r="A49" s="22">
        <v>485</v>
      </c>
      <c r="B49" s="27" t="str">
        <f>VLOOKUP($A49, Sheet5!$A$1:$E$119,2,FALSE)</f>
        <v>IBD</v>
      </c>
      <c r="C49" s="27" t="str">
        <f>VLOOKUP($A49, Sheet5!$A$1:$E$119,3,FALSE)</f>
        <v>otu_2</v>
      </c>
      <c r="D49" s="27" t="str">
        <f>VLOOKUP($A49, Sheet5!$A$1:$E$119,4,FALSE)</f>
        <v>M</v>
      </c>
      <c r="E49" s="27">
        <f>VLOOKUP($A49, Sheet5!$A$1:$E$119,5,FALSE)</f>
        <v>3</v>
      </c>
      <c r="F49" s="67">
        <v>0.12831299999999998</v>
      </c>
      <c r="G49" s="67">
        <v>0.67256999999999989</v>
      </c>
      <c r="H49" s="67">
        <v>0.25002602230483267</v>
      </c>
      <c r="I49" s="67">
        <v>8.0909999999999996E-2</v>
      </c>
      <c r="J49" s="67">
        <v>0.2883</v>
      </c>
      <c r="K49" s="67">
        <v>4.3499999999999997E-3</v>
      </c>
      <c r="L49">
        <v>0.30418899999999999</v>
      </c>
      <c r="M49">
        <v>0.78115999999999997</v>
      </c>
      <c r="N49">
        <v>8.5001088139281838E-2</v>
      </c>
      <c r="O49">
        <v>0.26964000000000005</v>
      </c>
      <c r="P49">
        <v>1.2180000000000002</v>
      </c>
      <c r="Q49">
        <v>0.1897196261682243</v>
      </c>
      <c r="R49">
        <f>VLOOKUP($A49,Sheet4!$A$2:$Q$122,2,FALSE)</f>
        <v>5.77</v>
      </c>
      <c r="S49">
        <f>VLOOKUP($A49,Sheet4!$A$2:$Q$122,3,FALSE)</f>
        <v>0.12636299999999998</v>
      </c>
      <c r="T49">
        <f>VLOOKUP($A49,Sheet4!$A$2:$Q$122,4,FALSE)</f>
        <v>8.6549999999999995E-3</v>
      </c>
      <c r="U49">
        <f>VLOOKUP($A49,Sheet4!$A$2:$Q$122,5,FALSE)</f>
        <v>4.2928800000000003</v>
      </c>
      <c r="V49">
        <f>VLOOKUP($A49,Sheet4!$A$2:$Q$122,6,FALSE)</f>
        <v>19.060000000000002</v>
      </c>
      <c r="W49">
        <f>VLOOKUP($A49,Sheet4!$A$2:$Q$122,7,FALSE)</f>
        <v>3.4307999999999998E-2</v>
      </c>
      <c r="X49">
        <f>VLOOKUP($A49,Sheet4!$A$2:$Q$122,8,FALSE)</f>
        <v>0</v>
      </c>
      <c r="Y49">
        <f>VLOOKUP($A49,Sheet4!$A$2:$Q$122,9,FALSE)</f>
        <v>16.258180000000003</v>
      </c>
      <c r="Z49">
        <f>VLOOKUP($A49,Sheet4!$A$2:$Q$122,10,FALSE)</f>
        <v>11</v>
      </c>
      <c r="AA49">
        <f>VLOOKUP($A49,Sheet4!$A$2:$Q$122,11,FALSE)</f>
        <v>0.11990000000000001</v>
      </c>
      <c r="AB49">
        <f>VLOOKUP($A49,Sheet4!$A$2:$Q$122,12,FALSE)</f>
        <v>7.2600000000000012E-2</v>
      </c>
      <c r="AC49">
        <f>VLOOKUP($A49,Sheet4!$A$2:$Q$122,13,FALSE)</f>
        <v>7.6559999999999988</v>
      </c>
      <c r="AD49">
        <f>VLOOKUP($A49,Sheet4!$A$2:$Q$122,14,FALSE)</f>
        <v>2.76</v>
      </c>
      <c r="AE49">
        <f>VLOOKUP($A49,Sheet4!$A$2:$Q$122,15,FALSE)</f>
        <v>7.5899999999999995E-2</v>
      </c>
      <c r="AF49">
        <f>VLOOKUP($A49,Sheet4!$A$2:$Q$122,16,FALSE)</f>
        <v>0</v>
      </c>
      <c r="AG49">
        <f>VLOOKUP($A49,Sheet4!$A$2:$Q$122,17,FALSE)</f>
        <v>1.9871999999999996</v>
      </c>
    </row>
    <row r="50" spans="1:33" x14ac:dyDescent="0.3">
      <c r="A50" s="22">
        <v>486</v>
      </c>
      <c r="B50" s="27" t="str">
        <f>VLOOKUP($A50, Sheet5!$A$1:$E$119,2,FALSE)</f>
        <v>IBD</v>
      </c>
      <c r="C50" s="27" t="str">
        <f>VLOOKUP($A50, Sheet5!$A$1:$E$119,3,FALSE)</f>
        <v>otu_2</v>
      </c>
      <c r="D50" s="27" t="str">
        <f>VLOOKUP($A50, Sheet5!$A$1:$E$119,4,FALSE)</f>
        <v>F</v>
      </c>
      <c r="E50" s="27">
        <f>VLOOKUP($A50, Sheet5!$A$1:$E$119,5,FALSE)</f>
        <v>4</v>
      </c>
      <c r="F50" s="67">
        <v>0.13943800000000001</v>
      </c>
      <c r="G50" s="67">
        <v>7.9925999999999997E-2</v>
      </c>
      <c r="H50" s="67">
        <v>1.9832754342431761E-2</v>
      </c>
      <c r="I50" s="67">
        <v>4.4159999999999998E-3</v>
      </c>
      <c r="J50" s="67">
        <v>3.5120999999999999E-2</v>
      </c>
      <c r="K50" s="67">
        <v>8.6758349705304521E-4</v>
      </c>
      <c r="L50">
        <v>0.133488</v>
      </c>
      <c r="M50">
        <v>0.18835200000000005</v>
      </c>
      <c r="N50">
        <v>6.0955339805825251E-2</v>
      </c>
      <c r="O50">
        <v>9.5558999999999991E-2</v>
      </c>
      <c r="P50">
        <v>3.8159999999999999E-2</v>
      </c>
      <c r="Q50">
        <v>6.3494176372712145E-3</v>
      </c>
      <c r="R50">
        <f>VLOOKUP($A50,Sheet4!$A$2:$Q$122,2,FALSE)</f>
        <v>0.4</v>
      </c>
      <c r="S50">
        <f>VLOOKUP($A50,Sheet4!$A$2:$Q$122,3,FALSE)</f>
        <v>4.7200000000000006E-2</v>
      </c>
      <c r="T50">
        <f>VLOOKUP($A50,Sheet4!$A$2:$Q$122,4,FALSE)</f>
        <v>3.508E-2</v>
      </c>
      <c r="U50">
        <f>VLOOKUP($A50,Sheet4!$A$2:$Q$122,5,FALSE)</f>
        <v>0.13919999999999999</v>
      </c>
      <c r="V50">
        <f>VLOOKUP($A50,Sheet4!$A$2:$Q$122,6,FALSE)</f>
        <v>1.86</v>
      </c>
      <c r="W50">
        <f>VLOOKUP($A50,Sheet4!$A$2:$Q$122,7,FALSE)</f>
        <v>0.46872000000000003</v>
      </c>
      <c r="X50">
        <f>VLOOKUP($A50,Sheet4!$A$2:$Q$122,8,FALSE)</f>
        <v>3.7758E-2</v>
      </c>
      <c r="Y50">
        <f>VLOOKUP($A50,Sheet4!$A$2:$Q$122,9,FALSE)</f>
        <v>0.90024000000000004</v>
      </c>
      <c r="Z50">
        <f>VLOOKUP($A50,Sheet4!$A$2:$Q$122,10,FALSE)</f>
        <v>0.44</v>
      </c>
      <c r="AA50">
        <f>VLOOKUP($A50,Sheet4!$A$2:$Q$122,11,FALSE)</f>
        <v>4.2152000000000002E-2</v>
      </c>
      <c r="AB50">
        <f>VLOOKUP($A50,Sheet4!$A$2:$Q$122,12,FALSE)</f>
        <v>2.1604000000000002E-2</v>
      </c>
      <c r="AC50">
        <f>VLOOKUP($A50,Sheet4!$A$2:$Q$122,13,FALSE)</f>
        <v>0.14431999999999998</v>
      </c>
      <c r="AD50">
        <f>VLOOKUP($A50,Sheet4!$A$2:$Q$122,14,FALSE)</f>
        <v>1.1340000000000001</v>
      </c>
      <c r="AE50">
        <f>VLOOKUP($A50,Sheet4!$A$2:$Q$122,15,FALSE)</f>
        <v>0.19278000000000003</v>
      </c>
      <c r="AF50">
        <f>VLOOKUP($A50,Sheet4!$A$2:$Q$122,16,FALSE)</f>
        <v>3.6628200000000007E-2</v>
      </c>
      <c r="AG50">
        <f>VLOOKUP($A50,Sheet4!$A$2:$Q$122,17,FALSE)</f>
        <v>0.73710000000000009</v>
      </c>
    </row>
    <row r="51" spans="1:33" x14ac:dyDescent="0.3">
      <c r="A51" s="22">
        <v>490</v>
      </c>
      <c r="B51" s="27" t="str">
        <f>VLOOKUP($A51, Sheet5!$A$1:$E$119,2,FALSE)</f>
        <v>IBD</v>
      </c>
      <c r="C51" s="27" t="str">
        <f>VLOOKUP($A51, Sheet5!$A$1:$E$119,3,FALSE)</f>
        <v>otu_2</v>
      </c>
      <c r="D51" s="27" t="str">
        <f>VLOOKUP($A51, Sheet5!$A$1:$E$119,4,FALSE)</f>
        <v>M</v>
      </c>
      <c r="E51" s="27">
        <f>VLOOKUP($A51, Sheet5!$A$1:$E$119,5,FALSE)</f>
        <v>6</v>
      </c>
      <c r="F51" s="86"/>
      <c r="G51" s="86"/>
      <c r="H51" s="86"/>
      <c r="I51" s="67">
        <v>7.7376E-2</v>
      </c>
      <c r="J51" s="67">
        <v>0.11928799999999999</v>
      </c>
      <c r="K51" s="67">
        <v>1.6086486486486487E-2</v>
      </c>
      <c r="L51">
        <v>4.7579999999999997E-2</v>
      </c>
      <c r="M51">
        <v>0.42509999999999998</v>
      </c>
      <c r="N51">
        <v>0.17422131147540984</v>
      </c>
      <c r="R51">
        <f>VLOOKUP($A51,Sheet4!$A$2:$Q$122,2,FALSE)</f>
        <v>3.92</v>
      </c>
      <c r="S51">
        <f>VLOOKUP($A51,Sheet4!$A$2:$Q$122,3,FALSE)</f>
        <v>0.33516000000000007</v>
      </c>
      <c r="T51">
        <f>VLOOKUP($A51,Sheet4!$A$2:$Q$122,4,FALSE)</f>
        <v>1.4504E-2</v>
      </c>
      <c r="U51">
        <f>VLOOKUP($A51,Sheet4!$A$2:$Q$122,5,FALSE)</f>
        <v>2.9478399999999998</v>
      </c>
      <c r="V51">
        <f>VLOOKUP($A51,Sheet4!$A$2:$Q$122,6,FALSE)</f>
        <v>1.6199999999999999</v>
      </c>
      <c r="W51">
        <f>VLOOKUP($A51,Sheet4!$A$2:$Q$122,7,FALSE)</f>
        <v>0</v>
      </c>
      <c r="X51">
        <f>VLOOKUP($A51,Sheet4!$A$2:$Q$122,8,FALSE)</f>
        <v>0</v>
      </c>
      <c r="Y51">
        <f>VLOOKUP($A51,Sheet4!$A$2:$Q$122,9,FALSE)</f>
        <v>0</v>
      </c>
      <c r="Z51">
        <f>VLOOKUP($A51,Sheet4!$A$2:$Q$122,10,FALSE)</f>
        <v>4.51</v>
      </c>
      <c r="AA51">
        <f>VLOOKUP($A51,Sheet4!$A$2:$Q$122,11,FALSE)</f>
        <v>0</v>
      </c>
      <c r="AB51">
        <f>VLOOKUP($A51,Sheet4!$A$2:$Q$122,12,FALSE)</f>
        <v>0</v>
      </c>
      <c r="AC51">
        <f>VLOOKUP($A51,Sheet4!$A$2:$Q$122,13,FALSE)</f>
        <v>0</v>
      </c>
      <c r="AD51">
        <f>VLOOKUP($A51,Sheet4!$A$2:$Q$122,14,FALSE)</f>
        <v>4</v>
      </c>
      <c r="AE51">
        <f>VLOOKUP($A51,Sheet4!$A$2:$Q$122,15,FALSE)</f>
        <v>9.0399999999999994E-2</v>
      </c>
      <c r="AF51">
        <f>VLOOKUP($A51,Sheet4!$A$2:$Q$122,16,FALSE)</f>
        <v>0</v>
      </c>
      <c r="AG51">
        <f>VLOOKUP($A51,Sheet4!$A$2:$Q$122,17,FALSE)</f>
        <v>2.964</v>
      </c>
    </row>
    <row r="52" spans="1:33" x14ac:dyDescent="0.3">
      <c r="A52" s="33">
        <v>491</v>
      </c>
      <c r="B52" s="27" t="str">
        <f>VLOOKUP($A52, Sheet5!$A$1:$E$119,2,FALSE)</f>
        <v>Healthy</v>
      </c>
      <c r="C52" s="27" t="str">
        <f>VLOOKUP($A52, Sheet5!$A$1:$E$119,3,FALSE)</f>
        <v>otu_2</v>
      </c>
      <c r="D52" s="27" t="str">
        <f>VLOOKUP($A52, Sheet5!$A$1:$E$119,4,FALSE)</f>
        <v>F</v>
      </c>
      <c r="E52" s="27">
        <f>VLOOKUP($A52, Sheet5!$A$1:$E$119,5,FALSE)</f>
        <v>0</v>
      </c>
      <c r="F52" s="67">
        <v>0.26792699999999997</v>
      </c>
      <c r="G52" s="67">
        <v>1.1233200000000001</v>
      </c>
      <c r="H52" s="67">
        <v>0.31822096317280457</v>
      </c>
      <c r="I52" s="67">
        <v>0.40157999999999994</v>
      </c>
      <c r="J52" s="67">
        <v>2.3667999999999996</v>
      </c>
      <c r="K52" s="67">
        <v>1.6458196721311474E-2</v>
      </c>
      <c r="L52" s="95">
        <v>1.3969100000000001</v>
      </c>
      <c r="M52" s="95">
        <v>0.83386100000000019</v>
      </c>
      <c r="N52" s="95">
        <v>5.1157116564417182E-2</v>
      </c>
      <c r="O52">
        <v>1.7556</v>
      </c>
      <c r="P52">
        <v>1.7251999999999998</v>
      </c>
      <c r="Q52">
        <v>0.9826839826839826</v>
      </c>
      <c r="R52">
        <f>VLOOKUP($A52,Sheet4!$A$2:$Q$122,2,FALSE)</f>
        <v>7.76</v>
      </c>
      <c r="S52">
        <f>VLOOKUP($A52,Sheet4!$A$2:$Q$122,3,FALSE)</f>
        <v>0.110968</v>
      </c>
      <c r="T52">
        <f>VLOOKUP($A52,Sheet4!$A$2:$Q$122,4,FALSE)</f>
        <v>7.8376000000000001E-2</v>
      </c>
      <c r="U52">
        <f>VLOOKUP($A52,Sheet4!$A$2:$Q$122,5,FALSE)</f>
        <v>2.1495199999999999</v>
      </c>
      <c r="V52">
        <f>VLOOKUP($A52,Sheet4!$A$2:$Q$122,6,FALSE)</f>
        <v>12.2</v>
      </c>
      <c r="W52">
        <f>VLOOKUP($A52,Sheet4!$A$2:$Q$122,7,FALSE)</f>
        <v>0.16957999999999998</v>
      </c>
      <c r="X52">
        <f>VLOOKUP($A52,Sheet4!$A$2:$Q$122,8,FALSE)</f>
        <v>7.5639999999999985E-2</v>
      </c>
      <c r="Y52">
        <f>VLOOKUP($A52,Sheet4!$A$2:$Q$122,9,FALSE)</f>
        <v>3.5136000000000003</v>
      </c>
      <c r="Z52">
        <f>VLOOKUP($A52,Sheet4!$A$2:$Q$122,10,FALSE)</f>
        <v>12.219999999999999</v>
      </c>
      <c r="AA52">
        <f>VLOOKUP($A52,Sheet4!$A$2:$Q$122,11,FALSE)</f>
        <v>0.23951199999999997</v>
      </c>
      <c r="AB52">
        <f>VLOOKUP($A52,Sheet4!$A$2:$Q$122,12,FALSE)</f>
        <v>9.8981999999999987E-2</v>
      </c>
      <c r="AC52">
        <f>VLOOKUP($A52,Sheet4!$A$2:$Q$122,13,FALSE)</f>
        <v>2.8228199999999997</v>
      </c>
      <c r="AD52">
        <f>VLOOKUP($A52,Sheet4!$A$2:$Q$122,14,FALSE)</f>
        <v>11.08</v>
      </c>
      <c r="AE52">
        <f>VLOOKUP($A52,Sheet4!$A$2:$Q$122,15,FALSE)</f>
        <v>0.13739200000000001</v>
      </c>
      <c r="AF52">
        <f>VLOOKUP($A52,Sheet4!$A$2:$Q$122,16,FALSE)</f>
        <v>6.6479999999999997E-2</v>
      </c>
      <c r="AG52">
        <f>VLOOKUP($A52,Sheet4!$A$2:$Q$122,17,FALSE)</f>
        <v>3.5566800000000001</v>
      </c>
    </row>
    <row r="53" spans="1:33" x14ac:dyDescent="0.3">
      <c r="A53" s="22">
        <v>492</v>
      </c>
      <c r="B53" s="27" t="str">
        <f>VLOOKUP($A53, Sheet5!$A$1:$E$119,2,FALSE)</f>
        <v>IBD</v>
      </c>
      <c r="C53" s="27" t="str">
        <f>VLOOKUP($A53, Sheet5!$A$1:$E$119,3,FALSE)</f>
        <v>otu_2</v>
      </c>
      <c r="D53" s="27" t="str">
        <f>VLOOKUP($A53, Sheet5!$A$1:$E$119,4,FALSE)</f>
        <v>F</v>
      </c>
      <c r="E53" s="27">
        <f>VLOOKUP($A53, Sheet5!$A$1:$E$119,5,FALSE)</f>
        <v>5</v>
      </c>
      <c r="F53" s="67">
        <v>4.7208E-2</v>
      </c>
      <c r="G53" s="67">
        <v>4.3343999999999994E-2</v>
      </c>
      <c r="H53" s="67">
        <v>1.542491103202847E-2</v>
      </c>
      <c r="I53" s="60"/>
      <c r="J53" s="60"/>
      <c r="K53" s="60"/>
      <c r="L53">
        <v>0.111426</v>
      </c>
      <c r="M53">
        <v>0.229295</v>
      </c>
      <c r="N53">
        <v>7.7991496598639465E-2</v>
      </c>
      <c r="O53">
        <v>8.2500000000000004E-2</v>
      </c>
      <c r="P53">
        <v>4.7299999999999995E-2</v>
      </c>
      <c r="Q53">
        <v>1.5766666666666665E-2</v>
      </c>
      <c r="R53">
        <f>VLOOKUP($A53,Sheet4!$A$2:$Q$122,2,FALSE)</f>
        <v>0.4</v>
      </c>
      <c r="S53">
        <f>VLOOKUP($A53,Sheet4!$A$2:$Q$122,3,FALSE)</f>
        <v>2.0240000000000001E-2</v>
      </c>
      <c r="T53">
        <f>VLOOKUP($A53,Sheet4!$A$2:$Q$122,4,FALSE)</f>
        <v>1.3920000000000002E-2</v>
      </c>
      <c r="U53">
        <f>VLOOKUP($A53,Sheet4!$A$2:$Q$122,5,FALSE)</f>
        <v>9.3200000000000005E-2</v>
      </c>
      <c r="V53">
        <f>VLOOKUP($A53,Sheet4!$A$2:$Q$122,6,FALSE)</f>
        <v>0.27900000000000003</v>
      </c>
      <c r="W53">
        <f>VLOOKUP($A53,Sheet4!$A$2:$Q$122,7,FALSE)</f>
        <v>0</v>
      </c>
      <c r="X53">
        <f>VLOOKUP($A53,Sheet4!$A$2:$Q$122,8,FALSE)</f>
        <v>0</v>
      </c>
      <c r="Y53">
        <f>VLOOKUP($A53,Sheet4!$A$2:$Q$122,9,FALSE)</f>
        <v>0</v>
      </c>
      <c r="Z53">
        <f>VLOOKUP($A53,Sheet4!$A$2:$Q$122,10,FALSE)</f>
        <v>0.62</v>
      </c>
      <c r="AA53">
        <f>VLOOKUP($A53,Sheet4!$A$2:$Q$122,11,FALSE)</f>
        <v>0</v>
      </c>
      <c r="AB53">
        <f>VLOOKUP($A53,Sheet4!$A$2:$Q$122,12,FALSE)</f>
        <v>0</v>
      </c>
      <c r="AC53">
        <f>VLOOKUP($A53,Sheet4!$A$2:$Q$122,13,FALSE)</f>
        <v>0</v>
      </c>
      <c r="AD53">
        <f>VLOOKUP($A53,Sheet4!$A$2:$Q$122,14,FALSE)</f>
        <v>0.24</v>
      </c>
      <c r="AE53">
        <f>VLOOKUP($A53,Sheet4!$A$2:$Q$122,15,FALSE)</f>
        <v>0</v>
      </c>
      <c r="AF53">
        <f>VLOOKUP($A53,Sheet4!$A$2:$Q$122,16,FALSE)</f>
        <v>0</v>
      </c>
      <c r="AG53">
        <f>VLOOKUP($A53,Sheet4!$A$2:$Q$122,17,FALSE)</f>
        <v>0</v>
      </c>
    </row>
    <row r="54" spans="1:33" x14ac:dyDescent="0.3">
      <c r="A54" s="22">
        <v>493</v>
      </c>
      <c r="B54" s="27" t="str">
        <f>VLOOKUP($A54, Sheet5!$A$1:$E$119,2,FALSE)</f>
        <v>IBD</v>
      </c>
      <c r="C54" s="27" t="str">
        <f>VLOOKUP($A54, Sheet5!$A$1:$E$119,3,FALSE)</f>
        <v>otu_2</v>
      </c>
      <c r="D54" s="27" t="str">
        <f>VLOOKUP($A54, Sheet5!$A$1:$E$119,4,FALSE)</f>
        <v>M</v>
      </c>
      <c r="E54" s="27">
        <f>VLOOKUP($A54, Sheet5!$A$1:$E$119,5,FALSE)</f>
        <v>5</v>
      </c>
      <c r="F54" s="67">
        <v>2.3051999999999996E-2</v>
      </c>
      <c r="G54" s="67">
        <v>0.33990399999999993</v>
      </c>
      <c r="H54" s="67">
        <v>0.66647843137254892</v>
      </c>
      <c r="I54" s="67">
        <v>1.0010000000000002E-2</v>
      </c>
      <c r="J54" s="67">
        <v>1.8920000000000003E-2</v>
      </c>
      <c r="K54" s="67">
        <v>5.8197674418604657E-3</v>
      </c>
      <c r="L54">
        <v>1.8720000000000001E-2</v>
      </c>
      <c r="M54">
        <v>0.21762000000000001</v>
      </c>
      <c r="N54">
        <v>0.13601249999999998</v>
      </c>
      <c r="O54">
        <v>5.4351999999999998E-2</v>
      </c>
      <c r="P54">
        <v>0.36119999999999997</v>
      </c>
      <c r="Q54">
        <v>0.11430379746835444</v>
      </c>
      <c r="R54">
        <f>VLOOKUP($A54,Sheet4!$A$2:$Q$122,2,FALSE)</f>
        <v>3.2300000000000004</v>
      </c>
      <c r="S54">
        <f>VLOOKUP($A54,Sheet4!$A$2:$Q$122,3,FALSE)</f>
        <v>0.35853000000000002</v>
      </c>
      <c r="T54">
        <f>VLOOKUP($A54,Sheet4!$A$2:$Q$122,4,FALSE)</f>
        <v>1.1628000000000001E-2</v>
      </c>
      <c r="U54">
        <f>VLOOKUP($A54,Sheet4!$A$2:$Q$122,5,FALSE)</f>
        <v>2.6259900000000003</v>
      </c>
      <c r="V54">
        <f>VLOOKUP($A54,Sheet4!$A$2:$Q$122,6,FALSE)</f>
        <v>1</v>
      </c>
      <c r="W54">
        <f>VLOOKUP($A54,Sheet4!$A$2:$Q$122,7,FALSE)</f>
        <v>0</v>
      </c>
      <c r="X54">
        <f>VLOOKUP($A54,Sheet4!$A$2:$Q$122,8,FALSE)</f>
        <v>0</v>
      </c>
      <c r="Y54">
        <f>VLOOKUP($A54,Sheet4!$A$2:$Q$122,9,FALSE)</f>
        <v>0</v>
      </c>
      <c r="Z54">
        <f>VLOOKUP($A54,Sheet4!$A$2:$Q$122,10,FALSE)</f>
        <v>13.6</v>
      </c>
      <c r="AA54">
        <f>VLOOKUP($A54,Sheet4!$A$2:$Q$122,11,FALSE)</f>
        <v>0.67320000000000002</v>
      </c>
      <c r="AB54">
        <f>VLOOKUP($A54,Sheet4!$A$2:$Q$122,12,FALSE)</f>
        <v>1.3464E-2</v>
      </c>
      <c r="AC54">
        <f>VLOOKUP($A54,Sheet4!$A$2:$Q$122,13,FALSE)</f>
        <v>11.519200000000001</v>
      </c>
      <c r="AD54">
        <f>VLOOKUP($A54,Sheet4!$A$2:$Q$122,14,FALSE)</f>
        <v>0.92999999999999994</v>
      </c>
      <c r="AE54">
        <f>VLOOKUP($A54,Sheet4!$A$2:$Q$122,15,FALSE)</f>
        <v>3.3387E-2</v>
      </c>
      <c r="AF54">
        <f>VLOOKUP($A54,Sheet4!$A$2:$Q$122,16,FALSE)</f>
        <v>2.0459999999999996E-3</v>
      </c>
      <c r="AG54">
        <f>VLOOKUP($A54,Sheet4!$A$2:$Q$122,17,FALSE)</f>
        <v>0.80444999999999989</v>
      </c>
    </row>
    <row r="55" spans="1:33" x14ac:dyDescent="0.3">
      <c r="A55" s="22">
        <v>495</v>
      </c>
      <c r="B55" s="27" t="str">
        <f>VLOOKUP($A55, Sheet5!$A$1:$E$119,2,FALSE)</f>
        <v>IBD</v>
      </c>
      <c r="C55" s="27" t="str">
        <f>VLOOKUP($A55, Sheet5!$A$1:$E$119,3,FALSE)</f>
        <v>otu_2</v>
      </c>
      <c r="D55" s="27" t="str">
        <f>VLOOKUP($A55, Sheet5!$A$1:$E$119,4,FALSE)</f>
        <v>M</v>
      </c>
      <c r="E55" s="27">
        <f>VLOOKUP($A55, Sheet5!$A$1:$E$119,5,FALSE)</f>
        <v>3</v>
      </c>
      <c r="F55" s="86"/>
      <c r="G55" s="86"/>
      <c r="H55" s="86"/>
      <c r="I55" s="67">
        <v>0.10733399999999998</v>
      </c>
      <c r="J55" s="67">
        <v>8.5172999999999985E-2</v>
      </c>
      <c r="K55" s="67">
        <v>3.3647021943573663E-2</v>
      </c>
      <c r="L55">
        <v>3.6445000000000005E-2</v>
      </c>
      <c r="M55">
        <v>0.26201000000000002</v>
      </c>
      <c r="N55">
        <v>0.14162702702702704</v>
      </c>
      <c r="O55">
        <v>3.7232000000000001E-2</v>
      </c>
      <c r="P55">
        <v>0.41600000000000004</v>
      </c>
      <c r="Q55">
        <v>0.23240223463687151</v>
      </c>
      <c r="R55">
        <f>VLOOKUP($A55,Sheet4!$A$2:$Q$122,2,FALSE)</f>
        <v>8.2199999999999989</v>
      </c>
      <c r="S55">
        <f>VLOOKUP($A55,Sheet4!$A$2:$Q$122,3,FALSE)</f>
        <v>0.11918999999999999</v>
      </c>
      <c r="T55">
        <f>VLOOKUP($A55,Sheet4!$A$2:$Q$122,4,FALSE)</f>
        <v>1.1508000000000001E-2</v>
      </c>
      <c r="U55">
        <f>VLOOKUP($A55,Sheet4!$A$2:$Q$122,5,FALSE)</f>
        <v>6.1156800000000002</v>
      </c>
      <c r="V55">
        <f>VLOOKUP($A55,Sheet4!$A$2:$Q$122,6,FALSE)</f>
        <v>10.42</v>
      </c>
      <c r="W55">
        <f>VLOOKUP($A55,Sheet4!$A$2:$Q$122,7,FALSE)</f>
        <v>5.0015999999999998E-2</v>
      </c>
      <c r="X55">
        <f>VLOOKUP($A55,Sheet4!$A$2:$Q$122,8,FALSE)</f>
        <v>2.0839999999999999E-3</v>
      </c>
      <c r="Y55">
        <f>VLOOKUP($A55,Sheet4!$A$2:$Q$122,9,FALSE)</f>
        <v>8.6486000000000001</v>
      </c>
      <c r="Z55">
        <f>VLOOKUP($A55,Sheet4!$A$2:$Q$122,10,FALSE)</f>
        <v>21.2</v>
      </c>
      <c r="AA55">
        <f>VLOOKUP($A55,Sheet4!$A$2:$Q$122,11,FALSE)</f>
        <v>0.21411999999999998</v>
      </c>
      <c r="AB55">
        <f>VLOOKUP($A55,Sheet4!$A$2:$Q$122,12,FALSE)</f>
        <v>4.8760000000000001E-3</v>
      </c>
      <c r="AC55">
        <f>VLOOKUP($A55,Sheet4!$A$2:$Q$122,13,FALSE)</f>
        <v>16.1968</v>
      </c>
      <c r="AD55">
        <f>VLOOKUP($A55,Sheet4!$A$2:$Q$122,14,FALSE)</f>
        <v>9.1199999999999992</v>
      </c>
      <c r="AE55">
        <f>VLOOKUP($A55,Sheet4!$A$2:$Q$122,15,FALSE)</f>
        <v>0.121296</v>
      </c>
      <c r="AF55">
        <f>VLOOKUP($A55,Sheet4!$A$2:$Q$122,16,FALSE)</f>
        <v>2.5535999999999996E-3</v>
      </c>
      <c r="AG55">
        <f>VLOOKUP($A55,Sheet4!$A$2:$Q$122,17,FALSE)</f>
        <v>7.2047999999999988</v>
      </c>
    </row>
    <row r="56" spans="1:33" x14ac:dyDescent="0.3">
      <c r="A56" s="7">
        <v>500</v>
      </c>
      <c r="B56" s="27" t="str">
        <f>VLOOKUP($A56, Sheet5!$A$1:$E$119,2,FALSE)</f>
        <v>IBD</v>
      </c>
      <c r="C56" s="27" t="str">
        <f>VLOOKUP($A56, Sheet5!$A$1:$E$119,3,FALSE)</f>
        <v>otu_1</v>
      </c>
      <c r="D56" s="27" t="str">
        <f>VLOOKUP($A56, Sheet5!$A$1:$E$119,4,FALSE)</f>
        <v>M</v>
      </c>
      <c r="E56" s="27">
        <f>VLOOKUP($A56, Sheet5!$A$1:$E$119,5,FALSE)</f>
        <v>6</v>
      </c>
      <c r="F56" s="67">
        <v>0.43406999999999996</v>
      </c>
      <c r="G56" s="67">
        <v>9.2750000000000003E-3</v>
      </c>
      <c r="H56" s="67">
        <v>7.9273504273504264E-4</v>
      </c>
      <c r="I56" s="45">
        <v>7.0586999999999997E-2</v>
      </c>
      <c r="J56" s="45">
        <v>0.88182000000000005</v>
      </c>
      <c r="K56" s="45">
        <v>1.6569718309859152E-3</v>
      </c>
      <c r="L56">
        <v>0.11648000000000001</v>
      </c>
      <c r="M56">
        <v>2.5648000000000004E-2</v>
      </c>
      <c r="N56">
        <v>2.4661538461538462E-3</v>
      </c>
      <c r="O56">
        <v>0.98124000000000011</v>
      </c>
      <c r="P56">
        <v>2.5908E-2</v>
      </c>
      <c r="Q56">
        <v>5.3862785862785856E-4</v>
      </c>
      <c r="R56">
        <f>VLOOKUP($A56,Sheet4!$A$2:$Q$122,2,FALSE)</f>
        <v>2.35</v>
      </c>
      <c r="S56">
        <f>VLOOKUP($A56,Sheet4!$A$2:$Q$122,3,FALSE)</f>
        <v>6.1100000000000008E-3</v>
      </c>
      <c r="T56">
        <f>VLOOKUP($A56,Sheet4!$A$2:$Q$122,4,FALSE)</f>
        <v>7.8255000000000005E-2</v>
      </c>
      <c r="U56">
        <f>VLOOKUP($A56,Sheet4!$A$2:$Q$122,5,FALSE)</f>
        <v>1.5275E-2</v>
      </c>
      <c r="V56">
        <f>VLOOKUP($A56,Sheet4!$A$2:$Q$122,6,FALSE)</f>
        <v>4.05</v>
      </c>
      <c r="W56">
        <f>VLOOKUP($A56,Sheet4!$A$2:$Q$122,7,FALSE)</f>
        <v>7.2900000000000006E-2</v>
      </c>
      <c r="X56">
        <f>VLOOKUP($A56,Sheet4!$A$2:$Q$122,8,FALSE)</f>
        <v>0.168075</v>
      </c>
      <c r="Y56">
        <f>VLOOKUP($A56,Sheet4!$A$2:$Q$122,9,FALSE)</f>
        <v>0.15309</v>
      </c>
      <c r="Z56">
        <f>VLOOKUP($A56,Sheet4!$A$2:$Q$122,10,FALSE)</f>
        <v>2.13</v>
      </c>
      <c r="AA56">
        <f>VLOOKUP($A56,Sheet4!$A$2:$Q$122,11,FALSE)</f>
        <v>7.6679999999999995E-3</v>
      </c>
      <c r="AB56">
        <f>VLOOKUP($A56,Sheet4!$A$2:$Q$122,12,FALSE)</f>
        <v>4.1747999999999993E-2</v>
      </c>
      <c r="AC56">
        <f>VLOOKUP($A56,Sheet4!$A$2:$Q$122,13,FALSE)</f>
        <v>3.4079999999999999E-2</v>
      </c>
      <c r="AD56">
        <f>VLOOKUP($A56,Sheet4!$A$2:$Q$122,14,FALSE)</f>
        <v>3.21</v>
      </c>
      <c r="AE56">
        <f>VLOOKUP($A56,Sheet4!$A$2:$Q$122,15,FALSE)</f>
        <v>2.4717000000000003E-2</v>
      </c>
      <c r="AF56">
        <f>VLOOKUP($A56,Sheet4!$A$2:$Q$122,16,FALSE)</f>
        <v>9.2448000000000002E-2</v>
      </c>
      <c r="AG56">
        <f>VLOOKUP($A56,Sheet4!$A$2:$Q$122,17,FALSE)</f>
        <v>7.7681999999999987E-2</v>
      </c>
    </row>
    <row r="57" spans="1:33" x14ac:dyDescent="0.3">
      <c r="A57" s="33">
        <v>504</v>
      </c>
      <c r="B57" s="27" t="str">
        <f>VLOOKUP($A57, Sheet5!$A$1:$E$119,2,FALSE)</f>
        <v>Healthy</v>
      </c>
      <c r="C57" s="27" t="str">
        <f>VLOOKUP($A57, Sheet5!$A$1:$E$119,3,FALSE)</f>
        <v>otu_2</v>
      </c>
      <c r="D57" s="27" t="str">
        <f>VLOOKUP($A57, Sheet5!$A$1:$E$119,4,FALSE)</f>
        <v>F</v>
      </c>
      <c r="E57" s="27">
        <f>VLOOKUP($A57, Sheet5!$A$1:$E$119,5,FALSE)</f>
        <v>0</v>
      </c>
      <c r="F57" s="67">
        <v>0.35305799999999998</v>
      </c>
      <c r="G57" s="67">
        <v>1.8973199999999997</v>
      </c>
      <c r="H57" s="67">
        <v>0.52557340720221601</v>
      </c>
      <c r="I57" s="67">
        <v>0.9770899999999999</v>
      </c>
      <c r="J57" s="67">
        <v>0.48609000000000002</v>
      </c>
      <c r="K57" s="67">
        <v>9.8695959595959587E-2</v>
      </c>
      <c r="L57" s="95">
        <v>0.31724000000000002</v>
      </c>
      <c r="M57" s="95">
        <v>0.55132000000000003</v>
      </c>
      <c r="N57" s="95">
        <v>5.3526213592233002E-2</v>
      </c>
      <c r="O57">
        <v>0.74199999999999999</v>
      </c>
      <c r="P57">
        <v>1.6695</v>
      </c>
      <c r="Q57">
        <v>2.25</v>
      </c>
      <c r="R57">
        <f>VLOOKUP($A57,Sheet4!$A$2:$Q$122,2,FALSE)</f>
        <v>11.75</v>
      </c>
      <c r="S57">
        <f>VLOOKUP($A57,Sheet4!$A$2:$Q$122,3,FALSE)</f>
        <v>9.9874999999999992E-2</v>
      </c>
      <c r="T57">
        <f>VLOOKUP($A57,Sheet4!$A$2:$Q$122,4,FALSE)</f>
        <v>2.8199999999999999E-2</v>
      </c>
      <c r="U57">
        <f>VLOOKUP($A57,Sheet4!$A$2:$Q$122,5,FALSE)</f>
        <v>5.8044999999999991</v>
      </c>
      <c r="V57">
        <f>VLOOKUP($A57,Sheet4!$A$2:$Q$122,6,FALSE)</f>
        <v>0.64</v>
      </c>
      <c r="W57">
        <f>VLOOKUP($A57,Sheet4!$A$2:$Q$122,7,FALSE)</f>
        <v>5.0560000000000006E-3</v>
      </c>
      <c r="X57">
        <f>VLOOKUP($A57,Sheet4!$A$2:$Q$122,8,FALSE)</f>
        <v>5.8239999999999995E-4</v>
      </c>
      <c r="Y57">
        <f>VLOOKUP($A57,Sheet4!$A$2:$Q$122,9,FALSE)</f>
        <v>0.31424000000000002</v>
      </c>
      <c r="Z57">
        <f>VLOOKUP($A57,Sheet4!$A$2:$Q$122,10,FALSE)</f>
        <v>19.399999999999999</v>
      </c>
      <c r="AA57">
        <f>VLOOKUP($A57,Sheet4!$A$2:$Q$122,11,FALSE)</f>
        <v>9.1179999999999983E-2</v>
      </c>
      <c r="AB57">
        <f>VLOOKUP($A57,Sheet4!$A$2:$Q$122,12,FALSE)</f>
        <v>8.7299999999999982E-3</v>
      </c>
      <c r="AC57">
        <f>VLOOKUP($A57,Sheet4!$A$2:$Q$122,13,FALSE)</f>
        <v>0</v>
      </c>
      <c r="AD57">
        <f>VLOOKUP($A57,Sheet4!$A$2:$Q$122,14,FALSE)</f>
        <v>11.120000000000001</v>
      </c>
      <c r="AE57">
        <f>VLOOKUP($A57,Sheet4!$A$2:$Q$122,15,FALSE)</f>
        <v>7.3392000000000013E-2</v>
      </c>
      <c r="AF57">
        <f>VLOOKUP($A57,Sheet4!$A$2:$Q$122,16,FALSE)</f>
        <v>7.784000000000001E-3</v>
      </c>
      <c r="AG57">
        <f>VLOOKUP($A57,Sheet4!$A$2:$Q$122,17,FALSE)</f>
        <v>3.8586400000000007</v>
      </c>
    </row>
    <row r="58" spans="1:33" x14ac:dyDescent="0.3">
      <c r="A58" s="33">
        <v>515</v>
      </c>
      <c r="B58" s="27" t="str">
        <f>VLOOKUP($A58, Sheet5!$A$1:$E$119,2,FALSE)</f>
        <v>Healthy</v>
      </c>
      <c r="C58" s="27" t="str">
        <f>VLOOKUP($A58, Sheet5!$A$1:$E$119,3,FALSE)</f>
        <v>otu_2</v>
      </c>
      <c r="D58" s="27" t="str">
        <f>VLOOKUP($A58, Sheet5!$A$1:$E$119,4,FALSE)</f>
        <v>F</v>
      </c>
      <c r="E58" s="27">
        <f>VLOOKUP($A58, Sheet5!$A$1:$E$119,5,FALSE)</f>
        <v>6</v>
      </c>
      <c r="F58" s="67">
        <v>0.26792699999999997</v>
      </c>
      <c r="G58" s="67">
        <v>1.1233200000000001</v>
      </c>
      <c r="H58" s="67">
        <v>0.31822096317280457</v>
      </c>
      <c r="I58" s="67">
        <v>0.57152000000000003</v>
      </c>
      <c r="J58" s="67">
        <v>0.96672000000000002</v>
      </c>
      <c r="K58" s="67">
        <v>3.594465408805031E-2</v>
      </c>
      <c r="L58" s="95">
        <v>0.92462999999999995</v>
      </c>
      <c r="M58" s="95">
        <v>1.07226</v>
      </c>
      <c r="N58" s="95">
        <v>9.0105882352941188E-2</v>
      </c>
      <c r="O58">
        <v>0.664825</v>
      </c>
      <c r="P58">
        <v>0.89175000000000015</v>
      </c>
      <c r="Q58">
        <v>1.3413304252998912</v>
      </c>
      <c r="R58">
        <f>VLOOKUP($A58,Sheet4!$A$2:$Q$122,2,FALSE)</f>
        <v>10.23</v>
      </c>
      <c r="S58">
        <f>VLOOKUP($A58,Sheet4!$A$2:$Q$122,3,FALSE)</f>
        <v>0.14935799999999999</v>
      </c>
      <c r="T58">
        <f>VLOOKUP($A58,Sheet4!$A$2:$Q$122,4,FALSE)</f>
        <v>2.6598E-2</v>
      </c>
      <c r="U58">
        <f>VLOOKUP($A58,Sheet4!$A$2:$Q$122,5,FALSE)</f>
        <v>4.1022300000000005</v>
      </c>
      <c r="V58">
        <f>VLOOKUP($A58,Sheet4!$A$2:$Q$122,6,FALSE)</f>
        <v>12.06</v>
      </c>
      <c r="W58">
        <f>VLOOKUP($A58,Sheet4!$A$2:$Q$122,7,FALSE)</f>
        <v>5.1858000000000001E-2</v>
      </c>
      <c r="X58">
        <f>VLOOKUP($A58,Sheet4!$A$2:$Q$122,8,FALSE)</f>
        <v>2.4120000000000001E-3</v>
      </c>
      <c r="Y58">
        <f>VLOOKUP($A58,Sheet4!$A$2:$Q$122,9,FALSE)</f>
        <v>4.3416000000000006</v>
      </c>
      <c r="Z58">
        <f>VLOOKUP($A58,Sheet4!$A$2:$Q$122,10,FALSE)</f>
        <v>22.8</v>
      </c>
      <c r="AA58">
        <f>VLOOKUP($A58,Sheet4!$A$2:$Q$122,11,FALSE)</f>
        <v>0.14136000000000001</v>
      </c>
      <c r="AB58">
        <f>VLOOKUP($A58,Sheet4!$A$2:$Q$122,12,FALSE)</f>
        <v>1.6643999999999999E-2</v>
      </c>
      <c r="AC58">
        <f>VLOOKUP($A58,Sheet4!$A$2:$Q$122,13,FALSE)</f>
        <v>7.4556000000000004</v>
      </c>
      <c r="AD58">
        <f>VLOOKUP($A58,Sheet4!$A$2:$Q$122,14,FALSE)</f>
        <v>12.09</v>
      </c>
      <c r="AE58">
        <f>VLOOKUP($A58,Sheet4!$A$2:$Q$122,15,FALSE)</f>
        <v>7.8585000000000002E-2</v>
      </c>
      <c r="AF58">
        <f>VLOOKUP($A58,Sheet4!$A$2:$Q$122,16,FALSE)</f>
        <v>3.7479000000000002E-3</v>
      </c>
      <c r="AG58">
        <f>VLOOKUP($A58,Sheet4!$A$2:$Q$122,17,FALSE)</f>
        <v>3.8325299999999998</v>
      </c>
    </row>
    <row r="59" spans="1:33" x14ac:dyDescent="0.3">
      <c r="A59" s="33">
        <v>519</v>
      </c>
      <c r="B59" s="27" t="str">
        <f>VLOOKUP($A59, Sheet5!$A$1:$E$119,2,FALSE)</f>
        <v>Healthy</v>
      </c>
      <c r="C59" s="27" t="str">
        <f>VLOOKUP($A59, Sheet5!$A$1:$E$119,3,FALSE)</f>
        <v>otu_2</v>
      </c>
      <c r="D59" s="27" t="str">
        <f>VLOOKUP($A59, Sheet5!$A$1:$E$119,4,FALSE)</f>
        <v>M</v>
      </c>
      <c r="E59" s="27">
        <f>VLOOKUP($A59, Sheet5!$A$1:$E$119,5,FALSE)</f>
        <v>3</v>
      </c>
      <c r="F59" s="67">
        <v>7.3800000000000004E-2</v>
      </c>
      <c r="G59" s="67">
        <v>0.53299999999999992</v>
      </c>
      <c r="H59" s="67">
        <v>0.2961111111111111</v>
      </c>
      <c r="I59" s="95">
        <v>1.9370000000000003</v>
      </c>
      <c r="J59" s="95">
        <v>0.48685</v>
      </c>
      <c r="K59" s="95">
        <v>0.25861148197596795</v>
      </c>
      <c r="L59" s="95">
        <v>0.53100000000000003</v>
      </c>
      <c r="M59" s="95">
        <v>0.48497999999999997</v>
      </c>
      <c r="N59" s="95">
        <v>3.2332E-2</v>
      </c>
      <c r="O59">
        <v>0.33108000000000004</v>
      </c>
      <c r="P59">
        <v>0.90024000000000004</v>
      </c>
      <c r="Q59">
        <v>2.7191011235955056</v>
      </c>
      <c r="R59">
        <f>VLOOKUP($A59,Sheet4!$A$2:$Q$122,2,FALSE)</f>
        <v>22.53</v>
      </c>
      <c r="S59">
        <f>VLOOKUP($A59,Sheet4!$A$2:$Q$122,3,FALSE)</f>
        <v>1.315752</v>
      </c>
      <c r="T59">
        <f>VLOOKUP($A59,Sheet4!$A$2:$Q$122,4,FALSE)</f>
        <v>0.36048000000000002</v>
      </c>
      <c r="U59">
        <f>VLOOKUP($A59,Sheet4!$A$2:$Q$122,5,FALSE)</f>
        <v>9.9131999999999998</v>
      </c>
      <c r="V59">
        <f>VLOOKUP($A59,Sheet4!$A$2:$Q$122,6,FALSE)</f>
        <v>17.09</v>
      </c>
      <c r="W59">
        <f>VLOOKUP($A59,Sheet4!$A$2:$Q$122,7,FALSE)</f>
        <v>0.61694899999999997</v>
      </c>
      <c r="X59">
        <f>VLOOKUP($A59,Sheet4!$A$2:$Q$122,8,FALSE)</f>
        <v>0.182863</v>
      </c>
      <c r="Y59">
        <f>VLOOKUP($A59,Sheet4!$A$2:$Q$122,9,FALSE)</f>
        <v>5.4858900000000004</v>
      </c>
      <c r="Z59">
        <f>VLOOKUP($A59,Sheet4!$A$2:$Q$122,10,FALSE)</f>
        <v>18.78</v>
      </c>
      <c r="AA59">
        <f>VLOOKUP($A59,Sheet4!$A$2:$Q$122,11,FALSE)</f>
        <v>0.46950000000000003</v>
      </c>
      <c r="AB59">
        <f>VLOOKUP($A59,Sheet4!$A$2:$Q$122,12,FALSE)</f>
        <v>0.10704599999999999</v>
      </c>
      <c r="AC59">
        <f>VLOOKUP($A59,Sheet4!$A$2:$Q$122,13,FALSE)</f>
        <v>6.0847199999999999</v>
      </c>
      <c r="AD59">
        <f>VLOOKUP($A59,Sheet4!$A$2:$Q$122,14,FALSE)</f>
        <v>16.350000000000001</v>
      </c>
      <c r="AE59">
        <f>VLOOKUP($A59,Sheet4!$A$2:$Q$122,15,FALSE)</f>
        <v>0.57225000000000004</v>
      </c>
      <c r="AF59">
        <f>VLOOKUP($A59,Sheet4!$A$2:$Q$122,16,FALSE)</f>
        <v>0.14388000000000001</v>
      </c>
      <c r="AG59">
        <f>VLOOKUP($A59,Sheet4!$A$2:$Q$122,17,FALSE)</f>
        <v>6.2457000000000003</v>
      </c>
    </row>
    <row r="60" spans="1:33" x14ac:dyDescent="0.3">
      <c r="A60" s="33">
        <v>528</v>
      </c>
      <c r="B60" s="27" t="str">
        <f>VLOOKUP($A60, Sheet5!$A$1:$E$119,2,FALSE)</f>
        <v>Healthy</v>
      </c>
      <c r="C60" s="27" t="str">
        <f>VLOOKUP($A60, Sheet5!$A$1:$E$119,3,FALSE)</f>
        <v>otu_2</v>
      </c>
      <c r="D60" s="27" t="str">
        <f>VLOOKUP($A60, Sheet5!$A$1:$E$119,4,FALSE)</f>
        <v>F</v>
      </c>
      <c r="E60" s="27">
        <f>VLOOKUP($A60, Sheet5!$A$1:$E$119,5,FALSE)</f>
        <v>5</v>
      </c>
      <c r="F60" s="67">
        <v>8.3287999999999987E-2</v>
      </c>
      <c r="G60" s="67">
        <v>0.89032</v>
      </c>
      <c r="H60" s="67">
        <v>0.76751724137931032</v>
      </c>
      <c r="I60" s="95">
        <v>1.0546500000000001</v>
      </c>
      <c r="J60" s="95">
        <v>0.26069999999999999</v>
      </c>
      <c r="K60" s="95">
        <v>0.15979545454545457</v>
      </c>
      <c r="L60" s="95">
        <v>0.17897100000000002</v>
      </c>
      <c r="M60" s="95">
        <v>0.77306999999999992</v>
      </c>
      <c r="N60" s="95">
        <v>0.15247928994082838</v>
      </c>
      <c r="O60">
        <v>0.36802399999999996</v>
      </c>
      <c r="P60">
        <v>2.4344000000000001</v>
      </c>
      <c r="Q60">
        <v>6.6147859922179002</v>
      </c>
      <c r="R60" t="e">
        <f>VLOOKUP($A60,Sheet4!$A$2:$Q$122,2,FALSE)</f>
        <v>#N/A</v>
      </c>
      <c r="S60" t="e">
        <f>VLOOKUP($A60,Sheet4!$A$2:$Q$122,3,FALSE)</f>
        <v>#N/A</v>
      </c>
      <c r="T60" t="e">
        <f>VLOOKUP($A60,Sheet4!$A$2:$Q$122,4,FALSE)</f>
        <v>#N/A</v>
      </c>
      <c r="U60" t="e">
        <f>VLOOKUP($A60,Sheet4!$A$2:$Q$122,5,FALSE)</f>
        <v>#N/A</v>
      </c>
      <c r="V60" t="e">
        <f>VLOOKUP($A60,Sheet4!$A$2:$Q$122,6,FALSE)</f>
        <v>#N/A</v>
      </c>
      <c r="W60" t="e">
        <f>VLOOKUP($A60,Sheet4!$A$2:$Q$122,7,FALSE)</f>
        <v>#N/A</v>
      </c>
      <c r="X60" t="e">
        <f>VLOOKUP($A60,Sheet4!$A$2:$Q$122,8,FALSE)</f>
        <v>#N/A</v>
      </c>
      <c r="Y60" t="e">
        <f>VLOOKUP($A60,Sheet4!$A$2:$Q$122,9,FALSE)</f>
        <v>#N/A</v>
      </c>
      <c r="Z60" t="e">
        <f>VLOOKUP($A60,Sheet4!$A$2:$Q$122,10,FALSE)</f>
        <v>#N/A</v>
      </c>
      <c r="AA60" t="e">
        <f>VLOOKUP($A60,Sheet4!$A$2:$Q$122,11,FALSE)</f>
        <v>#N/A</v>
      </c>
      <c r="AB60" t="e">
        <f>VLOOKUP($A60,Sheet4!$A$2:$Q$122,12,FALSE)</f>
        <v>#N/A</v>
      </c>
      <c r="AC60" t="e">
        <f>VLOOKUP($A60,Sheet4!$A$2:$Q$122,13,FALSE)</f>
        <v>#N/A</v>
      </c>
      <c r="AD60" t="e">
        <f>VLOOKUP($A60,Sheet4!$A$2:$Q$122,14,FALSE)</f>
        <v>#N/A</v>
      </c>
      <c r="AE60" t="e">
        <f>VLOOKUP($A60,Sheet4!$A$2:$Q$122,15,FALSE)</f>
        <v>#N/A</v>
      </c>
      <c r="AF60" t="e">
        <f>VLOOKUP($A60,Sheet4!$A$2:$Q$122,16,FALSE)</f>
        <v>#N/A</v>
      </c>
      <c r="AG60" t="e">
        <f>VLOOKUP($A60,Sheet4!$A$2:$Q$122,17,FALSE)</f>
        <v>#N/A</v>
      </c>
    </row>
    <row r="61" spans="1:33" x14ac:dyDescent="0.3">
      <c r="A61" s="33">
        <v>542</v>
      </c>
      <c r="B61" s="27" t="str">
        <f>VLOOKUP($A61, Sheet5!$A$1:$E$119,2,FALSE)</f>
        <v>Healthy</v>
      </c>
      <c r="C61" s="27" t="str">
        <f>VLOOKUP($A61, Sheet5!$A$1:$E$119,3,FALSE)</f>
        <v>otu_2</v>
      </c>
      <c r="D61" s="27" t="str">
        <f>VLOOKUP($A61, Sheet5!$A$1:$E$119,4,FALSE)</f>
        <v>F</v>
      </c>
      <c r="E61" s="27">
        <f>VLOOKUP($A61, Sheet5!$A$1:$E$119,5,FALSE)</f>
        <v>2</v>
      </c>
      <c r="F61" s="67">
        <v>0.10075000000000001</v>
      </c>
      <c r="G61" s="67">
        <v>0.85149999999999992</v>
      </c>
      <c r="H61" s="67">
        <v>0.54935483870967738</v>
      </c>
      <c r="I61" s="95">
        <v>0.42642000000000002</v>
      </c>
      <c r="J61" s="95">
        <v>0.39702599999999999</v>
      </c>
      <c r="K61" s="95">
        <v>4.4465067778936385E-2</v>
      </c>
      <c r="L61" s="95">
        <v>0.48127999999999999</v>
      </c>
      <c r="M61" s="95">
        <v>0.38195200000000001</v>
      </c>
      <c r="N61" s="95">
        <v>4.0633191489361703E-2</v>
      </c>
      <c r="R61">
        <f>VLOOKUP($A61,Sheet4!$A$2:$Q$122,2,FALSE)</f>
        <v>20.89</v>
      </c>
      <c r="S61">
        <f>VLOOKUP($A61,Sheet4!$A$2:$Q$122,3,FALSE)</f>
        <v>7.9382000000000008E-2</v>
      </c>
      <c r="T61">
        <f>VLOOKUP($A61,Sheet4!$A$2:$Q$122,4,FALSE)</f>
        <v>1.60853E-2</v>
      </c>
      <c r="U61">
        <f>VLOOKUP($A61,Sheet4!$A$2:$Q$122,5,FALSE)</f>
        <v>8.1679900000000014</v>
      </c>
      <c r="V61">
        <f>VLOOKUP($A61,Sheet4!$A$2:$Q$122,6,FALSE)</f>
        <v>19.989999999999998</v>
      </c>
      <c r="W61">
        <f>VLOOKUP($A61,Sheet4!$A$2:$Q$122,7,FALSE)</f>
        <v>5.9969999999999989E-2</v>
      </c>
      <c r="X61">
        <f>VLOOKUP($A61,Sheet4!$A$2:$Q$122,8,FALSE)</f>
        <v>0</v>
      </c>
      <c r="Y61">
        <f>VLOOKUP($A61,Sheet4!$A$2:$Q$122,9,FALSE)</f>
        <v>8.595699999999999</v>
      </c>
      <c r="Z61">
        <f>VLOOKUP($A61,Sheet4!$A$2:$Q$122,10,FALSE)</f>
        <v>28.8</v>
      </c>
      <c r="AA61">
        <f>VLOOKUP($A61,Sheet4!$A$2:$Q$122,11,FALSE)</f>
        <v>0.10368000000000001</v>
      </c>
      <c r="AB61">
        <f>VLOOKUP($A61,Sheet4!$A$2:$Q$122,12,FALSE)</f>
        <v>1.6416E-2</v>
      </c>
      <c r="AC61">
        <f>VLOOKUP($A61,Sheet4!$A$2:$Q$122,13,FALSE)</f>
        <v>13.046399999999998</v>
      </c>
      <c r="AD61">
        <f>VLOOKUP($A61,Sheet4!$A$2:$Q$122,14,FALSE)</f>
        <v>16.78</v>
      </c>
      <c r="AE61">
        <f>VLOOKUP($A61,Sheet4!$A$2:$Q$122,15,FALSE)</f>
        <v>0.11913800000000001</v>
      </c>
      <c r="AF61">
        <f>VLOOKUP($A61,Sheet4!$A$2:$Q$122,16,FALSE)</f>
        <v>7.8866000000000006E-3</v>
      </c>
      <c r="AG61">
        <f>VLOOKUP($A61,Sheet4!$A$2:$Q$122,17,FALSE)</f>
        <v>8.1047399999999996</v>
      </c>
    </row>
    <row r="62" spans="1:33" x14ac:dyDescent="0.3">
      <c r="A62" s="33">
        <v>545</v>
      </c>
      <c r="B62" s="27" t="str">
        <f>VLOOKUP($A62, Sheet5!$A$1:$E$119,2,FALSE)</f>
        <v>Healthy</v>
      </c>
      <c r="C62" s="27" t="str">
        <f>VLOOKUP($A62, Sheet5!$A$1:$E$119,3,FALSE)</f>
        <v>otu_2</v>
      </c>
      <c r="D62" s="27" t="str">
        <f>VLOOKUP($A62, Sheet5!$A$1:$E$119,4,FALSE)</f>
        <v>F</v>
      </c>
      <c r="E62" s="27">
        <f>VLOOKUP($A62, Sheet5!$A$1:$E$119,5,FALSE)</f>
        <v>1</v>
      </c>
      <c r="F62" s="67">
        <v>0.265065</v>
      </c>
      <c r="G62" s="67">
        <v>0.94388999999999978</v>
      </c>
      <c r="H62" s="67">
        <v>0.15347804878048776</v>
      </c>
      <c r="I62" s="96"/>
      <c r="J62" s="96"/>
      <c r="K62" s="96"/>
      <c r="L62" s="95">
        <v>0.34476000000000001</v>
      </c>
      <c r="M62" s="95">
        <v>0.25414999999999999</v>
      </c>
      <c r="N62" s="95">
        <v>1.6291666666666666E-2</v>
      </c>
      <c r="O62">
        <v>0.19333599999999998</v>
      </c>
      <c r="P62">
        <v>0.61853999999999998</v>
      </c>
      <c r="Q62">
        <v>3.1993006993006996</v>
      </c>
      <c r="R62">
        <f>VLOOKUP($A62,Sheet4!$A$2:$Q$122,2,FALSE)</f>
        <v>16.560000000000002</v>
      </c>
      <c r="S62">
        <f>VLOOKUP($A62,Sheet4!$A$2:$Q$122,3,FALSE)</f>
        <v>0.72036</v>
      </c>
      <c r="T62">
        <f>VLOOKUP($A62,Sheet4!$A$2:$Q$122,4,FALSE)</f>
        <v>0.39247200000000004</v>
      </c>
      <c r="U62">
        <f>VLOOKUP($A62,Sheet4!$A$2:$Q$122,5,FALSE)</f>
        <v>5.3488800000000003</v>
      </c>
      <c r="V62">
        <f>VLOOKUP($A62,Sheet4!$A$2:$Q$122,6,FALSE)</f>
        <v>20.18</v>
      </c>
      <c r="W62">
        <f>VLOOKUP($A62,Sheet4!$A$2:$Q$122,7,FALSE)</f>
        <v>0.61952600000000002</v>
      </c>
      <c r="X62">
        <f>VLOOKUP($A62,Sheet4!$A$2:$Q$122,8,FALSE)</f>
        <v>0.175566</v>
      </c>
      <c r="Y62">
        <f>VLOOKUP($A62,Sheet4!$A$2:$Q$122,9,FALSE)</f>
        <v>8.4352399999999985</v>
      </c>
      <c r="Z62">
        <f>VLOOKUP($A62,Sheet4!$A$2:$Q$122,10,FALSE)</f>
        <v>14.75</v>
      </c>
      <c r="AA62">
        <f>VLOOKUP($A62,Sheet4!$A$2:$Q$122,11,FALSE)</f>
        <v>0.23600000000000002</v>
      </c>
      <c r="AB62">
        <f>VLOOKUP($A62,Sheet4!$A$2:$Q$122,12,FALSE)</f>
        <v>0.10619999999999999</v>
      </c>
      <c r="AC62">
        <f>VLOOKUP($A62,Sheet4!$A$2:$Q$122,13,FALSE)</f>
        <v>3.0237500000000002</v>
      </c>
      <c r="AD62">
        <f>VLOOKUP($A62,Sheet4!$A$2:$Q$122,14,FALSE)</f>
        <v>11.899999999999999</v>
      </c>
      <c r="AE62">
        <f>VLOOKUP($A62,Sheet4!$A$2:$Q$122,15,FALSE)</f>
        <v>0.22014999999999996</v>
      </c>
      <c r="AF62">
        <f>VLOOKUP($A62,Sheet4!$A$2:$Q$122,16,FALSE)</f>
        <v>7.8539999999999999E-2</v>
      </c>
      <c r="AG62">
        <f>VLOOKUP($A62,Sheet4!$A$2:$Q$122,17,FALSE)</f>
        <v>3.6175999999999995</v>
      </c>
    </row>
    <row r="63" spans="1:33" x14ac:dyDescent="0.3">
      <c r="A63" s="22">
        <v>550</v>
      </c>
      <c r="B63" s="27" t="str">
        <f>VLOOKUP($A63, Sheet5!$A$1:$E$119,2,FALSE)</f>
        <v>IBD</v>
      </c>
      <c r="C63" s="27" t="str">
        <f>VLOOKUP($A63, Sheet5!$A$1:$E$119,3,FALSE)</f>
        <v>otu_2</v>
      </c>
      <c r="D63" s="27" t="str">
        <f>VLOOKUP($A63, Sheet5!$A$1:$E$119,4,FALSE)</f>
        <v>M</v>
      </c>
      <c r="E63" s="27">
        <f>VLOOKUP($A63, Sheet5!$A$1:$E$119,5,FALSE)</f>
        <v>5</v>
      </c>
      <c r="F63" s="67">
        <v>0.12487500000000001</v>
      </c>
      <c r="G63" s="67">
        <v>0.55684999999999996</v>
      </c>
      <c r="H63" s="67">
        <v>0.41248148148148145</v>
      </c>
      <c r="I63" s="95">
        <v>9.2231999999999981E-2</v>
      </c>
      <c r="J63" s="95">
        <v>0.20601</v>
      </c>
      <c r="K63" s="95">
        <v>1.6923302752293576E-2</v>
      </c>
      <c r="O63">
        <v>0.24108199999999999</v>
      </c>
      <c r="P63">
        <v>0.72711999999999988</v>
      </c>
      <c r="Q63">
        <v>8.9878862793572309E-2</v>
      </c>
      <c r="R63">
        <f>VLOOKUP($A63,Sheet4!$A$2:$Q$122,2,FALSE)</f>
        <v>3.96</v>
      </c>
      <c r="S63">
        <f>VLOOKUP($A63,Sheet4!$A$2:$Q$122,3,FALSE)</f>
        <v>0.28591199999999994</v>
      </c>
      <c r="T63">
        <f>VLOOKUP($A63,Sheet4!$A$2:$Q$122,4,FALSE)</f>
        <v>8.3160000000000005E-3</v>
      </c>
      <c r="U63">
        <f>VLOOKUP($A63,Sheet4!$A$2:$Q$122,5,FALSE)</f>
        <v>3.2590799999999995</v>
      </c>
      <c r="V63">
        <f>VLOOKUP($A63,Sheet4!$A$2:$Q$122,6,FALSE)</f>
        <v>8.17</v>
      </c>
      <c r="W63">
        <f>VLOOKUP($A63,Sheet4!$A$2:$Q$122,7,FALSE)</f>
        <v>2.5327000000000002E-2</v>
      </c>
      <c r="X63">
        <f>VLOOKUP($A63,Sheet4!$A$2:$Q$122,8,FALSE)</f>
        <v>9.8039999999999998E-4</v>
      </c>
      <c r="Y63">
        <f>VLOOKUP($A63,Sheet4!$A$2:$Q$122,9,FALSE)</f>
        <v>6.8954800000000001</v>
      </c>
      <c r="Z63">
        <f>VLOOKUP($A63,Sheet4!$A$2:$Q$122,10,FALSE)</f>
        <v>5.38</v>
      </c>
      <c r="AA63">
        <f>VLOOKUP($A63,Sheet4!$A$2:$Q$122,11,FALSE)</f>
        <v>0</v>
      </c>
      <c r="AB63">
        <f>VLOOKUP($A63,Sheet4!$A$2:$Q$122,12,FALSE)</f>
        <v>0</v>
      </c>
      <c r="AC63">
        <f>VLOOKUP($A63,Sheet4!$A$2:$Q$122,13,FALSE)</f>
        <v>0</v>
      </c>
      <c r="AD63">
        <f>VLOOKUP($A63,Sheet4!$A$2:$Q$122,14,FALSE)</f>
        <v>6.0299999999999994</v>
      </c>
      <c r="AE63">
        <f>VLOOKUP($A63,Sheet4!$A$2:$Q$122,15,FALSE)</f>
        <v>5.2460999999999994E-2</v>
      </c>
      <c r="AF63">
        <f>VLOOKUP($A63,Sheet4!$A$2:$Q$122,16,FALSE)</f>
        <v>7.8389999999999992E-4</v>
      </c>
      <c r="AG63">
        <f>VLOOKUP($A63,Sheet4!$A$2:$Q$122,17,FALSE)</f>
        <v>4.8420899999999998</v>
      </c>
    </row>
    <row r="64" spans="1:33" x14ac:dyDescent="0.3">
      <c r="A64" s="33">
        <v>559</v>
      </c>
      <c r="B64" s="27" t="str">
        <f>VLOOKUP($A64, Sheet5!$A$1:$E$119,2,FALSE)</f>
        <v>Healthy</v>
      </c>
      <c r="C64" s="27" t="str">
        <f>VLOOKUP($A64, Sheet5!$A$1:$E$119,3,FALSE)</f>
        <v>otu_2</v>
      </c>
      <c r="D64" s="27" t="str">
        <f>VLOOKUP($A64, Sheet5!$A$1:$E$119,4,FALSE)</f>
        <v>F</v>
      </c>
      <c r="E64" s="27">
        <f>VLOOKUP($A64, Sheet5!$A$1:$E$119,5,FALSE)</f>
        <v>0</v>
      </c>
      <c r="F64" s="67">
        <v>0.58940199999999998</v>
      </c>
      <c r="G64" s="67">
        <v>1.0643</v>
      </c>
      <c r="H64" s="67">
        <v>0.13254047322540474</v>
      </c>
      <c r="I64" s="95">
        <v>2.6946799999999995</v>
      </c>
      <c r="J64" s="95">
        <v>0.50425199999999992</v>
      </c>
      <c r="K64" s="95">
        <v>0.35643915343915344</v>
      </c>
      <c r="L64" s="95">
        <v>0.88327600000000006</v>
      </c>
      <c r="M64" s="95">
        <v>1.41988</v>
      </c>
      <c r="N64" s="95">
        <v>0.14821294363256787</v>
      </c>
      <c r="O64">
        <v>0.31720599999999999</v>
      </c>
      <c r="P64">
        <v>0.65670000000000006</v>
      </c>
      <c r="Q64">
        <v>2.0702634880803013</v>
      </c>
      <c r="R64">
        <f>VLOOKUP($A64,Sheet4!$A$2:$Q$122,2,FALSE)</f>
        <v>10.440000000000001</v>
      </c>
      <c r="S64">
        <f>VLOOKUP($A64,Sheet4!$A$2:$Q$122,3,FALSE)</f>
        <v>0.12736800000000001</v>
      </c>
      <c r="T64">
        <f>VLOOKUP($A64,Sheet4!$A$2:$Q$122,4,FALSE)</f>
        <v>3.6540000000000003E-2</v>
      </c>
      <c r="U64">
        <f>VLOOKUP($A64,Sheet4!$A$2:$Q$122,5,FALSE)</f>
        <v>3.3199200000000006</v>
      </c>
      <c r="V64">
        <f>VLOOKUP($A64,Sheet4!$A$2:$Q$122,6,FALSE)</f>
        <v>10.130000000000001</v>
      </c>
      <c r="W64">
        <f>VLOOKUP($A64,Sheet4!$A$2:$Q$122,7,FALSE)</f>
        <v>0.11345600000000003</v>
      </c>
      <c r="X64">
        <f>VLOOKUP($A64,Sheet4!$A$2:$Q$122,8,FALSE)</f>
        <v>9.9274000000000012E-3</v>
      </c>
      <c r="Y64">
        <f>VLOOKUP($A64,Sheet4!$A$2:$Q$122,9,FALSE)</f>
        <v>4.3153800000000011</v>
      </c>
      <c r="Z64">
        <f>VLOOKUP($A64,Sheet4!$A$2:$Q$122,10,FALSE)</f>
        <v>19.7</v>
      </c>
      <c r="AA64">
        <f>VLOOKUP($A64,Sheet4!$A$2:$Q$122,11,FALSE)</f>
        <v>0.10047</v>
      </c>
      <c r="AB64">
        <f>VLOOKUP($A64,Sheet4!$A$2:$Q$122,12,FALSE)</f>
        <v>1.7335999999999997E-2</v>
      </c>
      <c r="AC64">
        <f>VLOOKUP($A64,Sheet4!$A$2:$Q$122,13,FALSE)</f>
        <v>7.2298999999999998</v>
      </c>
      <c r="AD64">
        <f>VLOOKUP($A64,Sheet4!$A$2:$Q$122,14,FALSE)</f>
        <v>13.49</v>
      </c>
      <c r="AE64">
        <f>VLOOKUP($A64,Sheet4!$A$2:$Q$122,15,FALSE)</f>
        <v>7.0148000000000002E-2</v>
      </c>
      <c r="AF64">
        <f>VLOOKUP($A64,Sheet4!$A$2:$Q$122,16,FALSE)</f>
        <v>1.3490000000000002E-2</v>
      </c>
      <c r="AG64">
        <f>VLOOKUP($A64,Sheet4!$A$2:$Q$122,17,FALSE)</f>
        <v>5.88164</v>
      </c>
    </row>
    <row r="65" spans="1:33" x14ac:dyDescent="0.3">
      <c r="A65" s="33">
        <v>560</v>
      </c>
      <c r="B65" s="27" t="str">
        <f>VLOOKUP($A65, Sheet5!$A$1:$E$119,2,FALSE)</f>
        <v>Healthy</v>
      </c>
      <c r="C65" s="27" t="str">
        <f>VLOOKUP($A65, Sheet5!$A$1:$E$119,3,FALSE)</f>
        <v>otu_2</v>
      </c>
      <c r="D65" s="27" t="str">
        <f>VLOOKUP($A65, Sheet5!$A$1:$E$119,4,FALSE)</f>
        <v>F</v>
      </c>
      <c r="E65" s="27">
        <f>VLOOKUP($A65, Sheet5!$A$1:$E$119,5,FALSE)</f>
        <v>4</v>
      </c>
      <c r="F65" s="67">
        <v>0.22379000000000002</v>
      </c>
      <c r="G65" s="67">
        <v>3.5420000000000003</v>
      </c>
      <c r="H65" s="67">
        <v>2.5482014388489214</v>
      </c>
      <c r="I65" s="95">
        <v>1.93154</v>
      </c>
      <c r="J65" s="95">
        <v>0.44961599999999996</v>
      </c>
      <c r="K65" s="95">
        <v>0.27752011494252871</v>
      </c>
      <c r="L65" s="95">
        <v>0.50749999999999995</v>
      </c>
      <c r="M65" s="95">
        <v>1.5007499999999998</v>
      </c>
      <c r="N65" s="95">
        <v>0.21439285714285714</v>
      </c>
      <c r="O65">
        <v>0.48734399999999994</v>
      </c>
      <c r="P65">
        <v>1.90848</v>
      </c>
      <c r="Q65">
        <v>3.9160839160839163</v>
      </c>
      <c r="R65">
        <f>VLOOKUP($A65,Sheet4!$A$2:$Q$122,2,FALSE)</f>
        <v>12.04</v>
      </c>
      <c r="S65">
        <f>VLOOKUP($A65,Sheet4!$A$2:$Q$122,3,FALSE)</f>
        <v>0.40695199999999992</v>
      </c>
      <c r="T65">
        <f>VLOOKUP($A65,Sheet4!$A$2:$Q$122,4,FALSE)</f>
        <v>0.37203599999999992</v>
      </c>
      <c r="U65">
        <f>VLOOKUP($A65,Sheet4!$A$2:$Q$122,5,FALSE)</f>
        <v>2.8294000000000001</v>
      </c>
      <c r="V65">
        <f>VLOOKUP($A65,Sheet4!$A$2:$Q$122,6,FALSE)</f>
        <v>14.8</v>
      </c>
      <c r="W65">
        <f>VLOOKUP($A65,Sheet4!$A$2:$Q$122,7,FALSE)</f>
        <v>0.39368000000000003</v>
      </c>
      <c r="X65">
        <f>VLOOKUP($A65,Sheet4!$A$2:$Q$122,8,FALSE)</f>
        <v>0.17315999999999998</v>
      </c>
      <c r="Y65">
        <f>VLOOKUP($A65,Sheet4!$A$2:$Q$122,9,FALSE)</f>
        <v>3.2856000000000001</v>
      </c>
      <c r="Z65">
        <f>VLOOKUP($A65,Sheet4!$A$2:$Q$122,10,FALSE)</f>
        <v>14.09</v>
      </c>
      <c r="AA65">
        <f>VLOOKUP($A65,Sheet4!$A$2:$Q$122,11,FALSE)</f>
        <v>0.73268</v>
      </c>
      <c r="AB65">
        <f>VLOOKUP($A65,Sheet4!$A$2:$Q$122,12,FALSE)</f>
        <v>0.20289599999999999</v>
      </c>
      <c r="AC65">
        <f>VLOOKUP($A65,Sheet4!$A$2:$Q$122,13,FALSE)</f>
        <v>4.2410900000000007</v>
      </c>
      <c r="AD65">
        <f>VLOOKUP($A65,Sheet4!$A$2:$Q$122,14,FALSE)</f>
        <v>11.39</v>
      </c>
      <c r="AE65">
        <f>VLOOKUP($A65,Sheet4!$A$2:$Q$122,15,FALSE)</f>
        <v>0.15376500000000001</v>
      </c>
      <c r="AF65">
        <f>VLOOKUP($A65,Sheet4!$A$2:$Q$122,16,FALSE)</f>
        <v>0.10706599999999999</v>
      </c>
      <c r="AG65">
        <f>VLOOKUP($A65,Sheet4!$A$2:$Q$122,17,FALSE)</f>
        <v>2.1185400000000003</v>
      </c>
    </row>
    <row r="66" spans="1:33" x14ac:dyDescent="0.3">
      <c r="A66" s="33">
        <v>562</v>
      </c>
      <c r="B66" s="27" t="str">
        <f>VLOOKUP($A66, Sheet5!$A$1:$E$119,2,FALSE)</f>
        <v>Healthy</v>
      </c>
      <c r="C66" s="27" t="str">
        <f>VLOOKUP($A66, Sheet5!$A$1:$E$119,3,FALSE)</f>
        <v>otu_2</v>
      </c>
      <c r="D66" s="27" t="str">
        <f>VLOOKUP($A66, Sheet5!$A$1:$E$119,4,FALSE)</f>
        <v>F</v>
      </c>
      <c r="E66" s="27">
        <f>VLOOKUP($A66, Sheet5!$A$1:$E$119,5,FALSE)</f>
        <v>6</v>
      </c>
      <c r="F66" s="86"/>
      <c r="G66" s="86"/>
      <c r="H66" s="86"/>
      <c r="I66">
        <v>0.78245999999999993</v>
      </c>
      <c r="J66">
        <v>0.48023999999999994</v>
      </c>
      <c r="K66">
        <v>6.7453448275862055E-2</v>
      </c>
      <c r="L66">
        <v>1.3186500000000001</v>
      </c>
      <c r="M66">
        <v>1.3559000000000001</v>
      </c>
      <c r="N66">
        <v>7.6604519774011309E-2</v>
      </c>
      <c r="O66">
        <v>0.29908800000000002</v>
      </c>
      <c r="P66">
        <v>0.93665999999999994</v>
      </c>
      <c r="Q66">
        <v>3.1317204301075265</v>
      </c>
      <c r="R66" t="e">
        <f>VLOOKUP($A66,Sheet4!$A$2:$Q$122,2,FALSE)</f>
        <v>#N/A</v>
      </c>
      <c r="S66" t="e">
        <f>VLOOKUP($A66,Sheet4!$A$2:$Q$122,3,FALSE)</f>
        <v>#N/A</v>
      </c>
      <c r="T66" t="e">
        <f>VLOOKUP($A66,Sheet4!$A$2:$Q$122,4,FALSE)</f>
        <v>#N/A</v>
      </c>
      <c r="U66" t="e">
        <f>VLOOKUP($A66,Sheet4!$A$2:$Q$122,5,FALSE)</f>
        <v>#N/A</v>
      </c>
      <c r="V66" t="e">
        <f>VLOOKUP($A66,Sheet4!$A$2:$Q$122,6,FALSE)</f>
        <v>#N/A</v>
      </c>
      <c r="W66" t="e">
        <f>VLOOKUP($A66,Sheet4!$A$2:$Q$122,7,FALSE)</f>
        <v>#N/A</v>
      </c>
      <c r="X66" t="e">
        <f>VLOOKUP($A66,Sheet4!$A$2:$Q$122,8,FALSE)</f>
        <v>#N/A</v>
      </c>
      <c r="Y66" t="e">
        <f>VLOOKUP($A66,Sheet4!$A$2:$Q$122,9,FALSE)</f>
        <v>#N/A</v>
      </c>
      <c r="Z66" t="e">
        <f>VLOOKUP($A66,Sheet4!$A$2:$Q$122,10,FALSE)</f>
        <v>#N/A</v>
      </c>
      <c r="AA66" t="e">
        <f>VLOOKUP($A66,Sheet4!$A$2:$Q$122,11,FALSE)</f>
        <v>#N/A</v>
      </c>
      <c r="AB66" t="e">
        <f>VLOOKUP($A66,Sheet4!$A$2:$Q$122,12,FALSE)</f>
        <v>#N/A</v>
      </c>
      <c r="AC66" t="e">
        <f>VLOOKUP($A66,Sheet4!$A$2:$Q$122,13,FALSE)</f>
        <v>#N/A</v>
      </c>
      <c r="AD66" t="e">
        <f>VLOOKUP($A66,Sheet4!$A$2:$Q$122,14,FALSE)</f>
        <v>#N/A</v>
      </c>
      <c r="AE66" t="e">
        <f>VLOOKUP($A66,Sheet4!$A$2:$Q$122,15,FALSE)</f>
        <v>#N/A</v>
      </c>
      <c r="AF66" t="e">
        <f>VLOOKUP($A66,Sheet4!$A$2:$Q$122,16,FALSE)</f>
        <v>#N/A</v>
      </c>
      <c r="AG66" t="e">
        <f>VLOOKUP($A66,Sheet4!$A$2:$Q$122,17,FALSE)</f>
        <v>#N/A</v>
      </c>
    </row>
    <row r="67" spans="1:33" x14ac:dyDescent="0.3">
      <c r="A67" s="33">
        <v>568</v>
      </c>
      <c r="B67" s="27" t="str">
        <f>VLOOKUP($A67, Sheet5!$A$1:$E$119,2,FALSE)</f>
        <v>Healthy</v>
      </c>
      <c r="C67" s="27" t="str">
        <f>VLOOKUP($A67, Sheet5!$A$1:$E$119,3,FALSE)</f>
        <v>otu_2</v>
      </c>
      <c r="D67" s="27" t="str">
        <f>VLOOKUP($A67, Sheet5!$A$1:$E$119,4,FALSE)</f>
        <v>M</v>
      </c>
      <c r="E67" s="27">
        <f>VLOOKUP($A67, Sheet5!$A$1:$E$119,5,FALSE)</f>
        <v>3</v>
      </c>
      <c r="F67" s="67">
        <v>0.109872</v>
      </c>
      <c r="G67" s="67">
        <v>0.71231999999999995</v>
      </c>
      <c r="H67" s="67">
        <v>0.2178348623853211</v>
      </c>
      <c r="I67" s="95">
        <v>1.7325900000000001</v>
      </c>
      <c r="J67" s="95">
        <v>0.495535</v>
      </c>
      <c r="K67" s="95">
        <v>0.24929352517985609</v>
      </c>
      <c r="L67" s="95">
        <v>0.49137999999999998</v>
      </c>
      <c r="M67" s="95">
        <v>0.43229000000000001</v>
      </c>
      <c r="N67" s="95">
        <v>2.7360126582278477E-2</v>
      </c>
      <c r="O67">
        <v>0.43498500000000001</v>
      </c>
      <c r="P67">
        <v>1.3512299999999999</v>
      </c>
      <c r="Q67">
        <v>3.1063829787234041</v>
      </c>
      <c r="R67">
        <f>VLOOKUP($A67,Sheet4!$A$2:$Q$122,2,FALSE)</f>
        <v>4.59</v>
      </c>
      <c r="S67">
        <f>VLOOKUP($A67,Sheet4!$A$2:$Q$122,3,FALSE)</f>
        <v>0.90422999999999987</v>
      </c>
      <c r="T67">
        <f>VLOOKUP($A67,Sheet4!$A$2:$Q$122,4,FALSE)</f>
        <v>0.21848399999999998</v>
      </c>
      <c r="U67">
        <f>VLOOKUP($A67,Sheet4!$A$2:$Q$122,5,FALSE)</f>
        <v>3.2281599999999999</v>
      </c>
      <c r="V67">
        <f>VLOOKUP($A67,Sheet4!$A$2:$Q$122,6,FALSE)</f>
        <v>2.14</v>
      </c>
      <c r="W67">
        <f>VLOOKUP($A67,Sheet4!$A$2:$Q$122,7,FALSE)</f>
        <v>0</v>
      </c>
      <c r="X67">
        <f>VLOOKUP($A67,Sheet4!$A$2:$Q$122,8,FALSE)</f>
        <v>0.16692000000000001</v>
      </c>
      <c r="Y67">
        <f>VLOOKUP($A67,Sheet4!$A$2:$Q$122,9,FALSE)</f>
        <v>0.54569999999999996</v>
      </c>
      <c r="Z67">
        <f>VLOOKUP($A67,Sheet4!$A$2:$Q$122,10,FALSE)</f>
        <v>1.26</v>
      </c>
      <c r="AA67">
        <f>VLOOKUP($A67,Sheet4!$A$2:$Q$122,11,FALSE)</f>
        <v>0</v>
      </c>
      <c r="AB67">
        <f>VLOOKUP($A67,Sheet4!$A$2:$Q$122,12,FALSE)</f>
        <v>6.2117999999999993E-2</v>
      </c>
      <c r="AC67">
        <f>VLOOKUP($A67,Sheet4!$A$2:$Q$122,13,FALSE)</f>
        <v>0.42462000000000005</v>
      </c>
      <c r="AD67">
        <f>VLOOKUP($A67,Sheet4!$A$2:$Q$122,14,FALSE)</f>
        <v>1.66</v>
      </c>
      <c r="AE67">
        <f>VLOOKUP($A67,Sheet4!$A$2:$Q$122,15,FALSE)</f>
        <v>0</v>
      </c>
      <c r="AF67">
        <f>VLOOKUP($A67,Sheet4!$A$2:$Q$122,16,FALSE)</f>
        <v>0.1411</v>
      </c>
      <c r="AG67">
        <f>VLOOKUP($A67,Sheet4!$A$2:$Q$122,17,FALSE)</f>
        <v>0.42827999999999994</v>
      </c>
    </row>
    <row r="68" spans="1:33" x14ac:dyDescent="0.3">
      <c r="A68" s="33">
        <v>570</v>
      </c>
      <c r="B68" s="27" t="str">
        <f>VLOOKUP($A68, Sheet5!$A$1:$E$119,2,FALSE)</f>
        <v>Healthy</v>
      </c>
      <c r="C68" s="27" t="str">
        <f>VLOOKUP($A68, Sheet5!$A$1:$E$119,3,FALSE)</f>
        <v>otu_2</v>
      </c>
      <c r="D68" s="27" t="str">
        <f>VLOOKUP($A68, Sheet5!$A$1:$E$119,4,FALSE)</f>
        <v>M</v>
      </c>
      <c r="E68" s="27">
        <f>VLOOKUP($A68, Sheet5!$A$1:$E$119,5,FALSE)</f>
        <v>4</v>
      </c>
      <c r="F68" s="67">
        <v>0.17457999999999999</v>
      </c>
      <c r="G68" s="67">
        <v>0.99931999999999999</v>
      </c>
      <c r="H68" s="67">
        <v>0.34459310344827587</v>
      </c>
      <c r="I68" s="95">
        <v>2.1160000000000001</v>
      </c>
      <c r="J68" s="95">
        <v>1.7756000000000001</v>
      </c>
      <c r="K68" s="95">
        <v>0.10963730569948187</v>
      </c>
      <c r="L68" s="95">
        <v>0.64328000000000007</v>
      </c>
      <c r="M68" s="95">
        <v>0.24699199999999999</v>
      </c>
      <c r="N68" s="95">
        <v>1.320812834224599E-2</v>
      </c>
      <c r="O68">
        <v>0.42640500000000003</v>
      </c>
      <c r="P68">
        <v>0.77654999999999996</v>
      </c>
      <c r="Q68">
        <v>1.8211559432933477</v>
      </c>
      <c r="R68">
        <f>VLOOKUP($A68,Sheet4!$A$2:$Q$122,2,FALSE)</f>
        <v>1.46</v>
      </c>
      <c r="S68">
        <f>VLOOKUP($A68,Sheet4!$A$2:$Q$122,3,FALSE)</f>
        <v>0</v>
      </c>
      <c r="T68">
        <f>VLOOKUP($A68,Sheet4!$A$2:$Q$122,4,FALSE)</f>
        <v>8.3657999999999996E-2</v>
      </c>
      <c r="U68">
        <f>VLOOKUP($A68,Sheet4!$A$2:$Q$122,5,FALSE)</f>
        <v>4.0417500000000004</v>
      </c>
      <c r="V68">
        <f>VLOOKUP($A68,Sheet4!$A$2:$Q$122,6,FALSE)</f>
        <v>2.1800000000000002</v>
      </c>
      <c r="W68">
        <f>VLOOKUP($A68,Sheet4!$A$2:$Q$122,7,FALSE)</f>
        <v>0</v>
      </c>
      <c r="X68">
        <f>VLOOKUP($A68,Sheet4!$A$2:$Q$122,8,FALSE)</f>
        <v>0</v>
      </c>
      <c r="Y68">
        <f>VLOOKUP($A68,Sheet4!$A$2:$Q$122,9,FALSE)</f>
        <v>0.64964000000000011</v>
      </c>
      <c r="Z68">
        <f>VLOOKUP($A68,Sheet4!$A$2:$Q$122,10,FALSE)</f>
        <v>1.71</v>
      </c>
      <c r="AA68">
        <f>VLOOKUP($A68,Sheet4!$A$2:$Q$122,11,FALSE)</f>
        <v>0</v>
      </c>
      <c r="AB68">
        <f>VLOOKUP($A68,Sheet4!$A$2:$Q$122,12,FALSE)</f>
        <v>5.1470999999999989E-2</v>
      </c>
      <c r="AC68">
        <f>VLOOKUP($A68,Sheet4!$A$2:$Q$122,13,FALSE)</f>
        <v>0.54549000000000003</v>
      </c>
      <c r="AD68">
        <f>VLOOKUP($A68,Sheet4!$A$2:$Q$122,14,FALSE)</f>
        <v>1.04</v>
      </c>
      <c r="AE68">
        <f>VLOOKUP($A68,Sheet4!$A$2:$Q$122,15,FALSE)</f>
        <v>0</v>
      </c>
      <c r="AF68">
        <f>VLOOKUP($A68,Sheet4!$A$2:$Q$122,16,FALSE)</f>
        <v>7.6024000000000008E-2</v>
      </c>
      <c r="AG68">
        <f>VLOOKUP($A68,Sheet4!$A$2:$Q$122,17,FALSE)</f>
        <v>0.34111999999999992</v>
      </c>
    </row>
    <row r="69" spans="1:33" x14ac:dyDescent="0.3">
      <c r="A69" s="33">
        <v>574</v>
      </c>
      <c r="B69" s="27" t="str">
        <f>VLOOKUP($A69, Sheet5!$A$1:$E$119,2,FALSE)</f>
        <v>Healthy</v>
      </c>
      <c r="C69" s="27" t="str">
        <f>VLOOKUP($A69, Sheet5!$A$1:$E$119,3,FALSE)</f>
        <v>otu_2</v>
      </c>
      <c r="D69" s="27" t="str">
        <f>VLOOKUP($A69, Sheet5!$A$1:$E$119,4,FALSE)</f>
        <v>M</v>
      </c>
      <c r="E69" s="27">
        <f>VLOOKUP($A69, Sheet5!$A$1:$E$119,5,FALSE)</f>
        <v>4</v>
      </c>
      <c r="F69" s="67">
        <v>0.50050000000000006</v>
      </c>
      <c r="G69" s="67">
        <v>2.2749999999999999</v>
      </c>
      <c r="H69" s="67">
        <v>0.59090909090909083</v>
      </c>
      <c r="I69" s="95">
        <v>1.5284500000000001</v>
      </c>
      <c r="J69" s="95">
        <v>1.0520499999999999</v>
      </c>
      <c r="K69" s="95">
        <v>5.7677358490566037E-2</v>
      </c>
      <c r="L69" s="95">
        <v>0.39369399999999999</v>
      </c>
      <c r="M69" s="95">
        <v>0.50812999999999997</v>
      </c>
      <c r="N69" s="95">
        <v>5.5111713665943592E-2</v>
      </c>
      <c r="O69">
        <v>0.50568000000000002</v>
      </c>
      <c r="P69">
        <v>0.61919999999999997</v>
      </c>
      <c r="Q69">
        <v>1.2244897959183672</v>
      </c>
      <c r="R69">
        <f>VLOOKUP($A69,Sheet4!$A$2:$Q$122,2,FALSE)</f>
        <v>17.190000000000001</v>
      </c>
      <c r="S69">
        <f>VLOOKUP($A69,Sheet4!$A$2:$Q$122,3,FALSE)</f>
        <v>0.75807900000000006</v>
      </c>
      <c r="T69">
        <f>VLOOKUP($A69,Sheet4!$A$2:$Q$122,4,FALSE)</f>
        <v>0.27504000000000006</v>
      </c>
      <c r="U69">
        <f>VLOOKUP($A69,Sheet4!$A$2:$Q$122,5,FALSE)</f>
        <v>5.2945200000000003</v>
      </c>
      <c r="V69">
        <f>VLOOKUP($A69,Sheet4!$A$2:$Q$122,6,FALSE)</f>
        <v>13.350000000000001</v>
      </c>
      <c r="W69">
        <f>VLOOKUP($A69,Sheet4!$A$2:$Q$122,7,FALSE)</f>
        <v>0.39516000000000007</v>
      </c>
      <c r="X69">
        <f>VLOOKUP($A69,Sheet4!$A$2:$Q$122,8,FALSE)</f>
        <v>8.4105000000000013E-2</v>
      </c>
      <c r="Y69">
        <f>VLOOKUP($A69,Sheet4!$A$2:$Q$122,9,FALSE)</f>
        <v>4.0050000000000008</v>
      </c>
      <c r="Z69">
        <f>VLOOKUP($A69,Sheet4!$A$2:$Q$122,10,FALSE)</f>
        <v>13.79</v>
      </c>
      <c r="AA69">
        <f>VLOOKUP($A69,Sheet4!$A$2:$Q$122,11,FALSE)</f>
        <v>0.6343399999999999</v>
      </c>
      <c r="AB69">
        <f>VLOOKUP($A69,Sheet4!$A$2:$Q$122,12,FALSE)</f>
        <v>7.4466000000000004E-2</v>
      </c>
      <c r="AC69">
        <f>VLOOKUP($A69,Sheet4!$A$2:$Q$122,13,FALSE)</f>
        <v>6.2054999999999998</v>
      </c>
      <c r="AD69">
        <f>VLOOKUP($A69,Sheet4!$A$2:$Q$122,14,FALSE)</f>
        <v>18.57</v>
      </c>
      <c r="AE69">
        <f>VLOOKUP($A69,Sheet4!$A$2:$Q$122,15,FALSE)</f>
        <v>0.74837100000000012</v>
      </c>
      <c r="AF69">
        <f>VLOOKUP($A69,Sheet4!$A$2:$Q$122,16,FALSE)</f>
        <v>0.116991</v>
      </c>
      <c r="AG69">
        <f>VLOOKUP($A69,Sheet4!$A$2:$Q$122,17,FALSE)</f>
        <v>7.8551099999999998</v>
      </c>
    </row>
    <row r="70" spans="1:33" x14ac:dyDescent="0.3">
      <c r="A70" s="22">
        <v>575</v>
      </c>
      <c r="B70" s="27" t="str">
        <f>VLOOKUP($A70, Sheet5!$A$1:$E$119,2,FALSE)</f>
        <v>IBD</v>
      </c>
      <c r="C70" s="27" t="str">
        <f>VLOOKUP($A70, Sheet5!$A$1:$E$119,3,FALSE)</f>
        <v>otu_2</v>
      </c>
      <c r="D70" s="27" t="str">
        <f>VLOOKUP($A70, Sheet5!$A$1:$E$119,4,FALSE)</f>
        <v>F</v>
      </c>
      <c r="E70" s="27">
        <f>VLOOKUP($A70, Sheet5!$A$1:$E$119,5,FALSE)</f>
        <v>1</v>
      </c>
      <c r="F70" s="86"/>
      <c r="G70" s="86"/>
      <c r="H70" s="86"/>
      <c r="I70" s="95">
        <v>0.11097899999999999</v>
      </c>
      <c r="J70" s="95">
        <v>1.1522699999999999</v>
      </c>
      <c r="K70" s="95">
        <v>5.1142396313364055E-3</v>
      </c>
      <c r="O70">
        <v>0.76590000000000003</v>
      </c>
      <c r="P70">
        <v>0.13453200000000001</v>
      </c>
      <c r="Q70">
        <v>5.8492173913043477E-3</v>
      </c>
      <c r="R70">
        <f>VLOOKUP($A70,Sheet4!$A$2:$Q$122,2,FALSE)</f>
        <v>0.87000000000000011</v>
      </c>
      <c r="S70">
        <f>VLOOKUP($A70,Sheet4!$A$2:$Q$122,3,FALSE)</f>
        <v>0.13485000000000003</v>
      </c>
      <c r="T70">
        <f>VLOOKUP($A70,Sheet4!$A$2:$Q$122,4,FALSE)</f>
        <v>0</v>
      </c>
      <c r="U70">
        <f>VLOOKUP($A70,Sheet4!$A$2:$Q$122,5,FALSE)</f>
        <v>0.17052000000000003</v>
      </c>
      <c r="V70">
        <f>VLOOKUP($A70,Sheet4!$A$2:$Q$122,6,FALSE)</f>
        <v>0.72</v>
      </c>
      <c r="W70">
        <f>VLOOKUP($A70,Sheet4!$A$2:$Q$122,7,FALSE)</f>
        <v>8.7839999999999988E-2</v>
      </c>
      <c r="X70">
        <f>VLOOKUP($A70,Sheet4!$A$2:$Q$122,8,FALSE)</f>
        <v>3.3695999999999997E-2</v>
      </c>
      <c r="Y70">
        <f>VLOOKUP($A70,Sheet4!$A$2:$Q$122,9,FALSE)</f>
        <v>0.41327999999999998</v>
      </c>
      <c r="Z70">
        <f>VLOOKUP($A70,Sheet4!$A$2:$Q$122,10,FALSE)</f>
        <v>21</v>
      </c>
      <c r="AA70">
        <f>VLOOKUP($A70,Sheet4!$A$2:$Q$122,11,FALSE)</f>
        <v>3.0030000000000001</v>
      </c>
      <c r="AB70">
        <f>VLOOKUP($A70,Sheet4!$A$2:$Q$122,12,FALSE)</f>
        <v>0.4158</v>
      </c>
      <c r="AC70">
        <f>VLOOKUP($A70,Sheet4!$A$2:$Q$122,13,FALSE)</f>
        <v>7.1610000000000005</v>
      </c>
      <c r="AD70">
        <f>VLOOKUP($A70,Sheet4!$A$2:$Q$122,14,FALSE)</f>
        <v>0.78</v>
      </c>
      <c r="AE70">
        <f>VLOOKUP($A70,Sheet4!$A$2:$Q$122,15,FALSE)</f>
        <v>0.10452</v>
      </c>
      <c r="AF70">
        <f>VLOOKUP($A70,Sheet4!$A$2:$Q$122,16,FALSE)</f>
        <v>2.5272000000000003E-2</v>
      </c>
      <c r="AG70">
        <f>VLOOKUP($A70,Sheet4!$A$2:$Q$122,17,FALSE)</f>
        <v>0.37908000000000003</v>
      </c>
    </row>
    <row r="71" spans="1:33" x14ac:dyDescent="0.3">
      <c r="A71" s="22">
        <v>576</v>
      </c>
      <c r="B71" s="27" t="str">
        <f>VLOOKUP($A71, Sheet5!$A$1:$E$119,2,FALSE)</f>
        <v>IBD</v>
      </c>
      <c r="C71" s="27" t="str">
        <f>VLOOKUP($A71, Sheet5!$A$1:$E$119,3,FALSE)</f>
        <v>otu_2</v>
      </c>
      <c r="D71" s="27" t="str">
        <f>VLOOKUP($A71, Sheet5!$A$1:$E$119,4,FALSE)</f>
        <v>F</v>
      </c>
      <c r="E71" s="27">
        <f>VLOOKUP($A71, Sheet5!$A$1:$E$119,5,FALSE)</f>
        <v>2</v>
      </c>
      <c r="F71" s="67">
        <v>0.39822199999999996</v>
      </c>
      <c r="G71" s="67">
        <v>1.3379E-2</v>
      </c>
      <c r="H71" s="67">
        <v>2.6440711462450599E-3</v>
      </c>
      <c r="I71" s="95">
        <v>3.3390000000000004E-3</v>
      </c>
      <c r="J71" s="95">
        <v>0.10112400000000001</v>
      </c>
      <c r="K71" s="95">
        <v>5.2500000000000008E-4</v>
      </c>
      <c r="L71">
        <v>0.95775999999999994</v>
      </c>
      <c r="M71">
        <v>7.8719999999999988E-3</v>
      </c>
      <c r="N71">
        <v>5.391780821917808E-4</v>
      </c>
      <c r="O71">
        <v>0.82944000000000018</v>
      </c>
      <c r="P71">
        <v>1.4256000000000001E-2</v>
      </c>
      <c r="Q71">
        <v>1.1137499999999999E-3</v>
      </c>
      <c r="R71">
        <f>VLOOKUP($A71,Sheet4!$A$2:$Q$122,2,FALSE)</f>
        <v>2.31</v>
      </c>
      <c r="S71">
        <f>VLOOKUP($A71,Sheet4!$A$2:$Q$122,3,FALSE)</f>
        <v>0</v>
      </c>
      <c r="T71">
        <f>VLOOKUP($A71,Sheet4!$A$2:$Q$122,4,FALSE)</f>
        <v>0.227073</v>
      </c>
      <c r="U71">
        <f>VLOOKUP($A71,Sheet4!$A$2:$Q$122,5,FALSE)</f>
        <v>0.49851999999999996</v>
      </c>
      <c r="V71">
        <f>VLOOKUP($A71,Sheet4!$A$2:$Q$122,6,FALSE)</f>
        <v>0.19</v>
      </c>
      <c r="W71">
        <f>VLOOKUP($A71,Sheet4!$A$2:$Q$122,7,FALSE)</f>
        <v>7.7899999999999996E-4</v>
      </c>
      <c r="X71">
        <f>VLOOKUP($A71,Sheet4!$A$2:$Q$122,8,FALSE)</f>
        <v>5.0540000000000003E-3</v>
      </c>
      <c r="Y71">
        <f>VLOOKUP($A71,Sheet4!$A$2:$Q$122,9,FALSE)</f>
        <v>1.786E-4</v>
      </c>
      <c r="Z71">
        <f>VLOOKUP($A71,Sheet4!$A$2:$Q$122,10,FALSE)</f>
        <v>0.65</v>
      </c>
      <c r="AA71">
        <f>VLOOKUP($A71,Sheet4!$A$2:$Q$122,11,FALSE)</f>
        <v>0.17874999999999999</v>
      </c>
      <c r="AB71">
        <f>VLOOKUP($A71,Sheet4!$A$2:$Q$122,12,FALSE)</f>
        <v>8.1250000000000003E-2</v>
      </c>
      <c r="AC71">
        <f>VLOOKUP($A71,Sheet4!$A$2:$Q$122,13,FALSE)</f>
        <v>0.30095</v>
      </c>
      <c r="AD71">
        <f>VLOOKUP($A71,Sheet4!$A$2:$Q$122,14,FALSE)</f>
        <v>1.28</v>
      </c>
      <c r="AE71">
        <f>VLOOKUP($A71,Sheet4!$A$2:$Q$122,15,FALSE)</f>
        <v>0.19583999999999999</v>
      </c>
      <c r="AF71">
        <f>VLOOKUP($A71,Sheet4!$A$2:$Q$122,16,FALSE)</f>
        <v>9.2672000000000004E-2</v>
      </c>
      <c r="AG71">
        <f>VLOOKUP($A71,Sheet4!$A$2:$Q$122,17,FALSE)</f>
        <v>0.68608000000000002</v>
      </c>
    </row>
    <row r="72" spans="1:33" x14ac:dyDescent="0.3">
      <c r="A72" s="22">
        <v>577</v>
      </c>
      <c r="B72" s="27" t="str">
        <f>VLOOKUP($A72, Sheet5!$A$1:$E$119,2,FALSE)</f>
        <v>IBD</v>
      </c>
      <c r="C72" s="27" t="str">
        <f>VLOOKUP($A72, Sheet5!$A$1:$E$119,3,FALSE)</f>
        <v>otu_2</v>
      </c>
      <c r="D72" s="27" t="str">
        <f>VLOOKUP($A72, Sheet5!$A$1:$E$119,4,FALSE)</f>
        <v>M</v>
      </c>
      <c r="E72" s="27">
        <f>VLOOKUP($A72, Sheet5!$A$1:$E$119,5,FALSE)</f>
        <v>5</v>
      </c>
      <c r="F72" s="86"/>
      <c r="G72" s="86"/>
      <c r="H72" s="86"/>
      <c r="I72" s="95">
        <v>1.6049999999999998E-2</v>
      </c>
      <c r="J72" s="95">
        <v>0.21079000000000001</v>
      </c>
      <c r="K72" s="95">
        <v>8.1472081218274121E-4</v>
      </c>
      <c r="L72">
        <v>0.25590999999999997</v>
      </c>
      <c r="M72">
        <v>2.1027000000000001E-2</v>
      </c>
      <c r="N72">
        <v>1.339299363057325E-3</v>
      </c>
      <c r="O72">
        <v>0.49469000000000002</v>
      </c>
      <c r="P72">
        <v>3.4965000000000003E-2</v>
      </c>
      <c r="Q72">
        <v>1.8306282722513089E-3</v>
      </c>
      <c r="R72">
        <f>VLOOKUP($A72,Sheet4!$A$2:$Q$122,2,FALSE)</f>
        <v>0.58799999999999997</v>
      </c>
      <c r="S72">
        <f>VLOOKUP($A72,Sheet4!$A$2:$Q$122,3,FALSE)</f>
        <v>4.7686800000000001E-2</v>
      </c>
      <c r="T72">
        <f>VLOOKUP($A72,Sheet4!$A$2:$Q$122,4,FALSE)</f>
        <v>3.4339199999999993E-2</v>
      </c>
      <c r="U72">
        <f>VLOOKUP($A72,Sheet4!$A$2:$Q$122,5,FALSE)</f>
        <v>0.20638799999999999</v>
      </c>
      <c r="V72">
        <f>VLOOKUP($A72,Sheet4!$A$2:$Q$122,6,FALSE)</f>
        <v>0.48799999999999999</v>
      </c>
      <c r="W72">
        <f>VLOOKUP($A72,Sheet4!$A$2:$Q$122,7,FALSE)</f>
        <v>4.9776000000000001E-2</v>
      </c>
      <c r="X72">
        <f>VLOOKUP($A72,Sheet4!$A$2:$Q$122,8,FALSE)</f>
        <v>1.40544E-2</v>
      </c>
      <c r="Y72">
        <f>VLOOKUP($A72,Sheet4!$A$2:$Q$122,9,FALSE)</f>
        <v>0.35184799999999994</v>
      </c>
      <c r="Z72">
        <f>VLOOKUP($A72,Sheet4!$A$2:$Q$122,10,FALSE)</f>
        <v>28.2</v>
      </c>
      <c r="AA72">
        <f>VLOOKUP($A72,Sheet4!$A$2:$Q$122,11,FALSE)</f>
        <v>1.9852799999999999</v>
      </c>
      <c r="AB72">
        <f>VLOOKUP($A72,Sheet4!$A$2:$Q$122,12,FALSE)</f>
        <v>0.37788000000000005</v>
      </c>
      <c r="AC72">
        <f>VLOOKUP($A72,Sheet4!$A$2:$Q$122,13,FALSE)</f>
        <v>15.368999999999998</v>
      </c>
      <c r="AD72">
        <f>VLOOKUP($A72,Sheet4!$A$2:$Q$122,14,FALSE)</f>
        <v>0.75</v>
      </c>
      <c r="AE72">
        <f>VLOOKUP($A72,Sheet4!$A$2:$Q$122,15,FALSE)</f>
        <v>0.15675</v>
      </c>
      <c r="AF72">
        <f>VLOOKUP($A72,Sheet4!$A$2:$Q$122,16,FALSE)</f>
        <v>0.03</v>
      </c>
      <c r="AG72">
        <f>VLOOKUP($A72,Sheet4!$A$2:$Q$122,17,FALSE)</f>
        <v>0.33224999999999993</v>
      </c>
    </row>
    <row r="73" spans="1:33" x14ac:dyDescent="0.3">
      <c r="A73" s="70">
        <v>578</v>
      </c>
      <c r="B73" s="27" t="str">
        <f>VLOOKUP($A73, Sheet5!$A$1:$E$119,2,FALSE)</f>
        <v>IBD</v>
      </c>
      <c r="C73" s="27" t="str">
        <f>VLOOKUP($A73, Sheet5!$A$1:$E$119,3,FALSE)</f>
        <v>otu_2</v>
      </c>
      <c r="D73" s="27" t="str">
        <f>VLOOKUP($A73, Sheet5!$A$1:$E$119,4,FALSE)</f>
        <v>M</v>
      </c>
      <c r="E73" s="27">
        <f>VLOOKUP($A73, Sheet5!$A$1:$E$119,5,FALSE)</f>
        <v>1</v>
      </c>
      <c r="F73" s="67">
        <v>0.15787399999999999</v>
      </c>
      <c r="G73" s="67">
        <v>7.5256000000000003E-2</v>
      </c>
      <c r="H73" s="67">
        <v>1.9496373056994819E-2</v>
      </c>
      <c r="I73" s="95">
        <v>0.18060099999999998</v>
      </c>
      <c r="J73" s="95">
        <v>0.149927</v>
      </c>
      <c r="K73" s="95">
        <v>3.7703757828810018E-2</v>
      </c>
      <c r="L73">
        <v>5.4279999999999988E-2</v>
      </c>
      <c r="M73">
        <v>0.30819999999999997</v>
      </c>
      <c r="N73">
        <v>0.13059322033898307</v>
      </c>
      <c r="O73">
        <v>8.7120000000000003E-2</v>
      </c>
      <c r="P73">
        <v>0.70079999999999998</v>
      </c>
      <c r="Q73">
        <v>0.19305785123966943</v>
      </c>
      <c r="R73">
        <f>VLOOKUP($A73,Sheet4!$A$2:$Q$122,2,FALSE)</f>
        <v>4.59</v>
      </c>
      <c r="S73">
        <f>VLOOKUP($A73,Sheet4!$A$2:$Q$122,3,FALSE)</f>
        <v>0.19002599999999997</v>
      </c>
      <c r="T73">
        <f>VLOOKUP($A73,Sheet4!$A$2:$Q$122,4,FALSE)</f>
        <v>3.4424999999999998E-3</v>
      </c>
      <c r="U73">
        <f>VLOOKUP($A73,Sheet4!$A$2:$Q$122,5,FALSE)</f>
        <v>3.4470899999999993</v>
      </c>
      <c r="V73">
        <f>VLOOKUP($A73,Sheet4!$A$2:$Q$122,6,FALSE)</f>
        <v>5.64</v>
      </c>
      <c r="W73">
        <f>VLOOKUP($A73,Sheet4!$A$2:$Q$122,7,FALSE)</f>
        <v>0.103212</v>
      </c>
      <c r="X73">
        <f>VLOOKUP($A73,Sheet4!$A$2:$Q$122,8,FALSE)</f>
        <v>3.0455999999999999E-3</v>
      </c>
      <c r="Y73">
        <f>VLOOKUP($A73,Sheet4!$A$2:$Q$122,9,FALSE)</f>
        <v>4.4725199999999994</v>
      </c>
      <c r="Z73">
        <f>VLOOKUP($A73,Sheet4!$A$2:$Q$122,10,FALSE)</f>
        <v>6.72</v>
      </c>
      <c r="AA73">
        <f>VLOOKUP($A73,Sheet4!$A$2:$Q$122,11,FALSE)</f>
        <v>4.3680000000000004E-2</v>
      </c>
      <c r="AB73">
        <f>VLOOKUP($A73,Sheet4!$A$2:$Q$122,12,FALSE)</f>
        <v>0</v>
      </c>
      <c r="AC73">
        <f>VLOOKUP($A73,Sheet4!$A$2:$Q$122,13,FALSE)</f>
        <v>5.2483199999999997</v>
      </c>
      <c r="AD73">
        <f>VLOOKUP($A73,Sheet4!$A$2:$Q$122,14,FALSE)</f>
        <v>0</v>
      </c>
      <c r="AE73">
        <f>VLOOKUP($A73,Sheet4!$A$2:$Q$122,15,FALSE)</f>
        <v>0</v>
      </c>
      <c r="AF73">
        <f>VLOOKUP($A73,Sheet4!$A$2:$Q$122,16,FALSE)</f>
        <v>0</v>
      </c>
      <c r="AG73">
        <f>VLOOKUP($A73,Sheet4!$A$2:$Q$122,17,FALSE)</f>
        <v>0</v>
      </c>
    </row>
    <row r="74" spans="1:33" x14ac:dyDescent="0.3">
      <c r="A74" s="70">
        <v>601</v>
      </c>
      <c r="B74" s="27" t="str">
        <f>VLOOKUP($A74, Sheet5!$A$1:$E$119,2,FALSE)</f>
        <v>IBD</v>
      </c>
      <c r="C74" s="27" t="str">
        <f>VLOOKUP($A74, Sheet5!$A$1:$E$119,3,FALSE)</f>
        <v>otu_2</v>
      </c>
      <c r="D74" s="27" t="str">
        <f>VLOOKUP($A74, Sheet5!$A$1:$E$119,4,FALSE)</f>
        <v>F</v>
      </c>
      <c r="E74" s="27">
        <f>VLOOKUP($A74, Sheet5!$A$1:$E$119,5,FALSE)</f>
        <v>2</v>
      </c>
      <c r="F74" s="67">
        <v>0.11966000000000002</v>
      </c>
      <c r="G74" s="67">
        <v>6.5619999999999998E-2</v>
      </c>
      <c r="H74" s="67">
        <v>0.21167741935483875</v>
      </c>
      <c r="I74" s="95">
        <v>2.6783999999999999E-2</v>
      </c>
      <c r="J74" s="95">
        <v>1.2383999999999999E-2</v>
      </c>
      <c r="K74" s="95">
        <v>0.62288372093023259</v>
      </c>
      <c r="R74">
        <f>VLOOKUP($A74,Sheet4!$A$2:$Q$122,2,FALSE)</f>
        <v>0</v>
      </c>
      <c r="S74">
        <f>VLOOKUP($A74,Sheet4!$A$2:$Q$122,3,FALSE)</f>
        <v>0</v>
      </c>
      <c r="T74">
        <f>VLOOKUP($A74,Sheet4!$A$2:$Q$122,4,FALSE)</f>
        <v>0</v>
      </c>
      <c r="U74">
        <f>VLOOKUP($A74,Sheet4!$A$2:$Q$122,5,FALSE)</f>
        <v>0</v>
      </c>
      <c r="V74">
        <f>VLOOKUP($A74,Sheet4!$A$2:$Q$122,6,FALSE)</f>
        <v>0</v>
      </c>
      <c r="W74">
        <f>VLOOKUP($A74,Sheet4!$A$2:$Q$122,7,FALSE)</f>
        <v>0</v>
      </c>
      <c r="X74">
        <f>VLOOKUP($A74,Sheet4!$A$2:$Q$122,8,FALSE)</f>
        <v>0</v>
      </c>
      <c r="Y74">
        <f>VLOOKUP($A74,Sheet4!$A$2:$Q$122,9,FALSE)</f>
        <v>0</v>
      </c>
      <c r="Z74">
        <f>VLOOKUP($A74,Sheet4!$A$2:$Q$122,10,FALSE)</f>
        <v>0</v>
      </c>
      <c r="AA74">
        <f>VLOOKUP($A74,Sheet4!$A$2:$Q$122,11,FALSE)</f>
        <v>0</v>
      </c>
      <c r="AB74">
        <f>VLOOKUP($A74,Sheet4!$A$2:$Q$122,12,FALSE)</f>
        <v>0</v>
      </c>
      <c r="AC74">
        <f>VLOOKUP($A74,Sheet4!$A$2:$Q$122,13,FALSE)</f>
        <v>0</v>
      </c>
      <c r="AD74">
        <f>VLOOKUP($A74,Sheet4!$A$2:$Q$122,14,FALSE)</f>
        <v>0</v>
      </c>
      <c r="AE74">
        <f>VLOOKUP($A74,Sheet4!$A$2:$Q$122,15,FALSE)</f>
        <v>0</v>
      </c>
      <c r="AF74">
        <f>VLOOKUP($A74,Sheet4!$A$2:$Q$122,16,FALSE)</f>
        <v>0</v>
      </c>
      <c r="AG74">
        <f>VLOOKUP($A74,Sheet4!$A$2:$Q$122,17,FALSE)</f>
        <v>0</v>
      </c>
    </row>
    <row r="75" spans="1:33" x14ac:dyDescent="0.3">
      <c r="A75" s="27">
        <v>604</v>
      </c>
      <c r="B75" s="27" t="str">
        <f>VLOOKUP($A75, Sheet5!$A$1:$E$119,2,FALSE)</f>
        <v>Healthy</v>
      </c>
      <c r="C75" s="27" t="str">
        <f>VLOOKUP($A75, Sheet5!$A$1:$E$119,3,FALSE)</f>
        <v>otu_1</v>
      </c>
      <c r="D75" s="27" t="str">
        <f>VLOOKUP($A75, Sheet5!$A$1:$E$119,4,FALSE)</f>
        <v>M</v>
      </c>
      <c r="E75" s="27">
        <f>VLOOKUP($A75, Sheet5!$A$1:$E$119,5,FALSE)</f>
        <v>2</v>
      </c>
      <c r="F75" s="67">
        <v>0.10332000000000001</v>
      </c>
      <c r="G75" s="67">
        <v>1.8983999999999997E-2</v>
      </c>
      <c r="H75" s="67">
        <v>1.5434146341463412E-3</v>
      </c>
      <c r="I75" s="95">
        <v>3.4328000000000004E-2</v>
      </c>
      <c r="J75" s="95">
        <v>0.13888</v>
      </c>
      <c r="K75" s="95">
        <v>1.3841935483870967E-3</v>
      </c>
      <c r="L75" s="95">
        <v>0.24150000000000002</v>
      </c>
      <c r="M75" s="95">
        <v>6.0795000000000002E-2</v>
      </c>
      <c r="N75" s="95">
        <v>2.6432608695652177E-3</v>
      </c>
      <c r="O75">
        <v>0.29912999999999995</v>
      </c>
      <c r="P75">
        <v>2.1240000000000002E-2</v>
      </c>
      <c r="Q75">
        <v>7.1005917159763329E-2</v>
      </c>
      <c r="R75">
        <f>VLOOKUP($A75,Sheet4!$A$2:$Q$122,2,FALSE)</f>
        <v>0</v>
      </c>
      <c r="S75">
        <f>VLOOKUP($A75,Sheet4!$A$2:$Q$122,3,FALSE)</f>
        <v>0</v>
      </c>
      <c r="T75">
        <f>VLOOKUP($A75,Sheet4!$A$2:$Q$122,4,FALSE)</f>
        <v>0</v>
      </c>
      <c r="U75">
        <f>VLOOKUP($A75,Sheet4!$A$2:$Q$122,5,FALSE)</f>
        <v>0</v>
      </c>
      <c r="V75">
        <f>VLOOKUP($A75,Sheet4!$A$2:$Q$122,6,FALSE)</f>
        <v>1.43</v>
      </c>
      <c r="W75">
        <f>VLOOKUP($A75,Sheet4!$A$2:$Q$122,7,FALSE)</f>
        <v>0.40183000000000002</v>
      </c>
      <c r="X75">
        <f>VLOOKUP($A75,Sheet4!$A$2:$Q$122,8,FALSE)</f>
        <v>0.61776000000000009</v>
      </c>
      <c r="Y75">
        <f>VLOOKUP($A75,Sheet4!$A$2:$Q$122,9,FALSE)</f>
        <v>7.1785999999999989E-2</v>
      </c>
      <c r="Z75">
        <f>VLOOKUP($A75,Sheet4!$A$2:$Q$122,10,FALSE)</f>
        <v>0.88</v>
      </c>
      <c r="AA75">
        <f>VLOOKUP($A75,Sheet4!$A$2:$Q$122,11,FALSE)</f>
        <v>0.1188</v>
      </c>
      <c r="AB75">
        <f>VLOOKUP($A75,Sheet4!$A$2:$Q$122,12,FALSE)</f>
        <v>0.374</v>
      </c>
      <c r="AC75">
        <f>VLOOKUP($A75,Sheet4!$A$2:$Q$122,13,FALSE)</f>
        <v>6.1600000000000002E-2</v>
      </c>
      <c r="AD75">
        <f>VLOOKUP($A75,Sheet4!$A$2:$Q$122,14,FALSE)</f>
        <v>0.88</v>
      </c>
      <c r="AE75">
        <f>VLOOKUP($A75,Sheet4!$A$2:$Q$122,15,FALSE)</f>
        <v>0.11264000000000002</v>
      </c>
      <c r="AF75">
        <f>VLOOKUP($A75,Sheet4!$A$2:$Q$122,16,FALSE)</f>
        <v>0.28423999999999994</v>
      </c>
      <c r="AG75">
        <f>VLOOKUP($A75,Sheet4!$A$2:$Q$122,17,FALSE)</f>
        <v>6.7496E-2</v>
      </c>
    </row>
    <row r="76" spans="1:33" x14ac:dyDescent="0.3">
      <c r="A76" s="27">
        <v>612</v>
      </c>
      <c r="B76" s="27" t="str">
        <f>VLOOKUP($A76, Sheet5!$A$1:$E$119,2,FALSE)</f>
        <v>Healthy</v>
      </c>
      <c r="C76" s="27" t="str">
        <f>VLOOKUP($A76, Sheet5!$A$1:$E$119,3,FALSE)</f>
        <v>otu_1</v>
      </c>
      <c r="D76" s="27" t="str">
        <f>VLOOKUP($A76, Sheet5!$A$1:$E$119,4,FALSE)</f>
        <v>F</v>
      </c>
      <c r="E76" s="27">
        <f>VLOOKUP($A76, Sheet5!$A$1:$E$119,5,FALSE)</f>
        <v>4</v>
      </c>
      <c r="F76" s="67">
        <v>6.2780000000000002E-2</v>
      </c>
      <c r="G76" s="67">
        <v>2.0951000000000001E-2</v>
      </c>
      <c r="H76" s="67">
        <v>2.4361627906976744E-3</v>
      </c>
      <c r="I76" s="95">
        <v>2.3369999999999998E-2</v>
      </c>
      <c r="J76" s="95">
        <v>0.17712</v>
      </c>
      <c r="K76" s="95">
        <v>1.0819444444444444E-3</v>
      </c>
      <c r="L76" s="95">
        <v>0.51338000000000006</v>
      </c>
      <c r="M76" s="95">
        <v>4.1629000000000006E-2</v>
      </c>
      <c r="N76" s="95">
        <v>1.0784715025906736E-3</v>
      </c>
      <c r="O76">
        <v>0.36936000000000008</v>
      </c>
      <c r="P76">
        <v>2.6352E-2</v>
      </c>
      <c r="Q76">
        <v>7.1345029239766072E-2</v>
      </c>
      <c r="R76">
        <f>VLOOKUP($A76,Sheet4!$A$2:$Q$122,2,FALSE)</f>
        <v>0</v>
      </c>
      <c r="S76">
        <f>VLOOKUP($A76,Sheet4!$A$2:$Q$122,3,FALSE)</f>
        <v>0</v>
      </c>
      <c r="T76">
        <f>VLOOKUP($A76,Sheet4!$A$2:$Q$122,4,FALSE)</f>
        <v>0</v>
      </c>
      <c r="U76">
        <f>VLOOKUP($A76,Sheet4!$A$2:$Q$122,5,FALSE)</f>
        <v>0</v>
      </c>
      <c r="V76">
        <f>VLOOKUP($A76,Sheet4!$A$2:$Q$122,6,FALSE)</f>
        <v>1.23</v>
      </c>
      <c r="W76">
        <f>VLOOKUP($A76,Sheet4!$A$2:$Q$122,7,FALSE)</f>
        <v>0.48216000000000003</v>
      </c>
      <c r="X76">
        <f>VLOOKUP($A76,Sheet4!$A$2:$Q$122,8,FALSE)</f>
        <v>0.44402999999999998</v>
      </c>
      <c r="Y76">
        <f>VLOOKUP($A76,Sheet4!$A$2:$Q$122,9,FALSE)</f>
        <v>0.10959300000000001</v>
      </c>
      <c r="Z76">
        <f>VLOOKUP($A76,Sheet4!$A$2:$Q$122,10,FALSE)</f>
        <v>0.83</v>
      </c>
      <c r="AA76">
        <f>VLOOKUP($A76,Sheet4!$A$2:$Q$122,11,FALSE)</f>
        <v>0.13445999999999997</v>
      </c>
      <c r="AB76">
        <f>VLOOKUP($A76,Sheet4!$A$2:$Q$122,12,FALSE)</f>
        <v>0.32203999999999994</v>
      </c>
      <c r="AC76">
        <f>VLOOKUP($A76,Sheet4!$A$2:$Q$122,13,FALSE)</f>
        <v>5.9261999999999995E-2</v>
      </c>
      <c r="AD76">
        <f>VLOOKUP($A76,Sheet4!$A$2:$Q$122,14,FALSE)</f>
        <v>1.47</v>
      </c>
      <c r="AE76">
        <f>VLOOKUP($A76,Sheet4!$A$2:$Q$122,15,FALSE)</f>
        <v>0.42630000000000001</v>
      </c>
      <c r="AF76">
        <f>VLOOKUP($A76,Sheet4!$A$2:$Q$122,16,FALSE)</f>
        <v>0.51744000000000001</v>
      </c>
      <c r="AG76">
        <f>VLOOKUP($A76,Sheet4!$A$2:$Q$122,17,FALSE)</f>
        <v>0.142149</v>
      </c>
    </row>
    <row r="77" spans="1:33" x14ac:dyDescent="0.3">
      <c r="A77" s="27">
        <v>614</v>
      </c>
      <c r="B77" s="27" t="str">
        <f>VLOOKUP($A77, Sheet5!$A$1:$E$119,2,FALSE)</f>
        <v>Healthy</v>
      </c>
      <c r="C77" s="27" t="str">
        <f>VLOOKUP($A77, Sheet5!$A$1:$E$119,3,FALSE)</f>
        <v>otu_1</v>
      </c>
      <c r="D77" s="27" t="str">
        <f>VLOOKUP($A77, Sheet5!$A$1:$E$119,4,FALSE)</f>
        <v>F</v>
      </c>
      <c r="E77" s="27">
        <f>VLOOKUP($A77, Sheet5!$A$1:$E$119,5,FALSE)</f>
        <v>2</v>
      </c>
      <c r="F77" s="67">
        <v>0.14839999999999998</v>
      </c>
      <c r="G77" s="67">
        <v>2.1139999999999999E-2</v>
      </c>
      <c r="H77" s="67">
        <v>1.994339622641509E-3</v>
      </c>
      <c r="I77" s="67">
        <v>1.1856E-2</v>
      </c>
      <c r="J77" s="67">
        <v>0.28044000000000002</v>
      </c>
      <c r="K77" s="67">
        <v>4.8195121951219509E-4</v>
      </c>
      <c r="L77" s="67">
        <v>0.99059999999999993</v>
      </c>
      <c r="M77" s="67">
        <v>0.12558</v>
      </c>
      <c r="N77" s="67">
        <v>2.4720472440944883E-3</v>
      </c>
      <c r="O77">
        <v>0.40590000000000004</v>
      </c>
      <c r="P77">
        <v>9.2399999999999999E-3</v>
      </c>
      <c r="Q77">
        <v>2.2764227642276421E-2</v>
      </c>
      <c r="R77">
        <f>VLOOKUP($A77,Sheet4!$A$2:$Q$122,2,FALSE)</f>
        <v>0</v>
      </c>
      <c r="S77">
        <f>VLOOKUP($A77,Sheet4!$A$2:$Q$122,3,FALSE)</f>
        <v>0</v>
      </c>
      <c r="T77">
        <f>VLOOKUP($A77,Sheet4!$A$2:$Q$122,4,FALSE)</f>
        <v>0</v>
      </c>
      <c r="U77">
        <f>VLOOKUP($A77,Sheet4!$A$2:$Q$122,5,FALSE)</f>
        <v>0</v>
      </c>
      <c r="V77">
        <f>VLOOKUP($A77,Sheet4!$A$2:$Q$122,6,FALSE)</f>
        <v>0</v>
      </c>
      <c r="W77">
        <f>VLOOKUP($A77,Sheet4!$A$2:$Q$122,7,FALSE)</f>
        <v>0</v>
      </c>
      <c r="X77">
        <f>VLOOKUP($A77,Sheet4!$A$2:$Q$122,8,FALSE)</f>
        <v>0</v>
      </c>
      <c r="Y77">
        <f>VLOOKUP($A77,Sheet4!$A$2:$Q$122,9,FALSE)</f>
        <v>0</v>
      </c>
      <c r="Z77">
        <f>VLOOKUP($A77,Sheet4!$A$2:$Q$122,10,FALSE)</f>
        <v>0</v>
      </c>
      <c r="AA77">
        <f>VLOOKUP($A77,Sheet4!$A$2:$Q$122,11,FALSE)</f>
        <v>0</v>
      </c>
      <c r="AB77">
        <f>VLOOKUP($A77,Sheet4!$A$2:$Q$122,12,FALSE)</f>
        <v>0</v>
      </c>
      <c r="AC77">
        <f>VLOOKUP($A77,Sheet4!$A$2:$Q$122,13,FALSE)</f>
        <v>0</v>
      </c>
      <c r="AD77">
        <f>VLOOKUP($A77,Sheet4!$A$2:$Q$122,14,FALSE)</f>
        <v>0</v>
      </c>
      <c r="AE77">
        <f>VLOOKUP($A77,Sheet4!$A$2:$Q$122,15,FALSE)</f>
        <v>0</v>
      </c>
      <c r="AF77">
        <f>VLOOKUP($A77,Sheet4!$A$2:$Q$122,16,FALSE)</f>
        <v>0</v>
      </c>
      <c r="AG77">
        <f>VLOOKUP($A77,Sheet4!$A$2:$Q$122,17,FALSE)</f>
        <v>0</v>
      </c>
    </row>
    <row r="78" spans="1:33" x14ac:dyDescent="0.3">
      <c r="A78" s="27">
        <v>617</v>
      </c>
      <c r="B78" s="27" t="str">
        <f>VLOOKUP($A78, Sheet5!$A$1:$E$119,2,FALSE)</f>
        <v>Healthy</v>
      </c>
      <c r="C78" s="27" t="str">
        <f>VLOOKUP($A78, Sheet5!$A$1:$E$119,3,FALSE)</f>
        <v>otu_1</v>
      </c>
      <c r="D78" s="27" t="str">
        <f>VLOOKUP($A78, Sheet5!$A$1:$E$119,4,FALSE)</f>
        <v>F</v>
      </c>
      <c r="E78" s="27">
        <f>VLOOKUP($A78, Sheet5!$A$1:$E$119,5,FALSE)</f>
        <v>1</v>
      </c>
      <c r="F78" s="67">
        <v>0.37619999999999998</v>
      </c>
      <c r="G78" s="67">
        <v>0.10545000000000002</v>
      </c>
      <c r="H78" s="67">
        <v>7.9886363636363644E-3</v>
      </c>
      <c r="I78">
        <v>1.7547999999999998E-2</v>
      </c>
      <c r="J78">
        <v>0.27551999999999999</v>
      </c>
      <c r="K78">
        <v>5.2226190476190471E-4</v>
      </c>
      <c r="L78">
        <v>0.11952</v>
      </c>
      <c r="M78">
        <v>4.2335999999999999E-2</v>
      </c>
      <c r="N78">
        <v>2.5503614457831319E-3</v>
      </c>
      <c r="R78">
        <f>VLOOKUP($A78,Sheet4!$A$2:$Q$122,2,FALSE)</f>
        <v>6.2200000000000006</v>
      </c>
      <c r="S78">
        <f>VLOOKUP($A78,Sheet4!$A$2:$Q$122,3,FALSE)</f>
        <v>0.44473000000000007</v>
      </c>
      <c r="T78">
        <f>VLOOKUP($A78,Sheet4!$A$2:$Q$122,4,FALSE)</f>
        <v>0</v>
      </c>
      <c r="U78">
        <f>VLOOKUP($A78,Sheet4!$A$2:$Q$122,5,FALSE)</f>
        <v>0.47272000000000003</v>
      </c>
      <c r="V78">
        <f>VLOOKUP($A78,Sheet4!$A$2:$Q$122,6,FALSE)</f>
        <v>7.4</v>
      </c>
      <c r="W78">
        <f>VLOOKUP($A78,Sheet4!$A$2:$Q$122,7,FALSE)</f>
        <v>0.79920000000000013</v>
      </c>
      <c r="X78">
        <f>VLOOKUP($A78,Sheet4!$A$2:$Q$122,8,FALSE)</f>
        <v>1.7908000000000002</v>
      </c>
      <c r="Y78">
        <f>VLOOKUP($A78,Sheet4!$A$2:$Q$122,9,FALSE)</f>
        <v>0.37962000000000001</v>
      </c>
      <c r="Z78">
        <f>VLOOKUP($A78,Sheet4!$A$2:$Q$122,10,FALSE)</f>
        <v>3.92</v>
      </c>
      <c r="AA78">
        <f>VLOOKUP($A78,Sheet4!$A$2:$Q$122,11,FALSE)</f>
        <v>0.16189599999999998</v>
      </c>
      <c r="AB78">
        <f>VLOOKUP($A78,Sheet4!$A$2:$Q$122,12,FALSE)</f>
        <v>1.0387999999999999</v>
      </c>
      <c r="AC78">
        <f>VLOOKUP($A78,Sheet4!$A$2:$Q$122,13,FALSE)</f>
        <v>0.15523199999999998</v>
      </c>
      <c r="AD78">
        <f>VLOOKUP($A78,Sheet4!$A$2:$Q$122,14,FALSE)</f>
        <v>7.9399999999999995</v>
      </c>
      <c r="AE78">
        <f>VLOOKUP($A78,Sheet4!$A$2:$Q$122,15,FALSE)</f>
        <v>0.71380600000000005</v>
      </c>
      <c r="AF78">
        <f>VLOOKUP($A78,Sheet4!$A$2:$Q$122,16,FALSE)</f>
        <v>2.1358599999999996</v>
      </c>
      <c r="AG78">
        <f>VLOOKUP($A78,Sheet4!$A$2:$Q$122,17,FALSE)</f>
        <v>0.74080199999999996</v>
      </c>
    </row>
    <row r="79" spans="1:33" x14ac:dyDescent="0.3">
      <c r="A79" s="27">
        <v>669</v>
      </c>
      <c r="B79" s="27" t="str">
        <f>VLOOKUP($A79, Sheet5!$A$1:$E$119,2,FALSE)</f>
        <v>Healthy</v>
      </c>
      <c r="C79" s="27" t="str">
        <f>VLOOKUP($A79, Sheet5!$A$1:$E$119,3,FALSE)</f>
        <v>otu_1</v>
      </c>
      <c r="D79" s="27" t="str">
        <f>VLOOKUP($A79, Sheet5!$A$1:$E$119,4,FALSE)</f>
        <v>M</v>
      </c>
      <c r="E79" s="27">
        <f>VLOOKUP($A79, Sheet5!$A$1:$E$119,5,FALSE)</f>
        <v>1</v>
      </c>
      <c r="F79" s="67">
        <v>0.1278</v>
      </c>
      <c r="G79" s="67">
        <v>1.7235E-2</v>
      </c>
      <c r="H79" s="67">
        <v>6.0686619718309869E-4</v>
      </c>
      <c r="I79" s="67">
        <v>2.6774999999999997E-2</v>
      </c>
      <c r="J79" s="67">
        <v>0.33574999999999994</v>
      </c>
      <c r="K79" s="67">
        <v>6.7784810126582276E-4</v>
      </c>
      <c r="L79" s="67">
        <v>0.48424999999999996</v>
      </c>
      <c r="M79" s="67">
        <v>0.10355500000000001</v>
      </c>
      <c r="N79" s="67">
        <v>3.1863076923076923E-3</v>
      </c>
      <c r="O79">
        <v>0.16739999999999999</v>
      </c>
      <c r="P79">
        <v>2.4304000000000003E-2</v>
      </c>
      <c r="Q79">
        <v>0.14518518518518519</v>
      </c>
      <c r="R79">
        <f>VLOOKUP($A79,Sheet4!$A$2:$Q$122,2,FALSE)</f>
        <v>0</v>
      </c>
      <c r="S79">
        <f>VLOOKUP($A79,Sheet4!$A$2:$Q$122,3,FALSE)</f>
        <v>0</v>
      </c>
      <c r="T79">
        <f>VLOOKUP($A79,Sheet4!$A$2:$Q$122,4,FALSE)</f>
        <v>0</v>
      </c>
      <c r="U79">
        <f>VLOOKUP($A79,Sheet4!$A$2:$Q$122,5,FALSE)</f>
        <v>0</v>
      </c>
      <c r="V79">
        <f>VLOOKUP($A79,Sheet4!$A$2:$Q$122,6,FALSE)</f>
        <v>1.23</v>
      </c>
      <c r="W79">
        <f>VLOOKUP($A79,Sheet4!$A$2:$Q$122,7,FALSE)</f>
        <v>0.32594999999999996</v>
      </c>
      <c r="X79">
        <f>VLOOKUP($A79,Sheet4!$A$2:$Q$122,8,FALSE)</f>
        <v>0.35792999999999997</v>
      </c>
      <c r="Y79">
        <f>VLOOKUP($A79,Sheet4!$A$2:$Q$122,9,FALSE)</f>
        <v>9.8768999999999996E-2</v>
      </c>
      <c r="Z79">
        <f>VLOOKUP($A79,Sheet4!$A$2:$Q$122,10,FALSE)</f>
        <v>1.39</v>
      </c>
      <c r="AA79">
        <f>VLOOKUP($A79,Sheet4!$A$2:$Q$122,11,FALSE)</f>
        <v>0.21267</v>
      </c>
      <c r="AB79">
        <f>VLOOKUP($A79,Sheet4!$A$2:$Q$122,12,FALSE)</f>
        <v>0.69360999999999995</v>
      </c>
      <c r="AC79">
        <f>VLOOKUP($A79,Sheet4!$A$2:$Q$122,13,FALSE)</f>
        <v>8.3122000000000001E-2</v>
      </c>
      <c r="AD79">
        <f>VLOOKUP($A79,Sheet4!$A$2:$Q$122,14,FALSE)</f>
        <v>1.23</v>
      </c>
      <c r="AE79">
        <f>VLOOKUP($A79,Sheet4!$A$2:$Q$122,15,FALSE)</f>
        <v>0.18695999999999999</v>
      </c>
      <c r="AF79">
        <f>VLOOKUP($A79,Sheet4!$A$2:$Q$122,16,FALSE)</f>
        <v>0.54735</v>
      </c>
      <c r="AG79">
        <f>VLOOKUP($A79,Sheet4!$A$2:$Q$122,17,FALSE)</f>
        <v>5.2275000000000002E-2</v>
      </c>
    </row>
    <row r="80" spans="1:33" x14ac:dyDescent="0.3">
      <c r="A80" s="27">
        <v>674</v>
      </c>
      <c r="B80" s="27" t="str">
        <f>VLOOKUP($A80, Sheet5!$A$1:$E$119,2,FALSE)</f>
        <v>Healthy</v>
      </c>
      <c r="C80" s="27" t="str">
        <f>VLOOKUP($A80, Sheet5!$A$1:$E$119,3,FALSE)</f>
        <v>otu_1</v>
      </c>
      <c r="D80" s="27" t="str">
        <f>VLOOKUP($A80, Sheet5!$A$1:$E$119,4,FALSE)</f>
        <v>M</v>
      </c>
      <c r="E80" s="27">
        <f>VLOOKUP($A80, Sheet5!$A$1:$E$119,5,FALSE)</f>
        <v>2</v>
      </c>
      <c r="F80" s="67">
        <v>8.9109999999999996</v>
      </c>
      <c r="G80" s="67">
        <v>0.70109999999999995</v>
      </c>
      <c r="H80" s="67">
        <v>1.4948827292110873E-2</v>
      </c>
      <c r="I80">
        <v>0.5865459999999999</v>
      </c>
      <c r="J80">
        <v>4.4415300000000002</v>
      </c>
      <c r="K80">
        <v>1.2453205944798301E-2</v>
      </c>
      <c r="L80">
        <v>3.3832200000000001</v>
      </c>
      <c r="M80">
        <v>0.35798400000000002</v>
      </c>
      <c r="N80">
        <v>7.1740280561122258E-3</v>
      </c>
      <c r="O80">
        <v>0.54991999999999996</v>
      </c>
      <c r="P80">
        <v>0.25591999999999998</v>
      </c>
      <c r="Q80">
        <v>0.46537678207739308</v>
      </c>
      <c r="R80">
        <f>VLOOKUP($A80,Sheet4!$A$2:$Q$122,2,FALSE)</f>
        <v>4.67</v>
      </c>
      <c r="S80">
        <f>VLOOKUP($A80,Sheet4!$A$2:$Q$122,3,FALSE)</f>
        <v>1.5084099999999998</v>
      </c>
      <c r="T80">
        <f>VLOOKUP($A80,Sheet4!$A$2:$Q$122,4,FALSE)</f>
        <v>0.56040000000000001</v>
      </c>
      <c r="U80">
        <f>VLOOKUP($A80,Sheet4!$A$2:$Q$122,5,FALSE)</f>
        <v>0.8732899999999999</v>
      </c>
      <c r="V80">
        <f>VLOOKUP($A80,Sheet4!$A$2:$Q$122,6,FALSE)</f>
        <v>9.91</v>
      </c>
      <c r="W80">
        <f>VLOOKUP($A80,Sheet4!$A$2:$Q$122,7,FALSE)</f>
        <v>2.73516</v>
      </c>
      <c r="X80">
        <f>VLOOKUP($A80,Sheet4!$A$2:$Q$122,8,FALSE)</f>
        <v>2.2594799999999999</v>
      </c>
      <c r="Y80">
        <f>VLOOKUP($A80,Sheet4!$A$2:$Q$122,9,FALSE)</f>
        <v>1.1594699999999998</v>
      </c>
      <c r="Z80">
        <f>VLOOKUP($A80,Sheet4!$A$2:$Q$122,10,FALSE)</f>
        <v>9.83</v>
      </c>
      <c r="AA80">
        <f>VLOOKUP($A80,Sheet4!$A$2:$Q$122,11,FALSE)</f>
        <v>1.5531400000000002</v>
      </c>
      <c r="AB80">
        <f>VLOOKUP($A80,Sheet4!$A$2:$Q$122,12,FALSE)</f>
        <v>3.4896499999999997</v>
      </c>
      <c r="AC80">
        <f>VLOOKUP($A80,Sheet4!$A$2:$Q$122,13,FALSE)</f>
        <v>0.57308899999999996</v>
      </c>
      <c r="AD80">
        <f>VLOOKUP($A80,Sheet4!$A$2:$Q$122,14,FALSE)</f>
        <v>9.23</v>
      </c>
      <c r="AE80">
        <f>VLOOKUP($A80,Sheet4!$A$2:$Q$122,15,FALSE)</f>
        <v>1.9844500000000003</v>
      </c>
      <c r="AF80">
        <f>VLOOKUP($A80,Sheet4!$A$2:$Q$122,16,FALSE)</f>
        <v>2.4736400000000001</v>
      </c>
      <c r="AG80">
        <f>VLOOKUP($A80,Sheet4!$A$2:$Q$122,17,FALSE)</f>
        <v>0.57410600000000001</v>
      </c>
    </row>
    <row r="81" spans="1:33" x14ac:dyDescent="0.3">
      <c r="A81" s="27">
        <v>676</v>
      </c>
      <c r="B81" s="27" t="str">
        <f>VLOOKUP($A81, Sheet5!$A$1:$E$119,2,FALSE)</f>
        <v>Healthy</v>
      </c>
      <c r="C81" s="27" t="str">
        <f>VLOOKUP($A81, Sheet5!$A$1:$E$119,3,FALSE)</f>
        <v>otu_1</v>
      </c>
      <c r="D81" s="27" t="str">
        <f>VLOOKUP($A81, Sheet5!$A$1:$E$119,4,FALSE)</f>
        <v>M</v>
      </c>
      <c r="E81" s="27">
        <f>VLOOKUP($A81, Sheet5!$A$1:$E$119,5,FALSE)</f>
        <v>0</v>
      </c>
      <c r="F81" s="67">
        <v>0.14129999999999998</v>
      </c>
      <c r="G81" s="67">
        <v>1.9710000000000002E-2</v>
      </c>
      <c r="H81" s="67">
        <v>6.2770700636942682E-4</v>
      </c>
      <c r="I81" s="95">
        <v>5.3040000000000006E-3</v>
      </c>
      <c r="J81" s="95">
        <v>5.3040000000000004E-2</v>
      </c>
      <c r="K81" s="95">
        <v>1.7000000000000001E-4</v>
      </c>
      <c r="L81" s="95">
        <v>0.26268000000000002</v>
      </c>
      <c r="M81" s="95">
        <v>7.7219999999999997E-2</v>
      </c>
      <c r="N81" s="95">
        <v>3.8804020100502512E-3</v>
      </c>
      <c r="R81">
        <f>VLOOKUP($A81,Sheet4!$A$2:$Q$122,2,FALSE)</f>
        <v>0</v>
      </c>
      <c r="S81">
        <f>VLOOKUP($A81,Sheet4!$A$2:$Q$122,3,FALSE)</f>
        <v>0</v>
      </c>
      <c r="T81">
        <f>VLOOKUP($A81,Sheet4!$A$2:$Q$122,4,FALSE)</f>
        <v>0</v>
      </c>
      <c r="U81">
        <f>VLOOKUP($A81,Sheet4!$A$2:$Q$122,5,FALSE)</f>
        <v>0</v>
      </c>
      <c r="V81">
        <f>VLOOKUP($A81,Sheet4!$A$2:$Q$122,6,FALSE)</f>
        <v>0.47</v>
      </c>
      <c r="W81">
        <f>VLOOKUP($A81,Sheet4!$A$2:$Q$122,7,FALSE)</f>
        <v>0.11937999999999999</v>
      </c>
      <c r="X81">
        <f>VLOOKUP($A81,Sheet4!$A$2:$Q$122,8,FALSE)</f>
        <v>5.5460000000000002E-2</v>
      </c>
      <c r="Y81">
        <f>VLOOKUP($A81,Sheet4!$A$2:$Q$122,9,FALSE)</f>
        <v>0.14757999999999999</v>
      </c>
      <c r="Z81">
        <f>VLOOKUP($A81,Sheet4!$A$2:$Q$122,10,FALSE)</f>
        <v>0.78</v>
      </c>
      <c r="AA81">
        <f>VLOOKUP($A81,Sheet4!$A$2:$Q$122,11,FALSE)</f>
        <v>0.11154000000000001</v>
      </c>
      <c r="AB81">
        <f>VLOOKUP($A81,Sheet4!$A$2:$Q$122,12,FALSE)</f>
        <v>0.20826</v>
      </c>
      <c r="AC81">
        <f>VLOOKUP($A81,Sheet4!$A$2:$Q$122,13,FALSE)</f>
        <v>0.18408000000000002</v>
      </c>
      <c r="AD81">
        <f>VLOOKUP($A81,Sheet4!$A$2:$Q$122,14,FALSE)</f>
        <v>0.61</v>
      </c>
      <c r="AE81">
        <f>VLOOKUP($A81,Sheet4!$A$2:$Q$122,15,FALSE)</f>
        <v>0.26229999999999998</v>
      </c>
      <c r="AF81">
        <f>VLOOKUP($A81,Sheet4!$A$2:$Q$122,16,FALSE)</f>
        <v>0.15006</v>
      </c>
      <c r="AG81">
        <f>VLOOKUP($A81,Sheet4!$A$2:$Q$122,17,FALSE)</f>
        <v>0.10064999999999999</v>
      </c>
    </row>
    <row r="82" spans="1:33" x14ac:dyDescent="0.3">
      <c r="A82" s="27">
        <v>677</v>
      </c>
      <c r="B82" s="27" t="str">
        <f>VLOOKUP($A82, Sheet5!$A$1:$E$119,2,FALSE)</f>
        <v>Healthy</v>
      </c>
      <c r="C82" s="27" t="str">
        <f>VLOOKUP($A82, Sheet5!$A$1:$E$119,3,FALSE)</f>
        <v>otu_1</v>
      </c>
      <c r="D82" s="27" t="str">
        <f>VLOOKUP($A82, Sheet5!$A$1:$E$119,4,FALSE)</f>
        <v>M</v>
      </c>
      <c r="E82" s="27">
        <f>VLOOKUP($A82, Sheet5!$A$1:$E$119,5,FALSE)</f>
        <v>2</v>
      </c>
      <c r="F82" s="67">
        <v>5.2635000000000005</v>
      </c>
      <c r="G82" s="67">
        <v>0.28391</v>
      </c>
      <c r="H82" s="67">
        <v>1.7206666666666665E-2</v>
      </c>
      <c r="I82">
        <v>8.5652000000000006E-2</v>
      </c>
      <c r="J82">
        <v>1.34596</v>
      </c>
      <c r="K82">
        <v>2.7809090909090904E-3</v>
      </c>
      <c r="L82">
        <v>1.72695</v>
      </c>
      <c r="M82">
        <v>0.150945</v>
      </c>
      <c r="N82">
        <v>3.8021410579345081E-3</v>
      </c>
      <c r="O82">
        <v>0.50616000000000005</v>
      </c>
      <c r="P82">
        <v>6.3840000000000008E-2</v>
      </c>
      <c r="Q82">
        <v>0.12612612612612611</v>
      </c>
      <c r="R82">
        <f>VLOOKUP($A82,Sheet4!$A$2:$Q$122,2,FALSE)</f>
        <v>9.41</v>
      </c>
      <c r="S82">
        <f>VLOOKUP($A82,Sheet4!$A$2:$Q$122,3,FALSE)</f>
        <v>0</v>
      </c>
      <c r="T82">
        <f>VLOOKUP($A82,Sheet4!$A$2:$Q$122,4,FALSE)</f>
        <v>0.84784099999999996</v>
      </c>
      <c r="U82">
        <f>VLOOKUP($A82,Sheet4!$A$2:$Q$122,5,FALSE)</f>
        <v>2.1831199999999997</v>
      </c>
      <c r="V82">
        <f>VLOOKUP($A82,Sheet4!$A$2:$Q$122,6,FALSE)</f>
        <v>6.6400000000000006</v>
      </c>
      <c r="W82">
        <f>VLOOKUP($A82,Sheet4!$A$2:$Q$122,7,FALSE)</f>
        <v>0.72376000000000007</v>
      </c>
      <c r="X82">
        <f>VLOOKUP($A82,Sheet4!$A$2:$Q$122,8,FALSE)</f>
        <v>1.5803200000000002</v>
      </c>
      <c r="Y82">
        <f>VLOOKUP($A82,Sheet4!$A$2:$Q$122,9,FALSE)</f>
        <v>0.54182400000000008</v>
      </c>
      <c r="Z82">
        <f>VLOOKUP($A82,Sheet4!$A$2:$Q$122,10,FALSE)</f>
        <v>11.38</v>
      </c>
      <c r="AA82">
        <f>VLOOKUP($A82,Sheet4!$A$2:$Q$122,11,FALSE)</f>
        <v>1.3428400000000003</v>
      </c>
      <c r="AB82">
        <f>VLOOKUP($A82,Sheet4!$A$2:$Q$122,12,FALSE)</f>
        <v>5.2689399999999997</v>
      </c>
      <c r="AC82">
        <f>VLOOKUP($A82,Sheet4!$A$2:$Q$122,13,FALSE)</f>
        <v>0.30498400000000003</v>
      </c>
      <c r="AD82">
        <f>VLOOKUP($A82,Sheet4!$A$2:$Q$122,14,FALSE)</f>
        <v>13</v>
      </c>
      <c r="AE82">
        <f>VLOOKUP($A82,Sheet4!$A$2:$Q$122,15,FALSE)</f>
        <v>0</v>
      </c>
      <c r="AF82">
        <f>VLOOKUP($A82,Sheet4!$A$2:$Q$122,16,FALSE)</f>
        <v>5.4210000000000003</v>
      </c>
      <c r="AG82">
        <f>VLOOKUP($A82,Sheet4!$A$2:$Q$122,17,FALSE)</f>
        <v>0.82810000000000006</v>
      </c>
    </row>
    <row r="83" spans="1:33" x14ac:dyDescent="0.3">
      <c r="A83" s="70">
        <v>689</v>
      </c>
      <c r="B83" s="27" t="str">
        <f>VLOOKUP($A83, Sheet5!$A$1:$E$119,2,FALSE)</f>
        <v>IBD</v>
      </c>
      <c r="C83" s="27" t="str">
        <f>VLOOKUP($A83, Sheet5!$A$1:$E$119,3,FALSE)</f>
        <v>otu_2</v>
      </c>
      <c r="D83" s="27" t="str">
        <f>VLOOKUP($A83, Sheet5!$A$1:$E$119,4,FALSE)</f>
        <v>M</v>
      </c>
      <c r="E83" s="27">
        <f>VLOOKUP($A83, Sheet5!$A$1:$E$119,5,FALSE)</f>
        <v>7</v>
      </c>
      <c r="F83" s="76"/>
      <c r="G83" s="76"/>
      <c r="H83" s="76"/>
      <c r="I83" s="60"/>
      <c r="J83" s="60"/>
      <c r="K83" s="60"/>
      <c r="L83" s="45"/>
      <c r="M83" s="45"/>
      <c r="N83" s="45"/>
      <c r="R83">
        <f>VLOOKUP($A83,Sheet4!$A$2:$Q$122,2,FALSE)</f>
        <v>0</v>
      </c>
      <c r="S83">
        <f>VLOOKUP($A83,Sheet4!$A$2:$Q$122,3,FALSE)</f>
        <v>0</v>
      </c>
      <c r="T83">
        <f>VLOOKUP($A83,Sheet4!$A$2:$Q$122,4,FALSE)</f>
        <v>0</v>
      </c>
      <c r="U83">
        <f>VLOOKUP($A83,Sheet4!$A$2:$Q$122,5,FALSE)</f>
        <v>0</v>
      </c>
      <c r="V83">
        <f>VLOOKUP($A83,Sheet4!$A$2:$Q$122,6,FALSE)</f>
        <v>0</v>
      </c>
      <c r="W83">
        <f>VLOOKUP($A83,Sheet4!$A$2:$Q$122,7,FALSE)</f>
        <v>0</v>
      </c>
      <c r="X83">
        <f>VLOOKUP($A83,Sheet4!$A$2:$Q$122,8,FALSE)</f>
        <v>0</v>
      </c>
      <c r="Y83">
        <f>VLOOKUP($A83,Sheet4!$A$2:$Q$122,9,FALSE)</f>
        <v>0</v>
      </c>
      <c r="Z83">
        <f>VLOOKUP($A83,Sheet4!$A$2:$Q$122,10,FALSE)</f>
        <v>0</v>
      </c>
      <c r="AA83">
        <f>VLOOKUP($A83,Sheet4!$A$2:$Q$122,11,FALSE)</f>
        <v>0</v>
      </c>
      <c r="AB83">
        <f>VLOOKUP($A83,Sheet4!$A$2:$Q$122,12,FALSE)</f>
        <v>0</v>
      </c>
      <c r="AC83">
        <f>VLOOKUP($A83,Sheet4!$A$2:$Q$122,13,FALSE)</f>
        <v>0</v>
      </c>
      <c r="AD83">
        <f>VLOOKUP($A83,Sheet4!$A$2:$Q$122,14,FALSE)</f>
        <v>0</v>
      </c>
      <c r="AE83">
        <f>VLOOKUP($A83,Sheet4!$A$2:$Q$122,15,FALSE)</f>
        <v>0</v>
      </c>
      <c r="AF83">
        <f>VLOOKUP($A83,Sheet4!$A$2:$Q$122,16,FALSE)</f>
        <v>0</v>
      </c>
      <c r="AG83">
        <f>VLOOKUP($A83,Sheet4!$A$2:$Q$122,17,FALSE)</f>
        <v>0</v>
      </c>
    </row>
    <row r="84" spans="1:33" x14ac:dyDescent="0.3">
      <c r="A84" s="27">
        <v>713</v>
      </c>
      <c r="B84" s="27" t="str">
        <f>VLOOKUP($A84, Sheet5!$A$1:$E$119,2,FALSE)</f>
        <v>Healthy</v>
      </c>
      <c r="C84" s="27" t="str">
        <f>VLOOKUP($A84, Sheet5!$A$1:$E$119,3,FALSE)</f>
        <v>otu_1</v>
      </c>
      <c r="D84" s="27" t="str">
        <f>VLOOKUP($A84, Sheet5!$A$1:$E$119,4,FALSE)</f>
        <v>M</v>
      </c>
      <c r="E84" s="27">
        <f>VLOOKUP($A84, Sheet5!$A$1:$E$119,5,FALSE)</f>
        <v>4</v>
      </c>
      <c r="F84" s="67">
        <v>6.3318000000000003</v>
      </c>
      <c r="G84" s="67">
        <v>0.40992000000000006</v>
      </c>
      <c r="H84" s="67">
        <v>2.3694797687861278E-2</v>
      </c>
      <c r="I84" s="45">
        <v>0.47824</v>
      </c>
      <c r="J84" s="45">
        <v>6.9784000000000006</v>
      </c>
      <c r="K84" s="45">
        <v>8.3608391608391581E-3</v>
      </c>
      <c r="L84" s="45">
        <v>2.5161699999999998</v>
      </c>
      <c r="M84" s="45">
        <v>0.40007800000000004</v>
      </c>
      <c r="N84" s="45">
        <v>1.1082493074792244E-2</v>
      </c>
      <c r="R84">
        <f>VLOOKUP($A84,Sheet4!$A$2:$Q$122,2,FALSE)</f>
        <v>10.210000000000001</v>
      </c>
      <c r="S84">
        <f>VLOOKUP($A84,Sheet4!$A$2:$Q$122,3,FALSE)</f>
        <v>3.0527899999999999</v>
      </c>
      <c r="T84">
        <f>VLOOKUP($A84,Sheet4!$A$2:$Q$122,4,FALSE)</f>
        <v>0</v>
      </c>
      <c r="U84">
        <f>VLOOKUP($A84,Sheet4!$A$2:$Q$122,5,FALSE)</f>
        <v>0.74328800000000017</v>
      </c>
      <c r="V84">
        <f>VLOOKUP($A84,Sheet4!$A$2:$Q$122,6,FALSE)</f>
        <v>15.620000000000001</v>
      </c>
      <c r="W84">
        <f>VLOOKUP($A84,Sheet4!$A$2:$Q$122,7,FALSE)</f>
        <v>4.3111199999999998</v>
      </c>
      <c r="X84">
        <f>VLOOKUP($A84,Sheet4!$A$2:$Q$122,8,FALSE)</f>
        <v>6.1699000000000002</v>
      </c>
      <c r="Y84">
        <f>VLOOKUP($A84,Sheet4!$A$2:$Q$122,9,FALSE)</f>
        <v>1.024672</v>
      </c>
      <c r="Z84">
        <f>VLOOKUP($A84,Sheet4!$A$2:$Q$122,10,FALSE)</f>
        <v>15.99</v>
      </c>
      <c r="AA84">
        <f>VLOOKUP($A84,Sheet4!$A$2:$Q$122,11,FALSE)</f>
        <v>2.5584000000000002</v>
      </c>
      <c r="AB84">
        <f>VLOOKUP($A84,Sheet4!$A$2:$Q$122,12,FALSE)</f>
        <v>8.0429699999999986</v>
      </c>
      <c r="AC84">
        <f>VLOOKUP($A84,Sheet4!$A$2:$Q$122,13,FALSE)</f>
        <v>0.68757000000000001</v>
      </c>
      <c r="AD84">
        <f>VLOOKUP($A84,Sheet4!$A$2:$Q$122,14,FALSE)</f>
        <v>2.58</v>
      </c>
      <c r="AE84">
        <f>VLOOKUP($A84,Sheet4!$A$2:$Q$122,15,FALSE)</f>
        <v>0</v>
      </c>
      <c r="AF84">
        <f>VLOOKUP($A84,Sheet4!$A$2:$Q$122,16,FALSE)</f>
        <v>0.37668000000000001</v>
      </c>
      <c r="AG84">
        <f>VLOOKUP($A84,Sheet4!$A$2:$Q$122,17,FALSE)</f>
        <v>0.38184000000000007</v>
      </c>
    </row>
    <row r="85" spans="1:33" x14ac:dyDescent="0.3">
      <c r="A85" s="27">
        <v>722</v>
      </c>
      <c r="B85" s="27" t="str">
        <f>VLOOKUP($A85, Sheet5!$A$1:$E$119,2,FALSE)</f>
        <v>Healthy</v>
      </c>
      <c r="C85" s="27" t="str">
        <f>VLOOKUP($A85, Sheet5!$A$1:$E$119,3,FALSE)</f>
        <v>otu_1</v>
      </c>
      <c r="D85" s="27" t="str">
        <f>VLOOKUP($A85, Sheet5!$A$1:$E$119,4,FALSE)</f>
        <v>F</v>
      </c>
      <c r="E85" s="27">
        <f>VLOOKUP($A85, Sheet5!$A$1:$E$119,5,FALSE)</f>
        <v>4</v>
      </c>
      <c r="F85" s="67">
        <v>0.43176000000000003</v>
      </c>
      <c r="G85" s="67">
        <v>0.27242</v>
      </c>
      <c r="H85" s="67">
        <v>1.6215476190476186E-2</v>
      </c>
      <c r="I85" s="45">
        <v>3.4328000000000004E-2</v>
      </c>
      <c r="J85" s="45">
        <v>0.13888</v>
      </c>
      <c r="K85" s="45">
        <v>1.3841935483870967E-3</v>
      </c>
      <c r="L85" s="45">
        <v>0.24150000000000002</v>
      </c>
      <c r="M85" s="45">
        <v>6.0795000000000002E-2</v>
      </c>
      <c r="N85" s="45">
        <v>2.6432608695652177E-3</v>
      </c>
      <c r="O85">
        <v>0.29912999999999995</v>
      </c>
      <c r="P85">
        <v>2.1240000000000002E-2</v>
      </c>
      <c r="Q85">
        <v>7.1005917159763329E-2</v>
      </c>
      <c r="R85">
        <f>VLOOKUP($A85,Sheet4!$A$2:$Q$122,2,FALSE)</f>
        <v>0</v>
      </c>
      <c r="S85">
        <f>VLOOKUP($A85,Sheet4!$A$2:$Q$122,3,FALSE)</f>
        <v>0</v>
      </c>
      <c r="T85">
        <f>VLOOKUP($A85,Sheet4!$A$2:$Q$122,4,FALSE)</f>
        <v>0</v>
      </c>
      <c r="U85">
        <f>VLOOKUP($A85,Sheet4!$A$2:$Q$122,5,FALSE)</f>
        <v>0</v>
      </c>
      <c r="V85">
        <f>VLOOKUP($A85,Sheet4!$A$2:$Q$122,6,FALSE)</f>
        <v>5.15</v>
      </c>
      <c r="W85">
        <f>VLOOKUP($A85,Sheet4!$A$2:$Q$122,7,FALSE)</f>
        <v>0.54075000000000006</v>
      </c>
      <c r="X85">
        <f>VLOOKUP($A85,Sheet4!$A$2:$Q$122,8,FALSE)</f>
        <v>1.0454500000000002</v>
      </c>
      <c r="Y85">
        <f>VLOOKUP($A85,Sheet4!$A$2:$Q$122,9,FALSE)</f>
        <v>1.1484500000000002</v>
      </c>
      <c r="Z85">
        <f>VLOOKUP($A85,Sheet4!$A$2:$Q$122,10,FALSE)</f>
        <v>5.9399999999999995</v>
      </c>
      <c r="AA85">
        <f>VLOOKUP($A85,Sheet4!$A$2:$Q$122,11,FALSE)</f>
        <v>1.1167199999999999</v>
      </c>
      <c r="AB85">
        <f>VLOOKUP($A85,Sheet4!$A$2:$Q$122,12,FALSE)</f>
        <v>2.32254</v>
      </c>
      <c r="AC85">
        <f>VLOOKUP($A85,Sheet4!$A$2:$Q$122,13,FALSE)</f>
        <v>0.38728799999999991</v>
      </c>
      <c r="AD85">
        <f>VLOOKUP($A85,Sheet4!$A$2:$Q$122,14,FALSE)</f>
        <v>4.12</v>
      </c>
      <c r="AE85">
        <f>VLOOKUP($A85,Sheet4!$A$2:$Q$122,15,FALSE)</f>
        <v>0.44908000000000003</v>
      </c>
      <c r="AF85">
        <f>VLOOKUP($A85,Sheet4!$A$2:$Q$122,16,FALSE)</f>
        <v>0.82400000000000007</v>
      </c>
      <c r="AG85">
        <f>VLOOKUP($A85,Sheet4!$A$2:$Q$122,17,FALSE)</f>
        <v>0.92700000000000005</v>
      </c>
    </row>
    <row r="86" spans="1:33" x14ac:dyDescent="0.3">
      <c r="A86" s="22">
        <v>816</v>
      </c>
      <c r="B86" s="27" t="str">
        <f>VLOOKUP($A86, Sheet5!$A$1:$E$119,2,FALSE)</f>
        <v>IBD</v>
      </c>
      <c r="C86" s="27" t="str">
        <f>VLOOKUP($A86, Sheet5!$A$1:$E$119,3,FALSE)</f>
        <v>otu_2</v>
      </c>
      <c r="D86" s="27" t="str">
        <f>VLOOKUP($A86, Sheet5!$A$1:$E$119,4,FALSE)</f>
        <v>M</v>
      </c>
      <c r="E86" s="27">
        <f>VLOOKUP($A86, Sheet5!$A$1:$E$119,5,FALSE)</f>
        <v>0</v>
      </c>
      <c r="F86" s="67">
        <v>0.12959999999999999</v>
      </c>
      <c r="G86" s="67">
        <v>3.3119999999999997E-2</v>
      </c>
      <c r="H86" s="67">
        <v>9.1999999999999998E-2</v>
      </c>
      <c r="I86" s="95">
        <v>6.7859999999999995E-3</v>
      </c>
      <c r="J86" s="95">
        <v>2.436E-2</v>
      </c>
      <c r="K86" s="95">
        <v>4.8471428571428561E-2</v>
      </c>
      <c r="R86">
        <f>VLOOKUP($A86,Sheet4!$A$2:$Q$122,2,FALSE)</f>
        <v>0</v>
      </c>
      <c r="S86">
        <f>VLOOKUP($A86,Sheet4!$A$2:$Q$122,3,FALSE)</f>
        <v>0</v>
      </c>
      <c r="T86">
        <f>VLOOKUP($A86,Sheet4!$A$2:$Q$122,4,FALSE)</f>
        <v>0</v>
      </c>
      <c r="U86">
        <f>VLOOKUP($A86,Sheet4!$A$2:$Q$122,5,FALSE)</f>
        <v>0</v>
      </c>
      <c r="V86">
        <f>VLOOKUP($A86,Sheet4!$A$2:$Q$122,6,FALSE)</f>
        <v>0</v>
      </c>
      <c r="W86">
        <f>VLOOKUP($A86,Sheet4!$A$2:$Q$122,7,FALSE)</f>
        <v>0</v>
      </c>
      <c r="X86">
        <f>VLOOKUP($A86,Sheet4!$A$2:$Q$122,8,FALSE)</f>
        <v>0</v>
      </c>
      <c r="Y86">
        <f>VLOOKUP($A86,Sheet4!$A$2:$Q$122,9,FALSE)</f>
        <v>0</v>
      </c>
      <c r="Z86">
        <f>VLOOKUP($A86,Sheet4!$A$2:$Q$122,10,FALSE)</f>
        <v>0</v>
      </c>
      <c r="AA86">
        <f>VLOOKUP($A86,Sheet4!$A$2:$Q$122,11,FALSE)</f>
        <v>0</v>
      </c>
      <c r="AB86">
        <f>VLOOKUP($A86,Sheet4!$A$2:$Q$122,12,FALSE)</f>
        <v>0</v>
      </c>
      <c r="AC86">
        <f>VLOOKUP($A86,Sheet4!$A$2:$Q$122,13,FALSE)</f>
        <v>0</v>
      </c>
      <c r="AD86">
        <f>VLOOKUP($A86,Sheet4!$A$2:$Q$122,14,FALSE)</f>
        <v>0</v>
      </c>
      <c r="AE86">
        <f>VLOOKUP($A86,Sheet4!$A$2:$Q$122,15,FALSE)</f>
        <v>0</v>
      </c>
      <c r="AF86">
        <f>VLOOKUP($A86,Sheet4!$A$2:$Q$122,16,FALSE)</f>
        <v>0</v>
      </c>
      <c r="AG86">
        <f>VLOOKUP($A86,Sheet4!$A$2:$Q$122,17,FALSE)</f>
        <v>0</v>
      </c>
    </row>
    <row r="87" spans="1:33" x14ac:dyDescent="0.3">
      <c r="A87" s="70">
        <v>826</v>
      </c>
      <c r="B87" s="27" t="str">
        <f>VLOOKUP($A87, Sheet5!$A$1:$E$119,2,FALSE)</f>
        <v>IBD</v>
      </c>
      <c r="C87" s="27" t="str">
        <f>VLOOKUP($A87, Sheet5!$A$1:$E$119,3,FALSE)</f>
        <v>otu_2</v>
      </c>
      <c r="D87" s="27" t="str">
        <f>VLOOKUP($A87, Sheet5!$A$1:$E$119,4,FALSE)</f>
        <v>M</v>
      </c>
      <c r="E87" s="27">
        <f>VLOOKUP($A87, Sheet5!$A$1:$E$119,5,FALSE)</f>
        <v>4</v>
      </c>
      <c r="F87" s="67">
        <v>1.6768000000000002E-2</v>
      </c>
      <c r="G87" s="67">
        <v>1.1265999999999998E-2</v>
      </c>
      <c r="H87" s="67">
        <v>0.17603124999999994</v>
      </c>
      <c r="I87" s="60"/>
      <c r="J87" s="60"/>
      <c r="K87" s="60"/>
      <c r="L87" s="45"/>
      <c r="M87" s="45"/>
      <c r="N87" s="45"/>
      <c r="R87">
        <f>VLOOKUP($A87,Sheet4!$A$2:$Q$122,2,FALSE)</f>
        <v>0</v>
      </c>
      <c r="S87">
        <f>VLOOKUP($A87,Sheet4!$A$2:$Q$122,3,FALSE)</f>
        <v>0</v>
      </c>
      <c r="T87">
        <f>VLOOKUP($A87,Sheet4!$A$2:$Q$122,4,FALSE)</f>
        <v>0</v>
      </c>
      <c r="U87">
        <f>VLOOKUP($A87,Sheet4!$A$2:$Q$122,5,FALSE)</f>
        <v>0</v>
      </c>
      <c r="V87">
        <f>VLOOKUP($A87,Sheet4!$A$2:$Q$122,6,FALSE)</f>
        <v>0</v>
      </c>
      <c r="W87">
        <f>VLOOKUP($A87,Sheet4!$A$2:$Q$122,7,FALSE)</f>
        <v>0</v>
      </c>
      <c r="X87">
        <f>VLOOKUP($A87,Sheet4!$A$2:$Q$122,8,FALSE)</f>
        <v>0</v>
      </c>
      <c r="Y87">
        <f>VLOOKUP($A87,Sheet4!$A$2:$Q$122,9,FALSE)</f>
        <v>0</v>
      </c>
      <c r="Z87">
        <f>VLOOKUP($A87,Sheet4!$A$2:$Q$122,10,FALSE)</f>
        <v>0</v>
      </c>
      <c r="AA87">
        <f>VLOOKUP($A87,Sheet4!$A$2:$Q$122,11,FALSE)</f>
        <v>0</v>
      </c>
      <c r="AB87">
        <f>VLOOKUP($A87,Sheet4!$A$2:$Q$122,12,FALSE)</f>
        <v>0</v>
      </c>
      <c r="AC87">
        <f>VLOOKUP($A87,Sheet4!$A$2:$Q$122,13,FALSE)</f>
        <v>0</v>
      </c>
      <c r="AD87">
        <f>VLOOKUP($A87,Sheet4!$A$2:$Q$122,14,FALSE)</f>
        <v>0</v>
      </c>
      <c r="AE87">
        <f>VLOOKUP($A87,Sheet4!$A$2:$Q$122,15,FALSE)</f>
        <v>0</v>
      </c>
      <c r="AF87">
        <f>VLOOKUP($A87,Sheet4!$A$2:$Q$122,16,FALSE)</f>
        <v>0</v>
      </c>
      <c r="AG87">
        <f>VLOOKUP($A87,Sheet4!$A$2:$Q$122,17,FALSE)</f>
        <v>0</v>
      </c>
    </row>
    <row r="88" spans="1:33" x14ac:dyDescent="0.3">
      <c r="A88" s="70">
        <v>834</v>
      </c>
      <c r="B88" s="27" t="str">
        <f>VLOOKUP($A88, Sheet5!$A$1:$E$119,2,FALSE)</f>
        <v>IBD</v>
      </c>
      <c r="C88" s="27" t="str">
        <f>VLOOKUP($A88, Sheet5!$A$1:$E$119,3,FALSE)</f>
        <v>otu_2</v>
      </c>
      <c r="D88" s="27" t="str">
        <f>VLOOKUP($A88, Sheet5!$A$1:$E$119,4,FALSE)</f>
        <v>F</v>
      </c>
      <c r="E88" s="27">
        <f>VLOOKUP($A88, Sheet5!$A$1:$E$119,5,FALSE)</f>
        <v>1</v>
      </c>
      <c r="F88" s="76"/>
      <c r="G88" s="76"/>
      <c r="H88" s="76"/>
      <c r="I88" s="60"/>
      <c r="J88" s="60"/>
      <c r="K88" s="60"/>
      <c r="L88" s="45"/>
      <c r="M88" s="45"/>
      <c r="N88" s="45"/>
      <c r="R88">
        <f>VLOOKUP($A88,Sheet4!$A$2:$Q$122,2,FALSE)</f>
        <v>0</v>
      </c>
      <c r="S88">
        <f>VLOOKUP($A88,Sheet4!$A$2:$Q$122,3,FALSE)</f>
        <v>0</v>
      </c>
      <c r="T88">
        <f>VLOOKUP($A88,Sheet4!$A$2:$Q$122,4,FALSE)</f>
        <v>0</v>
      </c>
      <c r="U88">
        <f>VLOOKUP($A88,Sheet4!$A$2:$Q$122,5,FALSE)</f>
        <v>0</v>
      </c>
      <c r="V88">
        <f>VLOOKUP($A88,Sheet4!$A$2:$Q$122,6,FALSE)</f>
        <v>0</v>
      </c>
      <c r="W88">
        <f>VLOOKUP($A88,Sheet4!$A$2:$Q$122,7,FALSE)</f>
        <v>0</v>
      </c>
      <c r="X88">
        <f>VLOOKUP($A88,Sheet4!$A$2:$Q$122,8,FALSE)</f>
        <v>0</v>
      </c>
      <c r="Y88">
        <f>VLOOKUP($A88,Sheet4!$A$2:$Q$122,9,FALSE)</f>
        <v>0</v>
      </c>
      <c r="Z88">
        <f>VLOOKUP($A88,Sheet4!$A$2:$Q$122,10,FALSE)</f>
        <v>0</v>
      </c>
      <c r="AA88">
        <f>VLOOKUP($A88,Sheet4!$A$2:$Q$122,11,FALSE)</f>
        <v>0</v>
      </c>
      <c r="AB88">
        <f>VLOOKUP($A88,Sheet4!$A$2:$Q$122,12,FALSE)</f>
        <v>0</v>
      </c>
      <c r="AC88">
        <f>VLOOKUP($A88,Sheet4!$A$2:$Q$122,13,FALSE)</f>
        <v>0</v>
      </c>
      <c r="AD88">
        <f>VLOOKUP($A88,Sheet4!$A$2:$Q$122,14,FALSE)</f>
        <v>0</v>
      </c>
      <c r="AE88">
        <f>VLOOKUP($A88,Sheet4!$A$2:$Q$122,15,FALSE)</f>
        <v>0</v>
      </c>
      <c r="AF88">
        <f>VLOOKUP($A88,Sheet4!$A$2:$Q$122,16,FALSE)</f>
        <v>0</v>
      </c>
      <c r="AG88">
        <f>VLOOKUP($A88,Sheet4!$A$2:$Q$122,17,FALSE)</f>
        <v>0</v>
      </c>
    </row>
    <row r="89" spans="1:33" x14ac:dyDescent="0.3">
      <c r="A89" s="70">
        <v>835</v>
      </c>
      <c r="B89" s="27" t="str">
        <f>VLOOKUP($A89, Sheet5!$A$1:$E$119,2,FALSE)</f>
        <v>IBD</v>
      </c>
      <c r="C89" s="27" t="str">
        <f>VLOOKUP($A89, Sheet5!$A$1:$E$119,3,FALSE)</f>
        <v>otu_2</v>
      </c>
      <c r="D89" s="27" t="str">
        <f>VLOOKUP($A89, Sheet5!$A$1:$E$119,4,FALSE)</f>
        <v>F</v>
      </c>
      <c r="E89" s="27">
        <f>VLOOKUP($A89, Sheet5!$A$1:$E$119,5,FALSE)</f>
        <v>3</v>
      </c>
      <c r="F89" s="67">
        <v>3.168E-2</v>
      </c>
      <c r="G89" s="67">
        <v>2.6495999999999999E-2</v>
      </c>
      <c r="H89" s="67">
        <v>0.24087272727272727</v>
      </c>
      <c r="I89" s="60"/>
      <c r="J89" s="60"/>
      <c r="K89" s="60"/>
      <c r="L89" s="45"/>
      <c r="M89" s="45"/>
      <c r="N89" s="45"/>
      <c r="R89">
        <f>VLOOKUP($A89,Sheet4!$A$2:$Q$122,2,FALSE)</f>
        <v>0</v>
      </c>
      <c r="S89">
        <f>VLOOKUP($A89,Sheet4!$A$2:$Q$122,3,FALSE)</f>
        <v>0</v>
      </c>
      <c r="T89">
        <f>VLOOKUP($A89,Sheet4!$A$2:$Q$122,4,FALSE)</f>
        <v>0</v>
      </c>
      <c r="U89">
        <f>VLOOKUP($A89,Sheet4!$A$2:$Q$122,5,FALSE)</f>
        <v>0</v>
      </c>
      <c r="V89">
        <f>VLOOKUP($A89,Sheet4!$A$2:$Q$122,6,FALSE)</f>
        <v>0</v>
      </c>
      <c r="W89">
        <f>VLOOKUP($A89,Sheet4!$A$2:$Q$122,7,FALSE)</f>
        <v>0</v>
      </c>
      <c r="X89">
        <f>VLOOKUP($A89,Sheet4!$A$2:$Q$122,8,FALSE)</f>
        <v>0</v>
      </c>
      <c r="Y89">
        <f>VLOOKUP($A89,Sheet4!$A$2:$Q$122,9,FALSE)</f>
        <v>0</v>
      </c>
      <c r="Z89">
        <f>VLOOKUP($A89,Sheet4!$A$2:$Q$122,10,FALSE)</f>
        <v>0</v>
      </c>
      <c r="AA89">
        <f>VLOOKUP($A89,Sheet4!$A$2:$Q$122,11,FALSE)</f>
        <v>0</v>
      </c>
      <c r="AB89">
        <f>VLOOKUP($A89,Sheet4!$A$2:$Q$122,12,FALSE)</f>
        <v>0</v>
      </c>
      <c r="AC89">
        <f>VLOOKUP($A89,Sheet4!$A$2:$Q$122,13,FALSE)</f>
        <v>0</v>
      </c>
      <c r="AD89">
        <f>VLOOKUP($A89,Sheet4!$A$2:$Q$122,14,FALSE)</f>
        <v>0</v>
      </c>
      <c r="AE89">
        <f>VLOOKUP($A89,Sheet4!$A$2:$Q$122,15,FALSE)</f>
        <v>0</v>
      </c>
      <c r="AF89">
        <f>VLOOKUP($A89,Sheet4!$A$2:$Q$122,16,FALSE)</f>
        <v>0</v>
      </c>
      <c r="AG89">
        <f>VLOOKUP($A89,Sheet4!$A$2:$Q$122,17,FALSE)</f>
        <v>0</v>
      </c>
    </row>
    <row r="90" spans="1:33" x14ac:dyDescent="0.3">
      <c r="A90" s="70">
        <v>843</v>
      </c>
      <c r="B90" s="27" t="str">
        <f>VLOOKUP($A90, Sheet5!$A$1:$E$119,2,FALSE)</f>
        <v>IBD</v>
      </c>
      <c r="C90" s="27" t="str">
        <f>VLOOKUP($A90, Sheet5!$A$1:$E$119,3,FALSE)</f>
        <v>otu_2</v>
      </c>
      <c r="D90" s="27" t="str">
        <f>VLOOKUP($A90, Sheet5!$A$1:$E$119,4,FALSE)</f>
        <v>M</v>
      </c>
      <c r="E90" s="27">
        <f>VLOOKUP($A90, Sheet5!$A$1:$E$119,5,FALSE)</f>
        <v>3</v>
      </c>
      <c r="F90" s="67">
        <v>3.7199999999999997E-2</v>
      </c>
      <c r="G90" s="67">
        <v>4.6499999999999993E-2</v>
      </c>
      <c r="H90" s="67">
        <v>0.38750000000000001</v>
      </c>
      <c r="I90" s="60"/>
      <c r="J90" s="60"/>
      <c r="K90" s="60"/>
      <c r="L90" s="45"/>
      <c r="M90" s="45"/>
      <c r="N90" s="45"/>
      <c r="R90">
        <f>VLOOKUP($A90,Sheet4!$A$2:$Q$122,2,FALSE)</f>
        <v>0</v>
      </c>
      <c r="S90">
        <f>VLOOKUP($A90,Sheet4!$A$2:$Q$122,3,FALSE)</f>
        <v>0</v>
      </c>
      <c r="T90">
        <f>VLOOKUP($A90,Sheet4!$A$2:$Q$122,4,FALSE)</f>
        <v>0</v>
      </c>
      <c r="U90">
        <f>VLOOKUP($A90,Sheet4!$A$2:$Q$122,5,FALSE)</f>
        <v>0</v>
      </c>
      <c r="V90">
        <f>VLOOKUP($A90,Sheet4!$A$2:$Q$122,6,FALSE)</f>
        <v>0</v>
      </c>
      <c r="W90">
        <f>VLOOKUP($A90,Sheet4!$A$2:$Q$122,7,FALSE)</f>
        <v>0</v>
      </c>
      <c r="X90">
        <f>VLOOKUP($A90,Sheet4!$A$2:$Q$122,8,FALSE)</f>
        <v>0</v>
      </c>
      <c r="Y90">
        <f>VLOOKUP($A90,Sheet4!$A$2:$Q$122,9,FALSE)</f>
        <v>0</v>
      </c>
      <c r="Z90">
        <f>VLOOKUP($A90,Sheet4!$A$2:$Q$122,10,FALSE)</f>
        <v>0</v>
      </c>
      <c r="AA90">
        <f>VLOOKUP($A90,Sheet4!$A$2:$Q$122,11,FALSE)</f>
        <v>0</v>
      </c>
      <c r="AB90">
        <f>VLOOKUP($A90,Sheet4!$A$2:$Q$122,12,FALSE)</f>
        <v>0</v>
      </c>
      <c r="AC90">
        <f>VLOOKUP($A90,Sheet4!$A$2:$Q$122,13,FALSE)</f>
        <v>0</v>
      </c>
      <c r="AD90">
        <f>VLOOKUP($A90,Sheet4!$A$2:$Q$122,14,FALSE)</f>
        <v>0</v>
      </c>
      <c r="AE90">
        <f>VLOOKUP($A90,Sheet4!$A$2:$Q$122,15,FALSE)</f>
        <v>0</v>
      </c>
      <c r="AF90">
        <f>VLOOKUP($A90,Sheet4!$A$2:$Q$122,16,FALSE)</f>
        <v>0</v>
      </c>
      <c r="AG90">
        <f>VLOOKUP($A90,Sheet4!$A$2:$Q$122,17,FALSE)</f>
        <v>0</v>
      </c>
    </row>
    <row r="91" spans="1:33" x14ac:dyDescent="0.3">
      <c r="A91" s="70">
        <v>855</v>
      </c>
      <c r="B91" s="27" t="str">
        <f>VLOOKUP($A91, Sheet5!$A$1:$E$119,2,FALSE)</f>
        <v>IBD</v>
      </c>
      <c r="C91" s="27" t="str">
        <f>VLOOKUP($A91, Sheet5!$A$1:$E$119,3,FALSE)</f>
        <v>otu_2</v>
      </c>
      <c r="D91" s="27" t="str">
        <f>VLOOKUP($A91, Sheet5!$A$1:$E$119,4,FALSE)</f>
        <v>F</v>
      </c>
      <c r="E91" s="27">
        <f>VLOOKUP($A91, Sheet5!$A$1:$E$119,5,FALSE)</f>
        <v>6</v>
      </c>
      <c r="F91" s="76"/>
      <c r="G91" s="76"/>
      <c r="H91" s="76"/>
      <c r="I91" s="60"/>
      <c r="J91" s="60"/>
      <c r="K91" s="60"/>
      <c r="L91" s="45"/>
      <c r="M91" s="45"/>
      <c r="N91" s="45"/>
      <c r="R91">
        <f>VLOOKUP($A91,Sheet4!$A$2:$Q$122,2,FALSE)</f>
        <v>0</v>
      </c>
      <c r="S91">
        <f>VLOOKUP($A91,Sheet4!$A$2:$Q$122,3,FALSE)</f>
        <v>0</v>
      </c>
      <c r="T91">
        <f>VLOOKUP($A91,Sheet4!$A$2:$Q$122,4,FALSE)</f>
        <v>0</v>
      </c>
      <c r="U91">
        <f>VLOOKUP($A91,Sheet4!$A$2:$Q$122,5,FALSE)</f>
        <v>0</v>
      </c>
      <c r="V91">
        <f>VLOOKUP($A91,Sheet4!$A$2:$Q$122,6,FALSE)</f>
        <v>0</v>
      </c>
      <c r="W91">
        <f>VLOOKUP($A91,Sheet4!$A$2:$Q$122,7,FALSE)</f>
        <v>0</v>
      </c>
      <c r="X91">
        <f>VLOOKUP($A91,Sheet4!$A$2:$Q$122,8,FALSE)</f>
        <v>0</v>
      </c>
      <c r="Y91">
        <f>VLOOKUP($A91,Sheet4!$A$2:$Q$122,9,FALSE)</f>
        <v>0</v>
      </c>
      <c r="Z91">
        <f>VLOOKUP($A91,Sheet4!$A$2:$Q$122,10,FALSE)</f>
        <v>0</v>
      </c>
      <c r="AA91">
        <f>VLOOKUP($A91,Sheet4!$A$2:$Q$122,11,FALSE)</f>
        <v>0</v>
      </c>
      <c r="AB91">
        <f>VLOOKUP($A91,Sheet4!$A$2:$Q$122,12,FALSE)</f>
        <v>0</v>
      </c>
      <c r="AC91">
        <f>VLOOKUP($A91,Sheet4!$A$2:$Q$122,13,FALSE)</f>
        <v>0</v>
      </c>
      <c r="AD91">
        <f>VLOOKUP($A91,Sheet4!$A$2:$Q$122,14,FALSE)</f>
        <v>0</v>
      </c>
      <c r="AE91">
        <f>VLOOKUP($A91,Sheet4!$A$2:$Q$122,15,FALSE)</f>
        <v>0</v>
      </c>
      <c r="AF91">
        <f>VLOOKUP($A91,Sheet4!$A$2:$Q$122,16,FALSE)</f>
        <v>0</v>
      </c>
      <c r="AG91">
        <f>VLOOKUP($A91,Sheet4!$A$2:$Q$122,17,FALSE)</f>
        <v>0</v>
      </c>
    </row>
    <row r="92" spans="1:33" x14ac:dyDescent="0.3">
      <c r="A92" s="33">
        <v>1534</v>
      </c>
      <c r="B92" s="27" t="e">
        <f>VLOOKUP($A92, Sheet5!$A$1:$E$119,2,FALSE)</f>
        <v>#N/A</v>
      </c>
      <c r="C92" s="27" t="e">
        <f>VLOOKUP($A92, Sheet5!$A$1:$E$119,3,FALSE)</f>
        <v>#N/A</v>
      </c>
      <c r="D92" s="27" t="e">
        <f>VLOOKUP($A92, Sheet5!$A$1:$E$119,4,FALSE)</f>
        <v>#N/A</v>
      </c>
      <c r="E92" s="27" t="e">
        <f>VLOOKUP($A92, Sheet5!$A$1:$E$119,5,FALSE)</f>
        <v>#N/A</v>
      </c>
      <c r="F92" s="67">
        <v>0.35914200000000002</v>
      </c>
      <c r="G92" s="67">
        <v>0.15945100000000001</v>
      </c>
      <c r="H92" s="67">
        <v>2.2332072829131654E-2</v>
      </c>
      <c r="I92" s="45"/>
      <c r="J92" s="45"/>
      <c r="K92" s="45"/>
      <c r="L92" s="45"/>
      <c r="M92" s="45"/>
      <c r="N92" s="45"/>
      <c r="R92" t="e">
        <f>VLOOKUP($A92,Sheet4!$A$2:$Q$122,2,FALSE)</f>
        <v>#N/A</v>
      </c>
      <c r="S92" t="e">
        <f>VLOOKUP($A92,Sheet4!$A$2:$Q$122,3,FALSE)</f>
        <v>#N/A</v>
      </c>
      <c r="T92" t="e">
        <f>VLOOKUP($A92,Sheet4!$A$2:$Q$122,4,FALSE)</f>
        <v>#N/A</v>
      </c>
      <c r="U92" t="e">
        <f>VLOOKUP($A92,Sheet4!$A$2:$Q$122,5,FALSE)</f>
        <v>#N/A</v>
      </c>
      <c r="V92" t="e">
        <f>VLOOKUP($A92,Sheet4!$A$2:$Q$122,6,FALSE)</f>
        <v>#N/A</v>
      </c>
      <c r="W92" t="e">
        <f>VLOOKUP($A92,Sheet4!$A$2:$Q$122,7,FALSE)</f>
        <v>#N/A</v>
      </c>
      <c r="X92" t="e">
        <f>VLOOKUP($A92,Sheet4!$A$2:$Q$122,8,FALSE)</f>
        <v>#N/A</v>
      </c>
      <c r="Y92" t="e">
        <f>VLOOKUP($A92,Sheet4!$A$2:$Q$122,9,FALSE)</f>
        <v>#N/A</v>
      </c>
      <c r="Z92" t="e">
        <f>VLOOKUP($A92,Sheet4!$A$2:$Q$122,10,FALSE)</f>
        <v>#N/A</v>
      </c>
      <c r="AA92" t="e">
        <f>VLOOKUP($A92,Sheet4!$A$2:$Q$122,11,FALSE)</f>
        <v>#N/A</v>
      </c>
      <c r="AB92" t="e">
        <f>VLOOKUP($A92,Sheet4!$A$2:$Q$122,12,FALSE)</f>
        <v>#N/A</v>
      </c>
      <c r="AC92" t="e">
        <f>VLOOKUP($A92,Sheet4!$A$2:$Q$122,13,FALSE)</f>
        <v>#N/A</v>
      </c>
      <c r="AD92" t="e">
        <f>VLOOKUP($A92,Sheet4!$A$2:$Q$122,14,FALSE)</f>
        <v>#N/A</v>
      </c>
      <c r="AE92" t="e">
        <f>VLOOKUP($A92,Sheet4!$A$2:$Q$122,15,FALSE)</f>
        <v>#N/A</v>
      </c>
      <c r="AF92" t="e">
        <f>VLOOKUP($A92,Sheet4!$A$2:$Q$122,16,FALSE)</f>
        <v>#N/A</v>
      </c>
      <c r="AG92" t="e">
        <f>VLOOKUP($A92,Sheet4!$A$2:$Q$122,17,FALSE)</f>
        <v>#N/A</v>
      </c>
    </row>
    <row r="93" spans="1:33" x14ac:dyDescent="0.3">
      <c r="A93" s="33">
        <v>1535</v>
      </c>
      <c r="B93" s="27" t="str">
        <f>VLOOKUP($A93, Sheet5!$A$1:$E$119,2,FALSE)</f>
        <v>Healthy</v>
      </c>
      <c r="C93" s="27" t="str">
        <f>VLOOKUP($A93, Sheet5!$A$1:$E$119,3,FALSE)</f>
        <v>otu_2</v>
      </c>
      <c r="D93" s="27" t="str">
        <f>VLOOKUP($A93, Sheet5!$A$1:$E$119,4,FALSE)</f>
        <v>M</v>
      </c>
      <c r="E93" s="27">
        <f>VLOOKUP($A93, Sheet5!$A$1:$E$119,5,FALSE)</f>
        <v>4</v>
      </c>
      <c r="F93" s="67">
        <v>0.238288</v>
      </c>
      <c r="G93" s="67">
        <v>0.10345600000000001</v>
      </c>
      <c r="H93" s="67">
        <v>3.6817081850533812E-2</v>
      </c>
      <c r="I93" s="67">
        <v>0.44850000000000001</v>
      </c>
      <c r="J93" s="67">
        <v>2.1942000000000004</v>
      </c>
      <c r="K93" s="67">
        <v>2.8207547169811317E-2</v>
      </c>
      <c r="L93" s="67">
        <v>0.36654000000000003</v>
      </c>
      <c r="M93" s="67">
        <v>0.21180599999999999</v>
      </c>
      <c r="N93" s="67">
        <v>1.4215167785234897E-2</v>
      </c>
      <c r="O93">
        <v>1.3665599999999998</v>
      </c>
      <c r="P93">
        <v>4.2631999999999996E-2</v>
      </c>
      <c r="Q93">
        <v>3.11965811965812E-2</v>
      </c>
      <c r="R93">
        <f>VLOOKUP($A93,Sheet4!$A$2:$Q$122,2,FALSE)</f>
        <v>0.74</v>
      </c>
      <c r="S93">
        <f>VLOOKUP($A93,Sheet4!$A$2:$Q$122,3,FALSE)</f>
        <v>7.9920000000000005E-2</v>
      </c>
      <c r="T93">
        <f>VLOOKUP($A93,Sheet4!$A$2:$Q$122,4,FALSE)</f>
        <v>6.5638000000000002E-2</v>
      </c>
      <c r="U93">
        <f>VLOOKUP($A93,Sheet4!$A$2:$Q$122,5,FALSE)</f>
        <v>0.35076000000000002</v>
      </c>
      <c r="V93">
        <f>VLOOKUP($A93,Sheet4!$A$2:$Q$122,6,FALSE)</f>
        <v>2.4699999999999998</v>
      </c>
      <c r="W93">
        <f>VLOOKUP($A93,Sheet4!$A$2:$Q$122,7,FALSE)</f>
        <v>0</v>
      </c>
      <c r="X93">
        <f>VLOOKUP($A93,Sheet4!$A$2:$Q$122,8,FALSE)</f>
        <v>0</v>
      </c>
      <c r="Y93">
        <f>VLOOKUP($A93,Sheet4!$A$2:$Q$122,9,FALSE)</f>
        <v>1.0522199999999999</v>
      </c>
      <c r="Z93">
        <f>VLOOKUP($A93,Sheet4!$A$2:$Q$122,10,FALSE)</f>
        <v>0.7</v>
      </c>
      <c r="AA93">
        <f>VLOOKUP($A93,Sheet4!$A$2:$Q$122,11,FALSE)</f>
        <v>4.4940000000000001E-2</v>
      </c>
      <c r="AB93">
        <f>VLOOKUP($A93,Sheet4!$A$2:$Q$122,12,FALSE)</f>
        <v>2.0720000000000002E-2</v>
      </c>
      <c r="AC93">
        <f>VLOOKUP($A93,Sheet4!$A$2:$Q$122,13,FALSE)</f>
        <v>0.22469999999999998</v>
      </c>
      <c r="AD93">
        <f>VLOOKUP($A93,Sheet4!$A$2:$Q$122,14,FALSE)</f>
        <v>0.58000000000000007</v>
      </c>
      <c r="AE93">
        <f>VLOOKUP($A93,Sheet4!$A$2:$Q$122,15,FALSE)</f>
        <v>8.4100000000000008E-2</v>
      </c>
      <c r="AF93">
        <f>VLOOKUP($A93,Sheet4!$A$2:$Q$122,16,FALSE)</f>
        <v>2.7956000000000002E-2</v>
      </c>
      <c r="AG93">
        <f>VLOOKUP($A93,Sheet4!$A$2:$Q$122,17,FALSE)</f>
        <v>0.16240000000000002</v>
      </c>
    </row>
    <row r="94" spans="1:33" x14ac:dyDescent="0.3">
      <c r="A94" s="33">
        <v>1540</v>
      </c>
      <c r="B94" s="27" t="str">
        <f>VLOOKUP($A94, Sheet5!$A$1:$E$119,2,FALSE)</f>
        <v>Healthy</v>
      </c>
      <c r="C94" s="27" t="str">
        <f>VLOOKUP($A94, Sheet5!$A$1:$E$119,3,FALSE)</f>
        <v>otu_2</v>
      </c>
      <c r="D94" s="27" t="str">
        <f>VLOOKUP($A94, Sheet5!$A$1:$E$119,4,FALSE)</f>
        <v>M</v>
      </c>
      <c r="E94" s="27">
        <f>VLOOKUP($A94, Sheet5!$A$1:$E$119,5,FALSE)</f>
        <v>0</v>
      </c>
      <c r="F94" s="67">
        <v>0.72390600000000005</v>
      </c>
      <c r="G94" s="67">
        <v>6.8154000000000006E-2</v>
      </c>
      <c r="H94" s="67">
        <v>8.6709923664122154E-3</v>
      </c>
      <c r="I94" s="67">
        <v>0.27434399999999998</v>
      </c>
      <c r="J94" s="67">
        <v>1.4654399999999999</v>
      </c>
      <c r="K94" s="67">
        <v>1.5950232558139536E-2</v>
      </c>
      <c r="L94" s="67">
        <v>0.79632000000000003</v>
      </c>
      <c r="M94" s="67">
        <v>0.26417600000000002</v>
      </c>
      <c r="N94" s="67">
        <v>2.0966349206349207E-2</v>
      </c>
      <c r="O94">
        <v>0.80459999999999998</v>
      </c>
      <c r="P94">
        <v>4.172E-2</v>
      </c>
      <c r="Q94">
        <v>5.185185185185185E-2</v>
      </c>
      <c r="R94">
        <f>VLOOKUP($A94,Sheet4!$A$2:$Q$122,2,FALSE)</f>
        <v>0.75</v>
      </c>
      <c r="S94">
        <f>VLOOKUP($A94,Sheet4!$A$2:$Q$122,3,FALSE)</f>
        <v>0</v>
      </c>
      <c r="T94">
        <f>VLOOKUP($A94,Sheet4!$A$2:$Q$122,4,FALSE)</f>
        <v>5.9549999999999999E-2</v>
      </c>
      <c r="U94">
        <f>VLOOKUP($A94,Sheet4!$A$2:$Q$122,5,FALSE)</f>
        <v>0.23156999999999997</v>
      </c>
      <c r="V94">
        <f>VLOOKUP($A94,Sheet4!$A$2:$Q$122,6,FALSE)</f>
        <v>1.29</v>
      </c>
      <c r="W94">
        <f>VLOOKUP($A94,Sheet4!$A$2:$Q$122,7,FALSE)</f>
        <v>0</v>
      </c>
      <c r="X94">
        <f>VLOOKUP($A94,Sheet4!$A$2:$Q$122,8,FALSE)</f>
        <v>9.4427999999999998E-2</v>
      </c>
      <c r="Y94">
        <f>VLOOKUP($A94,Sheet4!$A$2:$Q$122,9,FALSE)</f>
        <v>0.41538000000000003</v>
      </c>
      <c r="Z94">
        <f>VLOOKUP($A94,Sheet4!$A$2:$Q$122,10,FALSE)</f>
        <v>0.78</v>
      </c>
      <c r="AA94">
        <f>VLOOKUP($A94,Sheet4!$A$2:$Q$122,11,FALSE)</f>
        <v>0.11778000000000001</v>
      </c>
      <c r="AB94">
        <f>VLOOKUP($A94,Sheet4!$A$2:$Q$122,12,FALSE)</f>
        <v>3.8064000000000001E-2</v>
      </c>
      <c r="AC94">
        <f>VLOOKUP($A94,Sheet4!$A$2:$Q$122,13,FALSE)</f>
        <v>0.28703999999999996</v>
      </c>
      <c r="AD94">
        <f>VLOOKUP($A94,Sheet4!$A$2:$Q$122,14,FALSE)</f>
        <v>0.42</v>
      </c>
      <c r="AE94">
        <f>VLOOKUP($A94,Sheet4!$A$2:$Q$122,15,FALSE)</f>
        <v>6.216E-2</v>
      </c>
      <c r="AF94">
        <f>VLOOKUP($A94,Sheet4!$A$2:$Q$122,16,FALSE)</f>
        <v>3.4188000000000003E-2</v>
      </c>
      <c r="AG94">
        <f>VLOOKUP($A94,Sheet4!$A$2:$Q$122,17,FALSE)</f>
        <v>0</v>
      </c>
    </row>
    <row r="95" spans="1:33" x14ac:dyDescent="0.3">
      <c r="A95" s="33">
        <v>1802</v>
      </c>
      <c r="B95" s="27" t="str">
        <f>VLOOKUP($A95, Sheet5!$A$1:$E$119,2,FALSE)</f>
        <v>Healthy</v>
      </c>
      <c r="C95" s="27" t="str">
        <f>VLOOKUP($A95, Sheet5!$A$1:$E$119,3,FALSE)</f>
        <v>otu_2</v>
      </c>
      <c r="D95" s="27" t="str">
        <f>VLOOKUP($A95, Sheet5!$A$1:$E$119,4,FALSE)</f>
        <v>M</v>
      </c>
      <c r="E95" s="27">
        <f>VLOOKUP($A95, Sheet5!$A$1:$E$119,5,FALSE)</f>
        <v>2</v>
      </c>
      <c r="F95" s="67">
        <v>0.89154</v>
      </c>
      <c r="G95" s="67">
        <v>0.10249199999999999</v>
      </c>
      <c r="H95" s="67">
        <v>8.0702362204724404E-3</v>
      </c>
      <c r="I95" s="67">
        <v>0.15289200000000003</v>
      </c>
      <c r="J95" s="67">
        <v>1.2722400000000003</v>
      </c>
      <c r="K95" s="67">
        <v>4.4705263157894734E-3</v>
      </c>
      <c r="L95" s="67">
        <v>0.87287000000000003</v>
      </c>
      <c r="M95" s="67">
        <v>8.1346000000000002E-2</v>
      </c>
      <c r="N95" s="67">
        <v>4.2589528795811517E-3</v>
      </c>
      <c r="O95">
        <v>0.80057</v>
      </c>
      <c r="P95">
        <v>7.5748999999999997E-2</v>
      </c>
      <c r="Q95">
        <v>9.4618834080717487E-2</v>
      </c>
      <c r="R95">
        <f>VLOOKUP($A95,Sheet4!$A$2:$Q$122,2,FALSE)</f>
        <v>0.79</v>
      </c>
      <c r="S95">
        <f>VLOOKUP($A95,Sheet4!$A$2:$Q$122,3,FALSE)</f>
        <v>9.401000000000001E-2</v>
      </c>
      <c r="T95">
        <f>VLOOKUP($A95,Sheet4!$A$2:$Q$122,4,FALSE)</f>
        <v>0</v>
      </c>
      <c r="U95">
        <f>VLOOKUP($A95,Sheet4!$A$2:$Q$122,5,FALSE)</f>
        <v>0.23225999999999999</v>
      </c>
      <c r="V95">
        <f>VLOOKUP($A95,Sheet4!$A$2:$Q$122,6,FALSE)</f>
        <v>1.5</v>
      </c>
      <c r="W95">
        <f>VLOOKUP($A95,Sheet4!$A$2:$Q$122,7,FALSE)</f>
        <v>0.12269999999999999</v>
      </c>
      <c r="X95">
        <f>VLOOKUP($A95,Sheet4!$A$2:$Q$122,8,FALSE)</f>
        <v>6.1050000000000007E-2</v>
      </c>
      <c r="Y95">
        <f>VLOOKUP($A95,Sheet4!$A$2:$Q$122,9,FALSE)</f>
        <v>0.72</v>
      </c>
      <c r="Z95">
        <f>VLOOKUP($A95,Sheet4!$A$2:$Q$122,10,FALSE)</f>
        <v>1.37</v>
      </c>
      <c r="AA95">
        <f>VLOOKUP($A95,Sheet4!$A$2:$Q$122,11,FALSE)</f>
        <v>3.6031000000000001E-2</v>
      </c>
      <c r="AB95">
        <f>VLOOKUP($A95,Sheet4!$A$2:$Q$122,12,FALSE)</f>
        <v>3.9593000000000003E-2</v>
      </c>
      <c r="AC95">
        <f>VLOOKUP($A95,Sheet4!$A$2:$Q$122,13,FALSE)</f>
        <v>0.30825000000000002</v>
      </c>
      <c r="AD95">
        <f>VLOOKUP($A95,Sheet4!$A$2:$Q$122,14,FALSE)</f>
        <v>0.97</v>
      </c>
      <c r="AE95">
        <f>VLOOKUP($A95,Sheet4!$A$2:$Q$122,15,FALSE)</f>
        <v>0.14065</v>
      </c>
      <c r="AF95">
        <f>VLOOKUP($A95,Sheet4!$A$2:$Q$122,16,FALSE)</f>
        <v>6.2564999999999996E-2</v>
      </c>
      <c r="AG95">
        <f>VLOOKUP($A95,Sheet4!$A$2:$Q$122,17,FALSE)</f>
        <v>0.35017000000000004</v>
      </c>
    </row>
    <row r="96" spans="1:33" x14ac:dyDescent="0.3">
      <c r="A96" s="33">
        <v>1806</v>
      </c>
      <c r="B96" s="27" t="str">
        <f>VLOOKUP($A96, Sheet5!$A$1:$E$119,2,FALSE)</f>
        <v>Healthy</v>
      </c>
      <c r="C96" s="27" t="str">
        <f>VLOOKUP($A96, Sheet5!$A$1:$E$119,3,FALSE)</f>
        <v>otu_2</v>
      </c>
      <c r="D96" s="27" t="str">
        <f>VLOOKUP($A96, Sheet5!$A$1:$E$119,4,FALSE)</f>
        <v>M</v>
      </c>
      <c r="E96" s="27">
        <f>VLOOKUP($A96, Sheet5!$A$1:$E$119,5,FALSE)</f>
        <v>1</v>
      </c>
      <c r="F96" s="60"/>
      <c r="G96" s="60"/>
      <c r="H96" s="60"/>
      <c r="I96" s="67">
        <v>0.19755</v>
      </c>
      <c r="J96" s="67">
        <v>1.7998999999999998</v>
      </c>
      <c r="K96" s="67">
        <v>4.8182926829268289E-3</v>
      </c>
      <c r="L96" s="67">
        <v>1.1765000000000001</v>
      </c>
      <c r="M96" s="67">
        <v>0.24017499999999997</v>
      </c>
      <c r="N96" s="67">
        <v>6.6346685082872914E-3</v>
      </c>
      <c r="O96">
        <v>1.35582</v>
      </c>
      <c r="P96">
        <v>5.2088000000000002E-2</v>
      </c>
      <c r="Q96">
        <v>3.84180790960452E-2</v>
      </c>
      <c r="R96">
        <f>VLOOKUP($A96,Sheet4!$A$2:$Q$122,2,FALSE)</f>
        <v>1</v>
      </c>
      <c r="S96">
        <f>VLOOKUP($A96,Sheet4!$A$2:$Q$122,3,FALSE)</f>
        <v>4.24E-2</v>
      </c>
      <c r="T96">
        <f>VLOOKUP($A96,Sheet4!$A$2:$Q$122,4,FALSE)</f>
        <v>3.04E-2</v>
      </c>
      <c r="U96">
        <f>VLOOKUP($A96,Sheet4!$A$2:$Q$122,5,FALSE)</f>
        <v>0.78700000000000003</v>
      </c>
      <c r="V96">
        <f>VLOOKUP($A96,Sheet4!$A$2:$Q$122,6,FALSE)</f>
        <v>1.1300000000000001</v>
      </c>
      <c r="W96">
        <f>VLOOKUP($A96,Sheet4!$A$2:$Q$122,7,FALSE)</f>
        <v>0.14351</v>
      </c>
      <c r="X96">
        <f>VLOOKUP($A96,Sheet4!$A$2:$Q$122,8,FALSE)</f>
        <v>4.791200000000001E-2</v>
      </c>
      <c r="Y96">
        <f>VLOOKUP($A96,Sheet4!$A$2:$Q$122,9,FALSE)</f>
        <v>0.50059000000000009</v>
      </c>
      <c r="Z96">
        <f>VLOOKUP($A96,Sheet4!$A$2:$Q$122,10,FALSE)</f>
        <v>1.1299999999999999</v>
      </c>
      <c r="AA96">
        <f>VLOOKUP($A96,Sheet4!$A$2:$Q$122,11,FALSE)</f>
        <v>1.5819999999999997E-2</v>
      </c>
      <c r="AB96">
        <f>VLOOKUP($A96,Sheet4!$A$2:$Q$122,12,FALSE)</f>
        <v>2.7571999999999996E-2</v>
      </c>
      <c r="AC96">
        <f>VLOOKUP($A96,Sheet4!$A$2:$Q$122,13,FALSE)</f>
        <v>0.32317999999999997</v>
      </c>
      <c r="AD96">
        <f>VLOOKUP($A96,Sheet4!$A$2:$Q$122,14,FALSE)</f>
        <v>0.64</v>
      </c>
      <c r="AE96">
        <f>VLOOKUP($A96,Sheet4!$A$2:$Q$122,15,FALSE)</f>
        <v>6.4639999999999989E-2</v>
      </c>
      <c r="AF96">
        <f>VLOOKUP($A96,Sheet4!$A$2:$Q$122,16,FALSE)</f>
        <v>2.656E-2</v>
      </c>
      <c r="AG96">
        <f>VLOOKUP($A96,Sheet4!$A$2:$Q$122,17,FALSE)</f>
        <v>0.25984000000000002</v>
      </c>
    </row>
    <row r="97" spans="1:33" x14ac:dyDescent="0.3">
      <c r="A97" s="33">
        <v>1811</v>
      </c>
      <c r="B97" s="27" t="str">
        <f>VLOOKUP($A97, Sheet5!$A$1:$E$119,2,FALSE)</f>
        <v>Healthy</v>
      </c>
      <c r="C97" s="27" t="str">
        <f>VLOOKUP($A97, Sheet5!$A$1:$E$119,3,FALSE)</f>
        <v>otu_2</v>
      </c>
      <c r="D97" s="27" t="str">
        <f>VLOOKUP($A97, Sheet5!$A$1:$E$119,4,FALSE)</f>
        <v>M</v>
      </c>
      <c r="E97" s="27">
        <f>VLOOKUP($A97, Sheet5!$A$1:$E$119,5,FALSE)</f>
        <v>5</v>
      </c>
      <c r="F97" s="67">
        <v>1.2648999999999999</v>
      </c>
      <c r="G97" s="67">
        <v>0.16957999999999998</v>
      </c>
      <c r="H97" s="67">
        <v>9.3175824175824179E-3</v>
      </c>
      <c r="I97" s="67">
        <v>0.11220000000000001</v>
      </c>
      <c r="J97" s="67">
        <v>0.81950000000000001</v>
      </c>
      <c r="K97" s="67">
        <v>3.7651006711409397E-3</v>
      </c>
      <c r="L97" s="67">
        <v>0.7365600000000001</v>
      </c>
      <c r="M97" s="67">
        <v>0.20385600000000004</v>
      </c>
      <c r="N97" s="67">
        <v>1.0295757575757576E-2</v>
      </c>
      <c r="O97">
        <v>0.58157999999999999</v>
      </c>
      <c r="P97">
        <v>5.2772999999999994E-2</v>
      </c>
      <c r="Q97">
        <v>9.0740740740740733E-2</v>
      </c>
      <c r="R97">
        <f>VLOOKUP($A97,Sheet4!$A$2:$Q$122,2,FALSE)</f>
        <v>0.44</v>
      </c>
      <c r="S97">
        <f>VLOOKUP($A97,Sheet4!$A$2:$Q$122,3,FALSE)</f>
        <v>0</v>
      </c>
      <c r="T97">
        <f>VLOOKUP($A97,Sheet4!$A$2:$Q$122,4,FALSE)</f>
        <v>2.5256000000000004E-2</v>
      </c>
      <c r="U97">
        <f>VLOOKUP($A97,Sheet4!$A$2:$Q$122,5,FALSE)</f>
        <v>0.12528</v>
      </c>
      <c r="V97">
        <f>VLOOKUP($A97,Sheet4!$A$2:$Q$122,6,FALSE)</f>
        <v>0.53</v>
      </c>
      <c r="W97">
        <f>VLOOKUP($A97,Sheet4!$A$2:$Q$122,7,FALSE)</f>
        <v>6.9430000000000006E-2</v>
      </c>
      <c r="X97">
        <f>VLOOKUP($A97,Sheet4!$A$2:$Q$122,8,FALSE)</f>
        <v>8.2150000000000018E-3</v>
      </c>
      <c r="Y97">
        <f>VLOOKUP($A97,Sheet4!$A$2:$Q$122,9,FALSE)</f>
        <v>0.29256000000000004</v>
      </c>
      <c r="Z97">
        <f>VLOOKUP($A97,Sheet4!$A$2:$Q$122,10,FALSE)</f>
        <v>0.32</v>
      </c>
      <c r="AA97">
        <f>VLOOKUP($A97,Sheet4!$A$2:$Q$122,11,FALSE)</f>
        <v>4.6080000000000003E-2</v>
      </c>
      <c r="AB97">
        <f>VLOOKUP($A97,Sheet4!$A$2:$Q$122,12,FALSE)</f>
        <v>1.1136E-2</v>
      </c>
      <c r="AC97">
        <f>VLOOKUP($A97,Sheet4!$A$2:$Q$122,13,FALSE)</f>
        <v>0.17792000000000002</v>
      </c>
      <c r="AD97">
        <f>VLOOKUP($A97,Sheet4!$A$2:$Q$122,14,FALSE)</f>
        <v>0.28000000000000003</v>
      </c>
      <c r="AE97">
        <f>VLOOKUP($A97,Sheet4!$A$2:$Q$122,15,FALSE)</f>
        <v>0</v>
      </c>
      <c r="AF97">
        <f>VLOOKUP($A97,Sheet4!$A$2:$Q$122,16,FALSE)</f>
        <v>1.4084000000000001E-2</v>
      </c>
      <c r="AG97">
        <f>VLOOKUP($A97,Sheet4!$A$2:$Q$122,17,FALSE)</f>
        <v>0.12852</v>
      </c>
    </row>
    <row r="98" spans="1:33" x14ac:dyDescent="0.3">
      <c r="A98" s="33">
        <v>1826</v>
      </c>
      <c r="B98" s="27" t="str">
        <f>VLOOKUP($A98, Sheet5!$A$1:$E$119,2,FALSE)</f>
        <v>Healthy</v>
      </c>
      <c r="C98" s="27" t="str">
        <f>VLOOKUP($A98, Sheet5!$A$1:$E$119,3,FALSE)</f>
        <v>otu_2</v>
      </c>
      <c r="D98" s="27" t="str">
        <f>VLOOKUP($A98, Sheet5!$A$1:$E$119,4,FALSE)</f>
        <v>M</v>
      </c>
      <c r="E98" s="27">
        <f>VLOOKUP($A98, Sheet5!$A$1:$E$119,5,FALSE)</f>
        <v>4</v>
      </c>
      <c r="F98" s="67">
        <v>1.2927199999999999</v>
      </c>
      <c r="G98" s="67">
        <v>0.49267999999999995</v>
      </c>
      <c r="H98" s="67">
        <v>1.7226573426573424E-2</v>
      </c>
      <c r="I98" s="67">
        <v>0.57600000000000007</v>
      </c>
      <c r="J98" s="67">
        <v>2.8288000000000006</v>
      </c>
      <c r="K98" s="67">
        <v>2.6063348416289593E-2</v>
      </c>
      <c r="L98" s="67">
        <v>2.1879</v>
      </c>
      <c r="M98" s="67">
        <v>0.29483999999999999</v>
      </c>
      <c r="N98" s="67">
        <v>1.5766844919786097E-2</v>
      </c>
      <c r="O98">
        <v>2.02224</v>
      </c>
      <c r="P98">
        <v>0.59748000000000001</v>
      </c>
      <c r="Q98">
        <v>0.29545454545454547</v>
      </c>
      <c r="R98">
        <f>VLOOKUP($A98,Sheet4!$A$2:$Q$122,2,FALSE)</f>
        <v>3.34</v>
      </c>
      <c r="S98">
        <f>VLOOKUP($A98,Sheet4!$A$2:$Q$122,3,FALSE)</f>
        <v>0.14862999999999998</v>
      </c>
      <c r="T98">
        <f>VLOOKUP($A98,Sheet4!$A$2:$Q$122,4,FALSE)</f>
        <v>0.15096799999999999</v>
      </c>
      <c r="U98">
        <f>VLOOKUP($A98,Sheet4!$A$2:$Q$122,5,FALSE)</f>
        <v>0.71810000000000007</v>
      </c>
      <c r="V98">
        <f>VLOOKUP($A98,Sheet4!$A$2:$Q$122,6,FALSE)</f>
        <v>6.17</v>
      </c>
      <c r="W98">
        <f>VLOOKUP($A98,Sheet4!$A$2:$Q$122,7,FALSE)</f>
        <v>5.0593999999999993E-2</v>
      </c>
      <c r="X98">
        <f>VLOOKUP($A98,Sheet4!$A$2:$Q$122,8,FALSE)</f>
        <v>1.7276000000000003E-2</v>
      </c>
      <c r="Y98">
        <f>VLOOKUP($A98,Sheet4!$A$2:$Q$122,9,FALSE)</f>
        <v>2.9986200000000003</v>
      </c>
      <c r="Z98">
        <f>VLOOKUP($A98,Sheet4!$A$2:$Q$122,10,FALSE)</f>
        <v>2.65</v>
      </c>
      <c r="AA98">
        <f>VLOOKUP($A98,Sheet4!$A$2:$Q$122,11,FALSE)</f>
        <v>1.8814999999999998E-2</v>
      </c>
      <c r="AB98">
        <f>VLOOKUP($A98,Sheet4!$A$2:$Q$122,12,FALSE)</f>
        <v>1.3514999999999999E-2</v>
      </c>
      <c r="AC98">
        <f>VLOOKUP($A98,Sheet4!$A$2:$Q$122,13,FALSE)</f>
        <v>0.68370000000000009</v>
      </c>
      <c r="AD98">
        <f>VLOOKUP($A98,Sheet4!$A$2:$Q$122,14,FALSE)</f>
        <v>2.2800000000000002</v>
      </c>
      <c r="AE98">
        <f>VLOOKUP($A98,Sheet4!$A$2:$Q$122,15,FALSE)</f>
        <v>6.817200000000001E-2</v>
      </c>
      <c r="AF98">
        <f>VLOOKUP($A98,Sheet4!$A$2:$Q$122,16,FALSE)</f>
        <v>2.2572000000000002E-2</v>
      </c>
      <c r="AG98">
        <f>VLOOKUP($A98,Sheet4!$A$2:$Q$122,17,FALSE)</f>
        <v>0.71592</v>
      </c>
    </row>
    <row r="99" spans="1:33" x14ac:dyDescent="0.3">
      <c r="A99" s="33">
        <v>1827</v>
      </c>
      <c r="B99" s="27" t="str">
        <f>VLOOKUP($A99, Sheet5!$A$1:$E$119,2,FALSE)</f>
        <v>Healthy</v>
      </c>
      <c r="C99" s="27" t="str">
        <f>VLOOKUP($A99, Sheet5!$A$1:$E$119,3,FALSE)</f>
        <v>otu_2</v>
      </c>
      <c r="D99" s="27" t="str">
        <f>VLOOKUP($A99, Sheet5!$A$1:$E$119,4,FALSE)</f>
        <v>M</v>
      </c>
      <c r="E99" s="27">
        <f>VLOOKUP($A99, Sheet5!$A$1:$E$119,5,FALSE)</f>
        <v>1</v>
      </c>
      <c r="F99" s="60"/>
      <c r="G99" s="60"/>
      <c r="H99" s="60"/>
      <c r="I99" s="67">
        <v>6.3990000000000005E-2</v>
      </c>
      <c r="J99" s="67">
        <v>0.75195000000000012</v>
      </c>
      <c r="K99" s="67">
        <v>1.1488330341113105E-3</v>
      </c>
      <c r="L99" s="67">
        <v>2.7241999999999997</v>
      </c>
      <c r="M99" s="67">
        <v>0.42353600000000002</v>
      </c>
      <c r="N99" s="67">
        <v>7.991245283018868E-3</v>
      </c>
      <c r="O99">
        <v>1.4416</v>
      </c>
      <c r="P99">
        <v>0.18428</v>
      </c>
      <c r="Q99">
        <v>0.12783018867924528</v>
      </c>
      <c r="R99">
        <f>VLOOKUP($A99,Sheet4!$A$2:$Q$122,2,FALSE)</f>
        <v>4.12</v>
      </c>
      <c r="S99">
        <f>VLOOKUP($A99,Sheet4!$A$2:$Q$122,3,FALSE)</f>
        <v>0.14296400000000001</v>
      </c>
      <c r="T99">
        <f>VLOOKUP($A99,Sheet4!$A$2:$Q$122,4,FALSE)</f>
        <v>0.1133</v>
      </c>
      <c r="U99">
        <f>VLOOKUP($A99,Sheet4!$A$2:$Q$122,5,FALSE)</f>
        <v>1.1948000000000001</v>
      </c>
      <c r="V99">
        <f>VLOOKUP($A99,Sheet4!$A$2:$Q$122,6,FALSE)</f>
        <v>5.75</v>
      </c>
      <c r="W99">
        <f>VLOOKUP($A99,Sheet4!$A$2:$Q$122,7,FALSE)</f>
        <v>0.25587500000000002</v>
      </c>
      <c r="X99">
        <f>VLOOKUP($A99,Sheet4!$A$2:$Q$122,8,FALSE)</f>
        <v>6.4399999999999999E-2</v>
      </c>
      <c r="Y99">
        <f>VLOOKUP($A99,Sheet4!$A$2:$Q$122,9,FALSE)</f>
        <v>3.2717499999999999</v>
      </c>
      <c r="Z99">
        <f>VLOOKUP($A99,Sheet4!$A$2:$Q$122,10,FALSE)</f>
        <v>4.9800000000000004</v>
      </c>
      <c r="AA99">
        <f>VLOOKUP($A99,Sheet4!$A$2:$Q$122,11,FALSE)</f>
        <v>7.2209999999999996E-2</v>
      </c>
      <c r="AB99">
        <f>VLOOKUP($A99,Sheet4!$A$2:$Q$122,12,FALSE)</f>
        <v>3.5358000000000001E-2</v>
      </c>
      <c r="AC99">
        <f>VLOOKUP($A99,Sheet4!$A$2:$Q$122,13,FALSE)</f>
        <v>1.5288599999999999</v>
      </c>
      <c r="AD99">
        <f>VLOOKUP($A99,Sheet4!$A$2:$Q$122,14,FALSE)</f>
        <v>0</v>
      </c>
      <c r="AE99">
        <f>VLOOKUP($A99,Sheet4!$A$2:$Q$122,15,FALSE)</f>
        <v>0</v>
      </c>
      <c r="AF99">
        <f>VLOOKUP($A99,Sheet4!$A$2:$Q$122,16,FALSE)</f>
        <v>0</v>
      </c>
      <c r="AG99">
        <f>VLOOKUP($A99,Sheet4!$A$2:$Q$122,17,FALSE)</f>
        <v>0</v>
      </c>
    </row>
    <row r="100" spans="1:33" x14ac:dyDescent="0.3">
      <c r="A100" s="33">
        <v>1829</v>
      </c>
      <c r="B100" s="27" t="str">
        <f>VLOOKUP($A100, Sheet5!$A$1:$E$119,2,FALSE)</f>
        <v>Healthy</v>
      </c>
      <c r="C100" s="27" t="str">
        <f>VLOOKUP($A100, Sheet5!$A$1:$E$119,3,FALSE)</f>
        <v>otu_2</v>
      </c>
      <c r="D100" s="27" t="str">
        <f>VLOOKUP($A100, Sheet5!$A$1:$E$119,4,FALSE)</f>
        <v>M</v>
      </c>
      <c r="E100" s="27">
        <f>VLOOKUP($A100, Sheet5!$A$1:$E$119,5,FALSE)</f>
        <v>2</v>
      </c>
      <c r="F100" s="67">
        <v>0.67347999999999997</v>
      </c>
      <c r="G100" s="67">
        <v>0.490508</v>
      </c>
      <c r="H100" s="67">
        <v>4.3407787610619468E-2</v>
      </c>
      <c r="I100" s="67">
        <v>0.11303199999999998</v>
      </c>
      <c r="J100" s="67">
        <v>1.0706800000000001</v>
      </c>
      <c r="K100" s="67">
        <v>2.9981962864721484E-3</v>
      </c>
      <c r="L100" s="67">
        <v>1.6918799999999998</v>
      </c>
      <c r="M100" s="67">
        <v>0.42227999999999999</v>
      </c>
      <c r="N100" s="67">
        <v>6.8887438825448611E-3</v>
      </c>
      <c r="R100">
        <f>VLOOKUP($A100,Sheet4!$A$2:$Q$122,2,FALSE)</f>
        <v>3.71</v>
      </c>
      <c r="S100">
        <f>VLOOKUP($A100,Sheet4!$A$2:$Q$122,3,FALSE)</f>
        <v>0.14951300000000001</v>
      </c>
      <c r="T100">
        <f>VLOOKUP($A100,Sheet4!$A$2:$Q$122,4,FALSE)</f>
        <v>0.11575200000000001</v>
      </c>
      <c r="U100">
        <f>VLOOKUP($A100,Sheet4!$A$2:$Q$122,5,FALSE)</f>
        <v>0.81899999999999995</v>
      </c>
      <c r="V100">
        <f>VLOOKUP($A100,Sheet4!$A$2:$Q$122,6,FALSE)</f>
        <v>6.57</v>
      </c>
      <c r="W100">
        <f>VLOOKUP($A100,Sheet4!$A$2:$Q$122,7,FALSE)</f>
        <v>0.24440400000000004</v>
      </c>
      <c r="X100">
        <f>VLOOKUP($A100,Sheet4!$A$2:$Q$122,8,FALSE)</f>
        <v>7.9496999999999998E-2</v>
      </c>
      <c r="Y100">
        <f>VLOOKUP($A100,Sheet4!$A$2:$Q$122,9,FALSE)</f>
        <v>2.40462</v>
      </c>
      <c r="Z100">
        <f>VLOOKUP($A100,Sheet4!$A$2:$Q$122,10,FALSE)</f>
        <v>4.46</v>
      </c>
      <c r="AA100">
        <f>VLOOKUP($A100,Sheet4!$A$2:$Q$122,11,FALSE)</f>
        <v>8.2956000000000002E-2</v>
      </c>
      <c r="AB100">
        <f>VLOOKUP($A100,Sheet4!$A$2:$Q$122,12,FALSE)</f>
        <v>2.8544E-2</v>
      </c>
      <c r="AC100">
        <f>VLOOKUP($A100,Sheet4!$A$2:$Q$122,13,FALSE)</f>
        <v>1.0704</v>
      </c>
      <c r="AD100">
        <f>VLOOKUP($A100,Sheet4!$A$2:$Q$122,14,FALSE)</f>
        <v>3.21</v>
      </c>
      <c r="AE100">
        <f>VLOOKUP($A100,Sheet4!$A$2:$Q$122,15,FALSE)</f>
        <v>0.17269799999999999</v>
      </c>
      <c r="AF100">
        <f>VLOOKUP($A100,Sheet4!$A$2:$Q$122,16,FALSE)</f>
        <v>4.9434000000000006E-2</v>
      </c>
      <c r="AG100">
        <f>VLOOKUP($A100,Sheet4!$A$2:$Q$122,17,FALSE)</f>
        <v>0.66768000000000005</v>
      </c>
    </row>
    <row r="101" spans="1:33" x14ac:dyDescent="0.3">
      <c r="A101" s="33">
        <v>1832</v>
      </c>
      <c r="B101" s="27" t="str">
        <f>VLOOKUP($A101, Sheet5!$A$1:$E$119,2,FALSE)</f>
        <v>Healthy</v>
      </c>
      <c r="C101" s="27" t="str">
        <f>VLOOKUP($A101, Sheet5!$A$1:$E$119,3,FALSE)</f>
        <v>otu_2</v>
      </c>
      <c r="D101" s="27" t="str">
        <f>VLOOKUP($A101, Sheet5!$A$1:$E$119,4,FALSE)</f>
        <v>F</v>
      </c>
      <c r="E101" s="27">
        <f>VLOOKUP($A101, Sheet5!$A$1:$E$119,5,FALSE)</f>
        <v>0</v>
      </c>
      <c r="F101" s="67">
        <v>0.72</v>
      </c>
      <c r="G101" s="67">
        <v>0.19800000000000001</v>
      </c>
      <c r="H101" s="67">
        <v>1.3749999999999998E-2</v>
      </c>
      <c r="I101" s="67">
        <v>8.3160000000000005E-3</v>
      </c>
      <c r="J101" s="67">
        <v>0.58463999999999994</v>
      </c>
      <c r="K101" s="67">
        <v>3.5844827586206901E-4</v>
      </c>
      <c r="L101" s="67">
        <v>1.27095</v>
      </c>
      <c r="M101" s="67">
        <v>0.45571</v>
      </c>
      <c r="N101" s="67">
        <v>8.2109909909909903E-3</v>
      </c>
      <c r="O101">
        <v>1.4732500000000002</v>
      </c>
      <c r="P101">
        <v>0.41914999999999997</v>
      </c>
      <c r="Q101">
        <v>0.28450704225352108</v>
      </c>
      <c r="R101">
        <f>VLOOKUP($A101,Sheet4!$A$2:$Q$122,2,FALSE)</f>
        <v>2.33</v>
      </c>
      <c r="S101">
        <f>VLOOKUP($A101,Sheet4!$A$2:$Q$122,3,FALSE)</f>
        <v>9.8792000000000005E-2</v>
      </c>
      <c r="T101">
        <f>VLOOKUP($A101,Sheet4!$A$2:$Q$122,4,FALSE)</f>
        <v>3.4949999999999998E-3</v>
      </c>
      <c r="U101">
        <f>VLOOKUP($A101,Sheet4!$A$2:$Q$122,5,FALSE)</f>
        <v>0.87141999999999997</v>
      </c>
      <c r="V101">
        <f>VLOOKUP($A101,Sheet4!$A$2:$Q$122,6,FALSE)</f>
        <v>5.96</v>
      </c>
      <c r="W101">
        <f>VLOOKUP($A101,Sheet4!$A$2:$Q$122,7,FALSE)</f>
        <v>4.8871999999999999E-2</v>
      </c>
      <c r="X101">
        <f>VLOOKUP($A101,Sheet4!$A$2:$Q$122,8,FALSE)</f>
        <v>1.3111999999999998E-3</v>
      </c>
      <c r="Y101">
        <f>VLOOKUP($A101,Sheet4!$A$2:$Q$122,9,FALSE)</f>
        <v>3.2243599999999999</v>
      </c>
      <c r="Z101">
        <f>VLOOKUP($A101,Sheet4!$A$2:$Q$122,10,FALSE)</f>
        <v>21.8</v>
      </c>
      <c r="AA101">
        <f>VLOOKUP($A101,Sheet4!$A$2:$Q$122,11,FALSE)</f>
        <v>0.16786000000000001</v>
      </c>
      <c r="AB101">
        <f>VLOOKUP($A101,Sheet4!$A$2:$Q$122,12,FALSE)</f>
        <v>5.886000000000001E-2</v>
      </c>
      <c r="AC101">
        <f>VLOOKUP($A101,Sheet4!$A$2:$Q$122,13,FALSE)</f>
        <v>5.4063999999999997</v>
      </c>
      <c r="AD101">
        <f>VLOOKUP($A101,Sheet4!$A$2:$Q$122,14,FALSE)</f>
        <v>3.23</v>
      </c>
      <c r="AE101">
        <f>VLOOKUP($A101,Sheet4!$A$2:$Q$122,15,FALSE)</f>
        <v>9.9483999999999989E-2</v>
      </c>
      <c r="AF101">
        <f>VLOOKUP($A101,Sheet4!$A$2:$Q$122,16,FALSE)</f>
        <v>2.4870999999999999E-3</v>
      </c>
      <c r="AG101">
        <f>VLOOKUP($A101,Sheet4!$A$2:$Q$122,17,FALSE)</f>
        <v>0</v>
      </c>
    </row>
    <row r="102" spans="1:33" x14ac:dyDescent="0.3">
      <c r="A102" s="33">
        <v>1835</v>
      </c>
      <c r="B102" s="27" t="str">
        <f>VLOOKUP($A102, Sheet5!$A$1:$E$119,2,FALSE)</f>
        <v>Healthy</v>
      </c>
      <c r="C102" s="27" t="str">
        <f>VLOOKUP($A102, Sheet5!$A$1:$E$119,3,FALSE)</f>
        <v>otu_2</v>
      </c>
      <c r="D102" s="27" t="str">
        <f>VLOOKUP($A102, Sheet5!$A$1:$E$119,4,FALSE)</f>
        <v>M</v>
      </c>
      <c r="E102" s="27">
        <f>VLOOKUP($A102, Sheet5!$A$1:$E$119,5,FALSE)</f>
        <v>6</v>
      </c>
      <c r="F102" s="86"/>
      <c r="G102" s="86"/>
      <c r="H102" s="86"/>
      <c r="I102" s="67">
        <v>3.7422000000000004E-2</v>
      </c>
      <c r="J102" s="67">
        <v>0.77436000000000005</v>
      </c>
      <c r="K102" s="67">
        <v>7.8288702928870299E-4</v>
      </c>
      <c r="L102" s="67">
        <v>4.42598</v>
      </c>
      <c r="M102" s="67">
        <v>1.4175200000000001</v>
      </c>
      <c r="N102" s="67">
        <v>2.414855195911414E-2</v>
      </c>
      <c r="O102">
        <v>1.08016</v>
      </c>
      <c r="P102">
        <v>0.14310400000000001</v>
      </c>
      <c r="Q102">
        <v>0.13248407643312102</v>
      </c>
      <c r="R102">
        <f>VLOOKUP($A102,Sheet4!$A$2:$Q$122,2,FALSE)</f>
        <v>0</v>
      </c>
      <c r="S102">
        <f>VLOOKUP($A102,Sheet4!$A$2:$Q$122,3,FALSE)</f>
        <v>0</v>
      </c>
      <c r="T102">
        <f>VLOOKUP($A102,Sheet4!$A$2:$Q$122,4,FALSE)</f>
        <v>0</v>
      </c>
      <c r="U102">
        <f>VLOOKUP($A102,Sheet4!$A$2:$Q$122,5,FALSE)</f>
        <v>0</v>
      </c>
      <c r="V102">
        <f>VLOOKUP($A102,Sheet4!$A$2:$Q$122,6,FALSE)</f>
        <v>2.81</v>
      </c>
      <c r="W102">
        <f>VLOOKUP($A102,Sheet4!$A$2:$Q$122,7,FALSE)</f>
        <v>1.8546E-2</v>
      </c>
      <c r="X102">
        <f>VLOOKUP($A102,Sheet4!$A$2:$Q$122,8,FALSE)</f>
        <v>2.4727999999999998E-3</v>
      </c>
      <c r="Y102">
        <f>VLOOKUP($A102,Sheet4!$A$2:$Q$122,9,FALSE)</f>
        <v>1.4836799999999999</v>
      </c>
      <c r="Z102">
        <f>VLOOKUP($A102,Sheet4!$A$2:$Q$122,10,FALSE)</f>
        <v>0</v>
      </c>
      <c r="AA102">
        <f>VLOOKUP($A102,Sheet4!$A$2:$Q$122,11,FALSE)</f>
        <v>0</v>
      </c>
      <c r="AB102">
        <f>VLOOKUP($A102,Sheet4!$A$2:$Q$122,12,FALSE)</f>
        <v>0</v>
      </c>
      <c r="AC102">
        <f>VLOOKUP($A102,Sheet4!$A$2:$Q$122,13,FALSE)</f>
        <v>0</v>
      </c>
      <c r="AD102">
        <f>VLOOKUP($A102,Sheet4!$A$2:$Q$122,14,FALSE)</f>
        <v>1.38</v>
      </c>
      <c r="AE102">
        <f>VLOOKUP($A102,Sheet4!$A$2:$Q$122,15,FALSE)</f>
        <v>1.5731999999999996E-2</v>
      </c>
      <c r="AF102">
        <f>VLOOKUP($A102,Sheet4!$A$2:$Q$122,16,FALSE)</f>
        <v>2.0699999999999998E-3</v>
      </c>
      <c r="AG102">
        <f>VLOOKUP($A102,Sheet4!$A$2:$Q$122,17,FALSE)</f>
        <v>0.57821999999999996</v>
      </c>
    </row>
    <row r="103" spans="1:33" x14ac:dyDescent="0.3">
      <c r="A103" s="33">
        <v>1836</v>
      </c>
      <c r="B103" s="27" t="str">
        <f>VLOOKUP($A103, Sheet5!$A$1:$E$119,2,FALSE)</f>
        <v>Healthy</v>
      </c>
      <c r="C103" s="27" t="str">
        <f>VLOOKUP($A103, Sheet5!$A$1:$E$119,3,FALSE)</f>
        <v>otu_2</v>
      </c>
      <c r="D103" s="27" t="str">
        <f>VLOOKUP($A103, Sheet5!$A$1:$E$119,4,FALSE)</f>
        <v>M</v>
      </c>
      <c r="E103" s="27">
        <f>VLOOKUP($A103, Sheet5!$A$1:$E$119,5,FALSE)</f>
        <v>4</v>
      </c>
      <c r="F103" s="67">
        <v>1.1052299999999999</v>
      </c>
      <c r="G103" s="67">
        <v>0.53067000000000009</v>
      </c>
      <c r="H103" s="67">
        <v>1.9157761732851986E-2</v>
      </c>
      <c r="I103" s="45"/>
      <c r="J103" s="45"/>
      <c r="K103" s="45"/>
      <c r="L103" s="45"/>
      <c r="M103" s="45"/>
      <c r="N103" s="45"/>
      <c r="R103">
        <f>VLOOKUP($A103,Sheet4!$A$2:$Q$122,2,FALSE)</f>
        <v>0</v>
      </c>
      <c r="S103">
        <f>VLOOKUP($A103,Sheet4!$A$2:$Q$122,3,FALSE)</f>
        <v>0</v>
      </c>
      <c r="T103">
        <f>VLOOKUP($A103,Sheet4!$A$2:$Q$122,4,FALSE)</f>
        <v>0</v>
      </c>
      <c r="U103">
        <f>VLOOKUP($A103,Sheet4!$A$2:$Q$122,5,FALSE)</f>
        <v>0</v>
      </c>
      <c r="V103">
        <f>VLOOKUP($A103,Sheet4!$A$2:$Q$122,6,FALSE)</f>
        <v>0</v>
      </c>
      <c r="W103">
        <f>VLOOKUP($A103,Sheet4!$A$2:$Q$122,7,FALSE)</f>
        <v>0</v>
      </c>
      <c r="X103">
        <f>VLOOKUP($A103,Sheet4!$A$2:$Q$122,8,FALSE)</f>
        <v>0</v>
      </c>
      <c r="Y103">
        <f>VLOOKUP($A103,Sheet4!$A$2:$Q$122,9,FALSE)</f>
        <v>0</v>
      </c>
      <c r="Z103">
        <f>VLOOKUP($A103,Sheet4!$A$2:$Q$122,10,FALSE)</f>
        <v>0</v>
      </c>
      <c r="AA103">
        <f>VLOOKUP($A103,Sheet4!$A$2:$Q$122,11,FALSE)</f>
        <v>0</v>
      </c>
      <c r="AB103">
        <f>VLOOKUP($A103,Sheet4!$A$2:$Q$122,12,FALSE)</f>
        <v>0</v>
      </c>
      <c r="AC103">
        <f>VLOOKUP($A103,Sheet4!$A$2:$Q$122,13,FALSE)</f>
        <v>0</v>
      </c>
      <c r="AD103">
        <f>VLOOKUP($A103,Sheet4!$A$2:$Q$122,14,FALSE)</f>
        <v>0</v>
      </c>
      <c r="AE103">
        <f>VLOOKUP($A103,Sheet4!$A$2:$Q$122,15,FALSE)</f>
        <v>0</v>
      </c>
      <c r="AF103">
        <f>VLOOKUP($A103,Sheet4!$A$2:$Q$122,16,FALSE)</f>
        <v>0</v>
      </c>
      <c r="AG103">
        <f>VLOOKUP($A103,Sheet4!$A$2:$Q$122,17,FALSE)</f>
        <v>0</v>
      </c>
    </row>
    <row r="104" spans="1:33" x14ac:dyDescent="0.3">
      <c r="A104" s="7">
        <v>1854</v>
      </c>
      <c r="B104" s="27" t="str">
        <f>VLOOKUP($A104, Sheet5!$A$1:$E$119,2,FALSE)</f>
        <v>IBD</v>
      </c>
      <c r="C104" s="27" t="str">
        <f>VLOOKUP($A104, Sheet5!$A$1:$E$119,3,FALSE)</f>
        <v>otu_1</v>
      </c>
      <c r="D104" s="27" t="str">
        <f>VLOOKUP($A104, Sheet5!$A$1:$E$119,4,FALSE)</f>
        <v>M</v>
      </c>
      <c r="E104" s="27">
        <f>VLOOKUP($A104, Sheet5!$A$1:$E$119,5,FALSE)</f>
        <v>5</v>
      </c>
      <c r="F104" s="67">
        <v>1.7554500000000002</v>
      </c>
      <c r="G104" s="67">
        <v>1.0955699999999999</v>
      </c>
      <c r="H104" s="67">
        <v>2.6399277108433736E-2</v>
      </c>
      <c r="I104" s="45"/>
      <c r="J104" s="45"/>
      <c r="K104" s="45"/>
      <c r="L104" s="45">
        <v>0.44351999999999997</v>
      </c>
      <c r="M104" s="45">
        <v>0.30071999999999993</v>
      </c>
      <c r="N104" s="45">
        <v>1.1390909090909089E-2</v>
      </c>
      <c r="O104">
        <v>0.45526000000000005</v>
      </c>
      <c r="P104">
        <v>0.26058999999999999</v>
      </c>
      <c r="Q104">
        <v>5.8957013574660634E-3</v>
      </c>
      <c r="R104">
        <f>VLOOKUP($A104,Sheet4!$A$2:$Q$122,2,FALSE)</f>
        <v>10.39</v>
      </c>
      <c r="S104">
        <f>VLOOKUP($A104,Sheet4!$A$2:$Q$122,3,FALSE)</f>
        <v>0.40313200000000005</v>
      </c>
      <c r="T104">
        <f>VLOOKUP($A104,Sheet4!$A$2:$Q$122,4,FALSE)</f>
        <v>0.24832100000000004</v>
      </c>
      <c r="U104">
        <f>VLOOKUP($A104,Sheet4!$A$2:$Q$122,5,FALSE)</f>
        <v>0.68885700000000005</v>
      </c>
      <c r="V104">
        <f>VLOOKUP($A104,Sheet4!$A$2:$Q$122,6,FALSE)</f>
        <v>10.36</v>
      </c>
      <c r="W104">
        <f>VLOOKUP($A104,Sheet4!$A$2:$Q$122,7,FALSE)</f>
        <v>9.4275999999999999E-2</v>
      </c>
      <c r="X104">
        <f>VLOOKUP($A104,Sheet4!$A$2:$Q$122,8,FALSE)</f>
        <v>6.3195999999999988E-2</v>
      </c>
      <c r="Y104">
        <f>VLOOKUP($A104,Sheet4!$A$2:$Q$122,9,FALSE)</f>
        <v>0.81118799999999991</v>
      </c>
      <c r="Z104">
        <f>VLOOKUP($A104,Sheet4!$A$2:$Q$122,10,FALSE)</f>
        <v>10.87</v>
      </c>
      <c r="AA104">
        <f>VLOOKUP($A104,Sheet4!$A$2:$Q$122,11,FALSE)</f>
        <v>0.10869999999999999</v>
      </c>
      <c r="AB104">
        <f>VLOOKUP($A104,Sheet4!$A$2:$Q$122,12,FALSE)</f>
        <v>7.2828999999999991E-2</v>
      </c>
      <c r="AC104">
        <f>VLOOKUP($A104,Sheet4!$A$2:$Q$122,13,FALSE)</f>
        <v>0.66198299999999988</v>
      </c>
      <c r="AD104">
        <f>VLOOKUP($A104,Sheet4!$A$2:$Q$122,14,FALSE)</f>
        <v>6.8100000000000005</v>
      </c>
      <c r="AE104">
        <f>VLOOKUP($A104,Sheet4!$A$2:$Q$122,15,FALSE)</f>
        <v>5.9247000000000008E-2</v>
      </c>
      <c r="AF104">
        <f>VLOOKUP($A104,Sheet4!$A$2:$Q$122,16,FALSE)</f>
        <v>4.2222000000000003E-2</v>
      </c>
      <c r="AG104">
        <f>VLOOKUP($A104,Sheet4!$A$2:$Q$122,17,FALSE)</f>
        <v>0.43515900000000002</v>
      </c>
    </row>
    <row r="105" spans="1:33" x14ac:dyDescent="0.3">
      <c r="A105" s="33">
        <v>1816</v>
      </c>
      <c r="B105" s="27" t="str">
        <f>VLOOKUP($A105, Sheet5!$A$1:$E$119,2,FALSE)</f>
        <v>Healthy</v>
      </c>
      <c r="C105" s="27" t="str">
        <f>VLOOKUP($A105, Sheet5!$A$1:$E$119,3,FALSE)</f>
        <v>otu_2</v>
      </c>
      <c r="D105" s="27" t="str">
        <f>VLOOKUP($A105, Sheet5!$A$1:$E$119,4,FALSE)</f>
        <v>M</v>
      </c>
      <c r="E105" s="27">
        <f>VLOOKUP($A105, Sheet5!$A$1:$E$119,5,FALSE)</f>
        <v>4</v>
      </c>
      <c r="F105" s="67">
        <v>2.5564</v>
      </c>
      <c r="G105" s="67">
        <v>1.3244</v>
      </c>
      <c r="H105" s="67">
        <v>3.9891566265060234E-2</v>
      </c>
      <c r="I105" s="45">
        <v>0.30888000000000004</v>
      </c>
      <c r="J105" s="45">
        <v>1.2533400000000001</v>
      </c>
      <c r="K105" s="45">
        <v>7.3194312796208538E-3</v>
      </c>
      <c r="L105" s="45">
        <v>1.9631499999999997</v>
      </c>
      <c r="M105" s="45">
        <v>0.49699999999999994</v>
      </c>
      <c r="N105" s="45">
        <v>8.9873417721518991E-3</v>
      </c>
      <c r="O105">
        <v>0.70735000000000003</v>
      </c>
      <c r="P105">
        <v>0.20575499999999999</v>
      </c>
      <c r="Q105">
        <v>0.29088145896656531</v>
      </c>
      <c r="R105">
        <f>VLOOKUP($A105,Sheet4!$A$2:$Q$122,2,FALSE)</f>
        <v>1.63</v>
      </c>
      <c r="S105">
        <f>VLOOKUP($A105,Sheet4!$A$2:$Q$122,3,FALSE)</f>
        <v>0.29503000000000001</v>
      </c>
      <c r="T105">
        <f>VLOOKUP($A105,Sheet4!$A$2:$Q$122,4,FALSE)</f>
        <v>7.0741999999999999E-2</v>
      </c>
      <c r="U105">
        <f>VLOOKUP($A105,Sheet4!$A$2:$Q$122,5,FALSE)</f>
        <v>0.82368000000000008</v>
      </c>
      <c r="V105">
        <f>VLOOKUP($A105,Sheet4!$A$2:$Q$122,6,FALSE)</f>
        <v>3.97</v>
      </c>
      <c r="W105">
        <f>VLOOKUP($A105,Sheet4!$A$2:$Q$122,7,FALSE)</f>
        <v>0.231848</v>
      </c>
      <c r="X105">
        <f>VLOOKUP($A105,Sheet4!$A$2:$Q$122,8,FALSE)</f>
        <v>4.7640000000000002E-2</v>
      </c>
      <c r="Y105">
        <f>VLOOKUP($A105,Sheet4!$A$2:$Q$122,9,FALSE)</f>
        <v>1.9095700000000002</v>
      </c>
      <c r="Z105">
        <f>VLOOKUP($A105,Sheet4!$A$2:$Q$122,10,FALSE)</f>
        <v>1.4</v>
      </c>
      <c r="AA105">
        <f>VLOOKUP($A105,Sheet4!$A$2:$Q$122,11,FALSE)</f>
        <v>0.14000000000000001</v>
      </c>
      <c r="AB105">
        <f>VLOOKUP($A105,Sheet4!$A$2:$Q$122,12,FALSE)</f>
        <v>2.1139999999999999E-2</v>
      </c>
      <c r="AC105">
        <f>VLOOKUP($A105,Sheet4!$A$2:$Q$122,13,FALSE)</f>
        <v>0.55019999999999991</v>
      </c>
      <c r="AD105">
        <f>VLOOKUP($A105,Sheet4!$A$2:$Q$122,14,FALSE)</f>
        <v>0.94</v>
      </c>
      <c r="AE105">
        <f>VLOOKUP($A105,Sheet4!$A$2:$Q$122,15,FALSE)</f>
        <v>7.4730000000000005E-2</v>
      </c>
      <c r="AF105">
        <f>VLOOKUP($A105,Sheet4!$A$2:$Q$122,16,FALSE)</f>
        <v>1.0527999999999999E-2</v>
      </c>
      <c r="AG105">
        <f>VLOOKUP($A105,Sheet4!$A$2:$Q$122,17,FALSE)</f>
        <v>0.44179999999999997</v>
      </c>
    </row>
    <row r="106" spans="1:33" x14ac:dyDescent="0.3">
      <c r="A106" s="33">
        <v>1868</v>
      </c>
      <c r="B106" s="27" t="str">
        <f>VLOOKUP($A106, Sheet5!$A$1:$E$119,2,FALSE)</f>
        <v>Healthy</v>
      </c>
      <c r="C106" s="27" t="str">
        <f>VLOOKUP($A106, Sheet5!$A$1:$E$119,3,FALSE)</f>
        <v>otu_2</v>
      </c>
      <c r="D106" s="27" t="str">
        <f>VLOOKUP($A106, Sheet5!$A$1:$E$119,4,FALSE)</f>
        <v>F</v>
      </c>
      <c r="E106" s="27">
        <f>VLOOKUP($A106, Sheet5!$A$1:$E$119,5,FALSE)</f>
        <v>5</v>
      </c>
      <c r="F106" s="67">
        <v>0.47334000000000004</v>
      </c>
      <c r="G106" s="67">
        <v>9.6725999999999993E-2</v>
      </c>
      <c r="H106" s="67">
        <v>7.0091304347826089E-3</v>
      </c>
      <c r="I106" s="67">
        <v>0.34720000000000001</v>
      </c>
      <c r="J106" s="67">
        <v>0.85870000000000002</v>
      </c>
      <c r="K106" s="67">
        <v>6.2671480144404334E-3</v>
      </c>
      <c r="L106" s="67">
        <v>1.56006</v>
      </c>
      <c r="M106" s="67">
        <v>0.17205600000000001</v>
      </c>
      <c r="N106" s="67">
        <v>3.5402469135802465E-3</v>
      </c>
      <c r="R106">
        <f>VLOOKUP($A106,Sheet4!$A$2:$Q$122,2,FALSE)</f>
        <v>2.13</v>
      </c>
      <c r="S106">
        <f>VLOOKUP($A106,Sheet4!$A$2:$Q$122,3,FALSE)</f>
        <v>8.5413000000000003E-2</v>
      </c>
      <c r="T106">
        <f>VLOOKUP($A106,Sheet4!$A$2:$Q$122,4,FALSE)</f>
        <v>8.9459999999999991E-3</v>
      </c>
      <c r="U106">
        <f>VLOOKUP($A106,Sheet4!$A$2:$Q$122,5,FALSE)</f>
        <v>0.66669</v>
      </c>
      <c r="V106">
        <f>VLOOKUP($A106,Sheet4!$A$2:$Q$122,6,FALSE)</f>
        <v>2.2999999999999998</v>
      </c>
      <c r="W106">
        <f>VLOOKUP($A106,Sheet4!$A$2:$Q$122,7,FALSE)</f>
        <v>7.1300000000000001E-3</v>
      </c>
      <c r="X106">
        <f>VLOOKUP($A106,Sheet4!$A$2:$Q$122,8,FALSE)</f>
        <v>2.0009999999999997E-3</v>
      </c>
      <c r="Y106">
        <f>VLOOKUP($A106,Sheet4!$A$2:$Q$122,9,FALSE)</f>
        <v>1.0304</v>
      </c>
      <c r="Z106">
        <f>VLOOKUP($A106,Sheet4!$A$2:$Q$122,10,FALSE)</f>
        <v>18.600000000000001</v>
      </c>
      <c r="AA106">
        <f>VLOOKUP($A106,Sheet4!$A$2:$Q$122,11,FALSE)</f>
        <v>0.74585999999999997</v>
      </c>
      <c r="AB106">
        <f>VLOOKUP($A106,Sheet4!$A$2:$Q$122,12,FALSE)</f>
        <v>8.184000000000001E-2</v>
      </c>
      <c r="AC106">
        <f>VLOOKUP($A106,Sheet4!$A$2:$Q$122,13,FALSE)</f>
        <v>6.2123999999999997</v>
      </c>
      <c r="AD106">
        <f>VLOOKUP($A106,Sheet4!$A$2:$Q$122,14,FALSE)</f>
        <v>2.46</v>
      </c>
      <c r="AE106">
        <f>VLOOKUP($A106,Sheet4!$A$2:$Q$122,15,FALSE)</f>
        <v>4.3541999999999997E-2</v>
      </c>
      <c r="AF106">
        <f>VLOOKUP($A106,Sheet4!$A$2:$Q$122,16,FALSE)</f>
        <v>4.4279999999999996E-3</v>
      </c>
      <c r="AG106">
        <f>VLOOKUP($A106,Sheet4!$A$2:$Q$122,17,FALSE)</f>
        <v>0.91512000000000004</v>
      </c>
    </row>
    <row r="107" spans="1:33" x14ac:dyDescent="0.3">
      <c r="A107" s="33">
        <v>1870</v>
      </c>
      <c r="B107" s="27" t="str">
        <f>VLOOKUP($A107, Sheet5!$A$1:$E$119,2,FALSE)</f>
        <v>Healthy</v>
      </c>
      <c r="C107" s="27" t="str">
        <f>VLOOKUP($A107, Sheet5!$A$1:$E$119,3,FALSE)</f>
        <v>otu_2</v>
      </c>
      <c r="D107" s="27" t="str">
        <f>VLOOKUP($A107, Sheet5!$A$1:$E$119,4,FALSE)</f>
        <v>F</v>
      </c>
      <c r="E107" s="27">
        <f>VLOOKUP($A107, Sheet5!$A$1:$E$119,5,FALSE)</f>
        <v>2</v>
      </c>
      <c r="F107" s="60"/>
      <c r="G107" s="60"/>
      <c r="H107" s="60"/>
      <c r="I107" s="67">
        <v>5.518E-2</v>
      </c>
      <c r="J107" s="67">
        <v>2.4119000000000002</v>
      </c>
      <c r="K107" s="67">
        <v>1.0180811808118081E-3</v>
      </c>
      <c r="L107" s="67">
        <v>2.1941000000000002</v>
      </c>
      <c r="M107" s="67">
        <v>0.52910000000000001</v>
      </c>
      <c r="N107" s="67">
        <v>8.9224283305227668E-3</v>
      </c>
      <c r="O107">
        <v>1.2224699999999999</v>
      </c>
      <c r="P107">
        <v>0.30634</v>
      </c>
      <c r="Q107">
        <v>0.25059101654846339</v>
      </c>
      <c r="R107">
        <f>VLOOKUP($A107,Sheet4!$A$2:$Q$122,2,FALSE)</f>
        <v>4.8900000000000006</v>
      </c>
      <c r="S107">
        <f>VLOOKUP($A107,Sheet4!$A$2:$Q$122,3,FALSE)</f>
        <v>4.8900000000000006E-2</v>
      </c>
      <c r="T107">
        <f>VLOOKUP($A107,Sheet4!$A$2:$Q$122,4,FALSE)</f>
        <v>0</v>
      </c>
      <c r="U107">
        <f>VLOOKUP($A107,Sheet4!$A$2:$Q$122,5,FALSE)</f>
        <v>2.5574700000000004</v>
      </c>
      <c r="V107">
        <f>VLOOKUP($A107,Sheet4!$A$2:$Q$122,6,FALSE)</f>
        <v>5.3599999999999994</v>
      </c>
      <c r="W107">
        <f>VLOOKUP($A107,Sheet4!$A$2:$Q$122,7,FALSE)</f>
        <v>1.6079999999999997E-2</v>
      </c>
      <c r="X107">
        <f>VLOOKUP($A107,Sheet4!$A$2:$Q$122,8,FALSE)</f>
        <v>2.1439999999999996E-3</v>
      </c>
      <c r="Y107">
        <f>VLOOKUP($A107,Sheet4!$A$2:$Q$122,9,FALSE)</f>
        <v>1.0934399999999997</v>
      </c>
      <c r="Z107">
        <f>VLOOKUP($A107,Sheet4!$A$2:$Q$122,10,FALSE)</f>
        <v>29.4</v>
      </c>
      <c r="AA107">
        <f>VLOOKUP($A107,Sheet4!$A$2:$Q$122,11,FALSE)</f>
        <v>0</v>
      </c>
      <c r="AB107">
        <f>VLOOKUP($A107,Sheet4!$A$2:$Q$122,12,FALSE)</f>
        <v>0</v>
      </c>
      <c r="AC107">
        <f>VLOOKUP($A107,Sheet4!$A$2:$Q$122,13,FALSE)</f>
        <v>0</v>
      </c>
      <c r="AD107">
        <f>VLOOKUP($A107,Sheet4!$A$2:$Q$122,14,FALSE)</f>
        <v>3.46</v>
      </c>
      <c r="AE107">
        <f>VLOOKUP($A107,Sheet4!$A$2:$Q$122,15,FALSE)</f>
        <v>4.1520000000000001E-2</v>
      </c>
      <c r="AF107">
        <f>VLOOKUP($A107,Sheet4!$A$2:$Q$122,16,FALSE)</f>
        <v>1.4186000000000001E-3</v>
      </c>
      <c r="AG107">
        <f>VLOOKUP($A107,Sheet4!$A$2:$Q$122,17,FALSE)</f>
        <v>1.3909200000000002</v>
      </c>
    </row>
    <row r="108" spans="1:33" x14ac:dyDescent="0.3">
      <c r="A108" s="33">
        <v>1871</v>
      </c>
      <c r="B108" s="27" t="str">
        <f>VLOOKUP($A108, Sheet5!$A$1:$E$119,2,FALSE)</f>
        <v>Healthy</v>
      </c>
      <c r="C108" s="27" t="str">
        <f>VLOOKUP($A108, Sheet5!$A$1:$E$119,3,FALSE)</f>
        <v>otu_2</v>
      </c>
      <c r="D108" s="27" t="str">
        <f>VLOOKUP($A108, Sheet5!$A$1:$E$119,4,FALSE)</f>
        <v>F</v>
      </c>
      <c r="E108" s="27">
        <f>VLOOKUP($A108, Sheet5!$A$1:$E$119,5,FALSE)</f>
        <v>2</v>
      </c>
      <c r="F108" s="67">
        <v>1.1222000000000001</v>
      </c>
      <c r="G108" s="67">
        <v>0.46064500000000003</v>
      </c>
      <c r="H108" s="67">
        <v>3.7148790322580644E-2</v>
      </c>
      <c r="I108" s="67">
        <v>0.16899</v>
      </c>
      <c r="J108" s="67">
        <v>0.58557000000000015</v>
      </c>
      <c r="K108" s="67">
        <v>3.7805369127516773E-3</v>
      </c>
      <c r="L108" s="67">
        <v>0.83979000000000004</v>
      </c>
      <c r="M108" s="67">
        <v>6.1920000000000003E-2</v>
      </c>
      <c r="N108" s="67">
        <v>2.8534562211981569E-3</v>
      </c>
      <c r="O108">
        <v>1.1760699999999999</v>
      </c>
      <c r="P108">
        <v>0.234101</v>
      </c>
      <c r="Q108">
        <v>0.19905362776025237</v>
      </c>
      <c r="R108">
        <f>VLOOKUP($A108,Sheet4!$A$2:$Q$122,2,FALSE)</f>
        <v>2.99</v>
      </c>
      <c r="S108">
        <f>VLOOKUP($A108,Sheet4!$A$2:$Q$122,3,FALSE)</f>
        <v>5.9800000000000006E-2</v>
      </c>
      <c r="T108">
        <f>VLOOKUP($A108,Sheet4!$A$2:$Q$122,4,FALSE)</f>
        <v>1.3156000000000001E-2</v>
      </c>
      <c r="U108">
        <f>VLOOKUP($A108,Sheet4!$A$2:$Q$122,5,FALSE)</f>
        <v>1.3514800000000002</v>
      </c>
      <c r="V108">
        <f>VLOOKUP($A108,Sheet4!$A$2:$Q$122,6,FALSE)</f>
        <v>3.75</v>
      </c>
      <c r="W108">
        <f>VLOOKUP($A108,Sheet4!$A$2:$Q$122,7,FALSE)</f>
        <v>1.9875E-2</v>
      </c>
      <c r="X108">
        <f>VLOOKUP($A108,Sheet4!$A$2:$Q$122,8,FALSE)</f>
        <v>0</v>
      </c>
      <c r="Y108">
        <f>VLOOKUP($A108,Sheet4!$A$2:$Q$122,9,FALSE)</f>
        <v>0</v>
      </c>
      <c r="Z108">
        <f>VLOOKUP($A108,Sheet4!$A$2:$Q$122,10,FALSE)</f>
        <v>24</v>
      </c>
      <c r="AA108">
        <f>VLOOKUP($A108,Sheet4!$A$2:$Q$122,11,FALSE)</f>
        <v>0.98159999999999992</v>
      </c>
      <c r="AB108">
        <f>VLOOKUP($A108,Sheet4!$A$2:$Q$122,12,FALSE)</f>
        <v>0.24480000000000002</v>
      </c>
      <c r="AC108">
        <f>VLOOKUP($A108,Sheet4!$A$2:$Q$122,13,FALSE)</f>
        <v>7.5120000000000005</v>
      </c>
      <c r="AD108">
        <f>VLOOKUP($A108,Sheet4!$A$2:$Q$122,14,FALSE)</f>
        <v>0.92</v>
      </c>
      <c r="AE108">
        <f>VLOOKUP($A108,Sheet4!$A$2:$Q$122,15,FALSE)</f>
        <v>4.0663999999999999E-2</v>
      </c>
      <c r="AF108">
        <f>VLOOKUP($A108,Sheet4!$A$2:$Q$122,16,FALSE)</f>
        <v>2.392E-3</v>
      </c>
      <c r="AG108">
        <f>VLOOKUP($A108,Sheet4!$A$2:$Q$122,17,FALSE)</f>
        <v>0</v>
      </c>
    </row>
    <row r="109" spans="1:33" x14ac:dyDescent="0.3">
      <c r="A109" s="7">
        <v>1874</v>
      </c>
      <c r="B109" s="27" t="str">
        <f>VLOOKUP($A109, Sheet5!$A$1:$E$119,2,FALSE)</f>
        <v>IBD</v>
      </c>
      <c r="C109" s="27" t="str">
        <f>VLOOKUP($A109, Sheet5!$A$1:$E$119,3,FALSE)</f>
        <v>otu_1</v>
      </c>
      <c r="D109" s="27" t="str">
        <f>VLOOKUP($A109, Sheet5!$A$1:$E$119,4,FALSE)</f>
        <v>M</v>
      </c>
      <c r="E109" s="27">
        <f>VLOOKUP($A109, Sheet5!$A$1:$E$119,5,FALSE)</f>
        <v>2</v>
      </c>
      <c r="F109" s="86"/>
      <c r="G109" s="86"/>
      <c r="H109" s="86"/>
      <c r="I109" s="45"/>
      <c r="J109" s="45"/>
      <c r="K109" s="45"/>
      <c r="L109" s="45"/>
      <c r="M109" s="45"/>
      <c r="N109" s="45"/>
      <c r="R109">
        <f>VLOOKUP($A109,Sheet4!$A$2:$Q$122,2,FALSE)</f>
        <v>11.8</v>
      </c>
      <c r="S109">
        <f>VLOOKUP($A109,Sheet4!$A$2:$Q$122,3,FALSE)</f>
        <v>0.15222000000000002</v>
      </c>
      <c r="T109">
        <f>VLOOKUP($A109,Sheet4!$A$2:$Q$122,4,FALSE)</f>
        <v>6.8440000000000001E-2</v>
      </c>
      <c r="U109">
        <f>VLOOKUP($A109,Sheet4!$A$2:$Q$122,5,FALSE)</f>
        <v>0</v>
      </c>
      <c r="V109">
        <f>VLOOKUP($A109,Sheet4!$A$2:$Q$122,6,FALSE)</f>
        <v>0</v>
      </c>
      <c r="W109">
        <f>VLOOKUP($A109,Sheet4!$A$2:$Q$122,7,FALSE)</f>
        <v>0</v>
      </c>
      <c r="X109">
        <f>VLOOKUP($A109,Sheet4!$A$2:$Q$122,8,FALSE)</f>
        <v>0</v>
      </c>
      <c r="Y109">
        <f>VLOOKUP($A109,Sheet4!$A$2:$Q$122,9,FALSE)</f>
        <v>0</v>
      </c>
      <c r="Z109">
        <f>VLOOKUP($A109,Sheet4!$A$2:$Q$122,10,FALSE)</f>
        <v>7.8999999999999995</v>
      </c>
      <c r="AA109">
        <f>VLOOKUP($A109,Sheet4!$A$2:$Q$122,11,FALSE)</f>
        <v>7.5049999999999992E-2</v>
      </c>
      <c r="AB109">
        <f>VLOOKUP($A109,Sheet4!$A$2:$Q$122,12,FALSE)</f>
        <v>4.5029999999999994E-2</v>
      </c>
      <c r="AC109">
        <f>VLOOKUP($A109,Sheet4!$A$2:$Q$122,13,FALSE)</f>
        <v>0.71652999999999989</v>
      </c>
      <c r="AD109">
        <f>VLOOKUP($A109,Sheet4!$A$2:$Q$122,14,FALSE)</f>
        <v>5.28</v>
      </c>
      <c r="AE109">
        <f>VLOOKUP($A109,Sheet4!$A$2:$Q$122,15,FALSE)</f>
        <v>4.9104000000000002E-2</v>
      </c>
      <c r="AF109">
        <f>VLOOKUP($A109,Sheet4!$A$2:$Q$122,16,FALSE)</f>
        <v>3.0623999999999998E-2</v>
      </c>
      <c r="AG109">
        <f>VLOOKUP($A109,Sheet4!$A$2:$Q$122,17,FALSE)</f>
        <v>0.81840000000000002</v>
      </c>
    </row>
    <row r="110" spans="1:33" x14ac:dyDescent="0.3">
      <c r="A110" s="7">
        <v>1875</v>
      </c>
      <c r="B110" s="27" t="str">
        <f>VLOOKUP($A110, Sheet5!$A$1:$E$119,2,FALSE)</f>
        <v>IBD</v>
      </c>
      <c r="C110" s="27" t="str">
        <f>VLOOKUP($A110, Sheet5!$A$1:$E$119,3,FALSE)</f>
        <v>otu_1</v>
      </c>
      <c r="D110" s="27" t="str">
        <f>VLOOKUP($A110, Sheet5!$A$1:$E$119,4,FALSE)</f>
        <v>F</v>
      </c>
      <c r="E110" s="27">
        <f>VLOOKUP($A110, Sheet5!$A$1:$E$119,5,FALSE)</f>
        <v>3</v>
      </c>
      <c r="F110" s="67">
        <v>0.24567200000000003</v>
      </c>
      <c r="G110" s="67">
        <v>0.70314999999999994</v>
      </c>
      <c r="H110" s="67">
        <v>8.2143691588785039E-2</v>
      </c>
      <c r="I110" s="45">
        <v>0.48391000000000001</v>
      </c>
      <c r="J110" s="45">
        <v>0.90315000000000001</v>
      </c>
      <c r="K110" s="45">
        <v>1.1948395061728394E-2</v>
      </c>
      <c r="L110" s="45">
        <v>0.57607999999999993</v>
      </c>
      <c r="M110" s="45">
        <v>0.68220000000000003</v>
      </c>
      <c r="N110" s="45">
        <v>4.4881578947368432E-2</v>
      </c>
      <c r="O110">
        <v>0.53148000000000006</v>
      </c>
      <c r="P110">
        <v>0.72755999999999998</v>
      </c>
      <c r="Q110">
        <v>3.5318446601941743E-2</v>
      </c>
      <c r="R110">
        <f>VLOOKUP($A110,Sheet4!$A$2:$Q$122,2,FALSE)</f>
        <v>0</v>
      </c>
      <c r="S110">
        <f>VLOOKUP($A110,Sheet4!$A$2:$Q$122,3,FALSE)</f>
        <v>0</v>
      </c>
      <c r="T110">
        <f>VLOOKUP($A110,Sheet4!$A$2:$Q$122,4,FALSE)</f>
        <v>0</v>
      </c>
      <c r="U110">
        <f>VLOOKUP($A110,Sheet4!$A$2:$Q$122,5,FALSE)</f>
        <v>0</v>
      </c>
      <c r="V110">
        <f>VLOOKUP($A110,Sheet4!$A$2:$Q$122,6,FALSE)</f>
        <v>12.850000000000001</v>
      </c>
      <c r="W110">
        <f>VLOOKUP($A110,Sheet4!$A$2:$Q$122,7,FALSE)</f>
        <v>9.8945000000000005E-2</v>
      </c>
      <c r="X110">
        <f>VLOOKUP($A110,Sheet4!$A$2:$Q$122,8,FALSE)</f>
        <v>4.8830000000000012E-2</v>
      </c>
      <c r="Y110">
        <f>VLOOKUP($A110,Sheet4!$A$2:$Q$122,9,FALSE)</f>
        <v>1.4520500000000001</v>
      </c>
      <c r="Z110">
        <f>VLOOKUP($A110,Sheet4!$A$2:$Q$122,10,FALSE)</f>
        <v>6.9399999999999995</v>
      </c>
      <c r="AA110">
        <f>VLOOKUP($A110,Sheet4!$A$2:$Q$122,11,FALSE)</f>
        <v>3.5393999999999995E-2</v>
      </c>
      <c r="AB110">
        <f>VLOOKUP($A110,Sheet4!$A$2:$Q$122,12,FALSE)</f>
        <v>3.7475999999999995E-2</v>
      </c>
      <c r="AC110">
        <f>VLOOKUP($A110,Sheet4!$A$2:$Q$122,13,FALSE)</f>
        <v>0.49135199999999996</v>
      </c>
      <c r="AD110">
        <f>VLOOKUP($A110,Sheet4!$A$2:$Q$122,14,FALSE)</f>
        <v>7.72</v>
      </c>
      <c r="AE110">
        <f>VLOOKUP($A110,Sheet4!$A$2:$Q$122,15,FALSE)</f>
        <v>6.6391999999999993E-2</v>
      </c>
      <c r="AF110">
        <f>VLOOKUP($A110,Sheet4!$A$2:$Q$122,16,FALSE)</f>
        <v>3.3195999999999996E-2</v>
      </c>
      <c r="AG110">
        <f>VLOOKUP($A110,Sheet4!$A$2:$Q$122,17,FALSE)</f>
        <v>0.57977199999999995</v>
      </c>
    </row>
    <row r="111" spans="1:33" x14ac:dyDescent="0.3">
      <c r="A111" s="7">
        <v>1877</v>
      </c>
      <c r="B111" s="27" t="str">
        <f>VLOOKUP($A111, Sheet5!$A$1:$E$119,2,FALSE)</f>
        <v>IBD</v>
      </c>
      <c r="C111" s="27" t="str">
        <f>VLOOKUP($A111, Sheet5!$A$1:$E$119,3,FALSE)</f>
        <v>otu_1</v>
      </c>
      <c r="D111" s="27" t="str">
        <f>VLOOKUP($A111, Sheet5!$A$1:$E$119,4,FALSE)</f>
        <v>M</v>
      </c>
      <c r="E111" s="27">
        <f>VLOOKUP($A111, Sheet5!$A$1:$E$119,5,FALSE)</f>
        <v>5</v>
      </c>
      <c r="F111" s="86"/>
      <c r="G111" s="86"/>
      <c r="H111" s="86"/>
      <c r="R111">
        <f>VLOOKUP($A111,Sheet4!$A$2:$Q$122,2,FALSE)</f>
        <v>6.15</v>
      </c>
      <c r="S111">
        <f>VLOOKUP($A111,Sheet4!$A$2:$Q$122,3,FALSE)</f>
        <v>0.10147500000000001</v>
      </c>
      <c r="T111">
        <f>VLOOKUP($A111,Sheet4!$A$2:$Q$122,4,FALSE)</f>
        <v>0.11254500000000002</v>
      </c>
      <c r="U111">
        <f>VLOOKUP($A111,Sheet4!$A$2:$Q$122,5,FALSE)</f>
        <v>0.32718000000000003</v>
      </c>
      <c r="V111">
        <f>VLOOKUP($A111,Sheet4!$A$2:$Q$122,6,FALSE)</f>
        <v>9.620000000000001</v>
      </c>
      <c r="W111">
        <f>VLOOKUP($A111,Sheet4!$A$2:$Q$122,7,FALSE)</f>
        <v>7.7922000000000005E-2</v>
      </c>
      <c r="X111">
        <f>VLOOKUP($A111,Sheet4!$A$2:$Q$122,8,FALSE)</f>
        <v>4.2328000000000005E-2</v>
      </c>
      <c r="Y111">
        <f>VLOOKUP($A111,Sheet4!$A$2:$Q$122,9,FALSE)</f>
        <v>1.1640200000000001</v>
      </c>
      <c r="Z111">
        <f>VLOOKUP($A111,Sheet4!$A$2:$Q$122,10,FALSE)</f>
        <v>9.49</v>
      </c>
      <c r="AA111">
        <f>VLOOKUP($A111,Sheet4!$A$2:$Q$122,11,FALSE)</f>
        <v>6.9276999999999991E-2</v>
      </c>
      <c r="AB111">
        <f>VLOOKUP($A111,Sheet4!$A$2:$Q$122,12,FALSE)</f>
        <v>3.6062000000000004E-2</v>
      </c>
      <c r="AC111">
        <f>VLOOKUP($A111,Sheet4!$A$2:$Q$122,13,FALSE)</f>
        <v>1.0059399999999998</v>
      </c>
      <c r="AD111">
        <f>VLOOKUP($A111,Sheet4!$A$2:$Q$122,14,FALSE)</f>
        <v>8.86</v>
      </c>
      <c r="AE111">
        <f>VLOOKUP($A111,Sheet4!$A$2:$Q$122,15,FALSE)</f>
        <v>3.6325999999999997E-2</v>
      </c>
      <c r="AF111">
        <f>VLOOKUP($A111,Sheet4!$A$2:$Q$122,16,FALSE)</f>
        <v>2.215E-2</v>
      </c>
      <c r="AG111">
        <f>VLOOKUP($A111,Sheet4!$A$2:$Q$122,17,FALSE)</f>
        <v>1.11636</v>
      </c>
    </row>
    <row r="112" spans="1:33" x14ac:dyDescent="0.3">
      <c r="A112" s="7">
        <v>1881</v>
      </c>
      <c r="B112" s="27" t="str">
        <f>VLOOKUP($A112, Sheet5!$A$1:$E$119,2,FALSE)</f>
        <v>IBD</v>
      </c>
      <c r="C112" s="27" t="str">
        <f>VLOOKUP($A112, Sheet5!$A$1:$E$119,3,FALSE)</f>
        <v>otu_1</v>
      </c>
      <c r="D112" s="27" t="str">
        <f>VLOOKUP($A112, Sheet5!$A$1:$E$119,4,FALSE)</f>
        <v>M</v>
      </c>
      <c r="E112" s="27">
        <f>VLOOKUP($A112, Sheet5!$A$1:$E$119,5,FALSE)</f>
        <v>6</v>
      </c>
      <c r="F112" s="67">
        <v>1.4187299999999998</v>
      </c>
      <c r="G112" s="67">
        <v>1.1191</v>
      </c>
      <c r="H112" s="67">
        <v>2.847582697201018E-2</v>
      </c>
      <c r="R112">
        <f>VLOOKUP($A112,Sheet4!$A$2:$Q$122,2,FALSE)</f>
        <v>1.21</v>
      </c>
      <c r="S112">
        <f>VLOOKUP($A112,Sheet4!$A$2:$Q$122,3,FALSE)</f>
        <v>5.0093999999999993E-2</v>
      </c>
      <c r="T112">
        <f>VLOOKUP($A112,Sheet4!$A$2:$Q$122,4,FALSE)</f>
        <v>7.586699999999999E-2</v>
      </c>
      <c r="U112">
        <f>VLOOKUP($A112,Sheet4!$A$2:$Q$122,5,FALSE)</f>
        <v>9.1597000000000012E-2</v>
      </c>
      <c r="V112">
        <f>VLOOKUP($A112,Sheet4!$A$2:$Q$122,6,FALSE)</f>
        <v>9.58</v>
      </c>
      <c r="W112">
        <f>VLOOKUP($A112,Sheet4!$A$2:$Q$122,7,FALSE)</f>
        <v>4.3110000000000002E-2</v>
      </c>
      <c r="X112">
        <f>VLOOKUP($A112,Sheet4!$A$2:$Q$122,8,FALSE)</f>
        <v>3.832E-2</v>
      </c>
      <c r="Y112">
        <f>VLOOKUP($A112,Sheet4!$A$2:$Q$122,9,FALSE)</f>
        <v>0.70987800000000012</v>
      </c>
      <c r="Z112">
        <f>VLOOKUP($A112,Sheet4!$A$2:$Q$122,10,FALSE)</f>
        <v>6.45</v>
      </c>
      <c r="AA112">
        <f>VLOOKUP($A112,Sheet4!$A$2:$Q$122,11,FALSE)</f>
        <v>3.0960000000000001E-2</v>
      </c>
      <c r="AB112">
        <f>VLOOKUP($A112,Sheet4!$A$2:$Q$122,12,FALSE)</f>
        <v>1.677E-2</v>
      </c>
      <c r="AC112">
        <f>VLOOKUP($A112,Sheet4!$A$2:$Q$122,13,FALSE)</f>
        <v>0.230265</v>
      </c>
      <c r="AD112">
        <f>VLOOKUP($A112,Sheet4!$A$2:$Q$122,14,FALSE)</f>
        <v>4.3599999999999994</v>
      </c>
      <c r="AE112">
        <f>VLOOKUP($A112,Sheet4!$A$2:$Q$122,15,FALSE)</f>
        <v>3.0955999999999994E-2</v>
      </c>
      <c r="AF112">
        <f>VLOOKUP($A112,Sheet4!$A$2:$Q$122,16,FALSE)</f>
        <v>1.9183999999999996E-2</v>
      </c>
      <c r="AG112">
        <f>VLOOKUP($A112,Sheet4!$A$2:$Q$122,17,FALSE)</f>
        <v>0.64527999999999996</v>
      </c>
    </row>
    <row r="113" spans="1:33" x14ac:dyDescent="0.3">
      <c r="A113" s="7">
        <v>1885</v>
      </c>
      <c r="B113" s="27" t="str">
        <f>VLOOKUP($A113, Sheet5!$A$1:$E$119,2,FALSE)</f>
        <v>IBD</v>
      </c>
      <c r="C113" s="27" t="str">
        <f>VLOOKUP($A113, Sheet5!$A$1:$E$119,3,FALSE)</f>
        <v>otu_1</v>
      </c>
      <c r="D113" s="27" t="str">
        <f>VLOOKUP($A113, Sheet5!$A$1:$E$119,4,FALSE)</f>
        <v>F</v>
      </c>
      <c r="E113" s="27">
        <f>VLOOKUP($A113, Sheet5!$A$1:$E$119,5,FALSE)</f>
        <v>6</v>
      </c>
      <c r="F113" s="67">
        <v>0.40017999999999998</v>
      </c>
      <c r="G113" s="67">
        <v>6.2458E-2</v>
      </c>
      <c r="H113" s="67">
        <v>2.9185981308411219E-3</v>
      </c>
      <c r="I113" s="45">
        <v>0.41958000000000001</v>
      </c>
      <c r="J113" s="45">
        <v>0.89873000000000003</v>
      </c>
      <c r="K113" s="45">
        <v>1.2091642651296829E-2</v>
      </c>
      <c r="L113" s="45">
        <v>0.42965999999999999</v>
      </c>
      <c r="M113" s="45">
        <v>0.21916999999999998</v>
      </c>
      <c r="N113" s="45">
        <v>1.1069191919191918E-2</v>
      </c>
      <c r="O113">
        <v>1.11612</v>
      </c>
      <c r="P113">
        <v>0.63048000000000004</v>
      </c>
      <c r="Q113">
        <v>2.4064122137404581E-2</v>
      </c>
      <c r="R113">
        <f>VLOOKUP($A113,Sheet4!$A$2:$Q$122,2,FALSE)</f>
        <v>8.0300000000000011</v>
      </c>
      <c r="S113">
        <f>VLOOKUP($A113,Sheet4!$A$2:$Q$122,3,FALSE)</f>
        <v>0.54202500000000009</v>
      </c>
      <c r="T113">
        <f>VLOOKUP($A113,Sheet4!$A$2:$Q$122,4,FALSE)</f>
        <v>0.59823500000000007</v>
      </c>
      <c r="U113">
        <f>VLOOKUP($A113,Sheet4!$A$2:$Q$122,5,FALSE)</f>
        <v>0.32280599999999998</v>
      </c>
      <c r="V113">
        <f>VLOOKUP($A113,Sheet4!$A$2:$Q$122,6,FALSE)</f>
        <v>0.72</v>
      </c>
      <c r="W113">
        <f>VLOOKUP($A113,Sheet4!$A$2:$Q$122,7,FALSE)</f>
        <v>3.1031999999999997E-2</v>
      </c>
      <c r="X113">
        <f>VLOOKUP($A113,Sheet4!$A$2:$Q$122,8,FALSE)</f>
        <v>1.7135999999999998E-2</v>
      </c>
      <c r="Y113">
        <f>VLOOKUP($A113,Sheet4!$A$2:$Q$122,9,FALSE)</f>
        <v>7.9199999999999993E-2</v>
      </c>
      <c r="Z113">
        <f>VLOOKUP($A113,Sheet4!$A$2:$Q$122,10,FALSE)</f>
        <v>6.9600000000000009</v>
      </c>
      <c r="AA113">
        <f>VLOOKUP($A113,Sheet4!$A$2:$Q$122,11,FALSE)</f>
        <v>6.0552000000000009E-2</v>
      </c>
      <c r="AB113">
        <f>VLOOKUP($A113,Sheet4!$A$2:$Q$122,12,FALSE)</f>
        <v>5.2896000000000012E-2</v>
      </c>
      <c r="AC113">
        <f>VLOOKUP($A113,Sheet4!$A$2:$Q$122,13,FALSE)</f>
        <v>0.31041600000000003</v>
      </c>
      <c r="AD113">
        <f>VLOOKUP($A113,Sheet4!$A$2:$Q$122,14,FALSE)</f>
        <v>7.5</v>
      </c>
      <c r="AE113">
        <f>VLOOKUP($A113,Sheet4!$A$2:$Q$122,15,FALSE)</f>
        <v>9.0749999999999997E-2</v>
      </c>
      <c r="AF113">
        <f>VLOOKUP($A113,Sheet4!$A$2:$Q$122,16,FALSE)</f>
        <v>6.6000000000000003E-2</v>
      </c>
      <c r="AG113">
        <f>VLOOKUP($A113,Sheet4!$A$2:$Q$122,17,FALSE)</f>
        <v>0.40875</v>
      </c>
    </row>
    <row r="114" spans="1:33" x14ac:dyDescent="0.3">
      <c r="A114" s="7">
        <v>1886</v>
      </c>
      <c r="B114" s="27" t="str">
        <f>VLOOKUP($A114, Sheet5!$A$1:$E$119,2,FALSE)</f>
        <v>IBD</v>
      </c>
      <c r="C114" s="27" t="str">
        <f>VLOOKUP($A114, Sheet5!$A$1:$E$119,3,FALSE)</f>
        <v>otu_1</v>
      </c>
      <c r="D114" s="27" t="str">
        <f>VLOOKUP($A114, Sheet5!$A$1:$E$119,4,FALSE)</f>
        <v>M</v>
      </c>
      <c r="E114" s="27">
        <f>VLOOKUP($A114, Sheet5!$A$1:$E$119,5,FALSE)</f>
        <v>5</v>
      </c>
      <c r="F114" s="67">
        <v>0.73919999999999997</v>
      </c>
      <c r="G114" s="67">
        <v>0.39038999999999996</v>
      </c>
      <c r="H114" s="67">
        <v>1.2199687499999999E-2</v>
      </c>
      <c r="I114" s="45"/>
      <c r="J114" s="45"/>
      <c r="K114" s="45"/>
      <c r="L114" s="45"/>
      <c r="M114" s="45"/>
      <c r="N114" s="45"/>
      <c r="R114">
        <f>VLOOKUP($A114,Sheet4!$A$2:$Q$122,2,FALSE)</f>
        <v>12.84</v>
      </c>
      <c r="S114">
        <f>VLOOKUP($A114,Sheet4!$A$2:$Q$122,3,FALSE)</f>
        <v>0.74600399999999989</v>
      </c>
      <c r="T114">
        <f>VLOOKUP($A114,Sheet4!$A$2:$Q$122,4,FALSE)</f>
        <v>0.94117200000000001</v>
      </c>
      <c r="U114">
        <f>VLOOKUP($A114,Sheet4!$A$2:$Q$122,5,FALSE)</f>
        <v>0</v>
      </c>
      <c r="V114">
        <f>VLOOKUP($A114,Sheet4!$A$2:$Q$122,6,FALSE)</f>
        <v>12.8</v>
      </c>
      <c r="W114">
        <f>VLOOKUP($A114,Sheet4!$A$2:$Q$122,7,FALSE)</f>
        <v>7.0400000000000004E-2</v>
      </c>
      <c r="X114">
        <f>VLOOKUP($A114,Sheet4!$A$2:$Q$122,8,FALSE)</f>
        <v>1.6640000000000002E-2</v>
      </c>
      <c r="Y114">
        <f>VLOOKUP($A114,Sheet4!$A$2:$Q$122,9,FALSE)</f>
        <v>0</v>
      </c>
      <c r="Z114">
        <f>VLOOKUP($A114,Sheet4!$A$2:$Q$122,10,FALSE)</f>
        <v>10</v>
      </c>
      <c r="AA114">
        <f>VLOOKUP($A114,Sheet4!$A$2:$Q$122,11,FALSE)</f>
        <v>7.2999999999999995E-2</v>
      </c>
      <c r="AB114">
        <f>VLOOKUP($A114,Sheet4!$A$2:$Q$122,12,FALSE)</f>
        <v>6.6000000000000003E-2</v>
      </c>
      <c r="AC114">
        <f>VLOOKUP($A114,Sheet4!$A$2:$Q$122,13,FALSE)</f>
        <v>0.52</v>
      </c>
      <c r="AD114">
        <f>VLOOKUP($A114,Sheet4!$A$2:$Q$122,14,FALSE)</f>
        <v>4.62</v>
      </c>
      <c r="AE114">
        <f>VLOOKUP($A114,Sheet4!$A$2:$Q$122,15,FALSE)</f>
        <v>3.4188000000000003E-2</v>
      </c>
      <c r="AF114">
        <f>VLOOKUP($A114,Sheet4!$A$2:$Q$122,16,FALSE)</f>
        <v>3.1877999999999997E-2</v>
      </c>
      <c r="AG114">
        <f>VLOOKUP($A114,Sheet4!$A$2:$Q$122,17,FALSE)</f>
        <v>0.66528000000000009</v>
      </c>
    </row>
    <row r="115" spans="1:33" x14ac:dyDescent="0.3">
      <c r="A115" s="7">
        <v>1894</v>
      </c>
      <c r="B115" s="27" t="str">
        <f>VLOOKUP($A115, Sheet5!$A$1:$E$119,2,FALSE)</f>
        <v>IBD</v>
      </c>
      <c r="C115" s="27" t="str">
        <f>VLOOKUP($A115, Sheet5!$A$1:$E$119,3,FALSE)</f>
        <v>otu_1</v>
      </c>
      <c r="D115" s="27" t="str">
        <f>VLOOKUP($A115, Sheet5!$A$1:$E$119,4,FALSE)</f>
        <v>F</v>
      </c>
      <c r="E115" s="27">
        <f>VLOOKUP($A115, Sheet5!$A$1:$E$119,5,FALSE)</f>
        <v>8</v>
      </c>
      <c r="F115" s="67">
        <v>2.5796399999999999</v>
      </c>
      <c r="G115" s="67">
        <v>0.49617399999999989</v>
      </c>
      <c r="H115" s="67">
        <v>1.1175090090090087E-2</v>
      </c>
      <c r="I115" s="45">
        <v>0.40233600000000003</v>
      </c>
      <c r="J115" s="45">
        <v>1.524</v>
      </c>
      <c r="K115" s="45">
        <v>1.3411200000000002E-2</v>
      </c>
      <c r="L115" s="45">
        <v>0.54810000000000003</v>
      </c>
      <c r="M115" s="45">
        <v>0.4239</v>
      </c>
      <c r="N115" s="45">
        <v>2.0881773399014779E-2</v>
      </c>
      <c r="O115">
        <v>0.87965000000000004</v>
      </c>
      <c r="P115">
        <v>0.80665000000000009</v>
      </c>
      <c r="Q115">
        <v>3.3470954356846466E-2</v>
      </c>
      <c r="R115">
        <f>VLOOKUP($A115,Sheet4!$A$2:$Q$122,2,FALSE)</f>
        <v>0</v>
      </c>
      <c r="S115">
        <f>VLOOKUP($A115,Sheet4!$A$2:$Q$122,3,FALSE)</f>
        <v>0</v>
      </c>
      <c r="T115">
        <f>VLOOKUP($A115,Sheet4!$A$2:$Q$122,4,FALSE)</f>
        <v>0</v>
      </c>
      <c r="U115">
        <f>VLOOKUP($A115,Sheet4!$A$2:$Q$122,5,FALSE)</f>
        <v>0</v>
      </c>
      <c r="V115">
        <f>VLOOKUP($A115,Sheet4!$A$2:$Q$122,6,FALSE)</f>
        <v>0</v>
      </c>
      <c r="W115">
        <f>VLOOKUP($A115,Sheet4!$A$2:$Q$122,7,FALSE)</f>
        <v>0</v>
      </c>
      <c r="X115">
        <f>VLOOKUP($A115,Sheet4!$A$2:$Q$122,8,FALSE)</f>
        <v>0</v>
      </c>
      <c r="Y115">
        <f>VLOOKUP($A115,Sheet4!$A$2:$Q$122,9,FALSE)</f>
        <v>0</v>
      </c>
      <c r="Z115">
        <f>VLOOKUP($A115,Sheet4!$A$2:$Q$122,10,FALSE)</f>
        <v>0</v>
      </c>
      <c r="AA115">
        <f>VLOOKUP($A115,Sheet4!$A$2:$Q$122,11,FALSE)</f>
        <v>0</v>
      </c>
      <c r="AB115">
        <f>VLOOKUP($A115,Sheet4!$A$2:$Q$122,12,FALSE)</f>
        <v>0</v>
      </c>
      <c r="AC115">
        <f>VLOOKUP($A115,Sheet4!$A$2:$Q$122,13,FALSE)</f>
        <v>0</v>
      </c>
      <c r="AD115">
        <f>VLOOKUP($A115,Sheet4!$A$2:$Q$122,14,FALSE)</f>
        <v>0</v>
      </c>
      <c r="AE115">
        <f>VLOOKUP($A115,Sheet4!$A$2:$Q$122,15,FALSE)</f>
        <v>0</v>
      </c>
      <c r="AF115">
        <f>VLOOKUP($A115,Sheet4!$A$2:$Q$122,16,FALSE)</f>
        <v>0</v>
      </c>
      <c r="AG115">
        <f>VLOOKUP($A115,Sheet4!$A$2:$Q$122,17,FALSE)</f>
        <v>0</v>
      </c>
    </row>
    <row r="116" spans="1:33" x14ac:dyDescent="0.3">
      <c r="A116" s="7">
        <v>1899</v>
      </c>
      <c r="B116" s="27" t="str">
        <f>VLOOKUP($A116, Sheet5!$A$1:$E$119,2,FALSE)</f>
        <v>IBD</v>
      </c>
      <c r="C116" s="27" t="str">
        <f>VLOOKUP($A116, Sheet5!$A$1:$E$119,3,FALSE)</f>
        <v>otu_1</v>
      </c>
      <c r="D116" s="27" t="str">
        <f>VLOOKUP($A116, Sheet5!$A$1:$E$119,4,FALSE)</f>
        <v>F</v>
      </c>
      <c r="E116" s="27">
        <f>VLOOKUP($A116, Sheet5!$A$1:$E$119,5,FALSE)</f>
        <v>2</v>
      </c>
      <c r="F116" s="86"/>
      <c r="G116" s="86"/>
      <c r="H116" s="86"/>
      <c r="I116">
        <v>0.24129300000000001</v>
      </c>
      <c r="J116">
        <v>0.65635999999999994</v>
      </c>
      <c r="K116">
        <v>9.8890573770491815E-3</v>
      </c>
      <c r="L116">
        <v>0.71148000000000011</v>
      </c>
      <c r="M116">
        <v>0.48971999999999999</v>
      </c>
      <c r="N116">
        <v>2.12E-2</v>
      </c>
      <c r="O116">
        <v>0.43939999999999996</v>
      </c>
      <c r="P116">
        <v>0.3614</v>
      </c>
      <c r="Q116">
        <v>2.1384615384615387E-2</v>
      </c>
      <c r="R116">
        <f>VLOOKUP($A116,Sheet4!$A$2:$Q$122,2,FALSE)</f>
        <v>6.4399999999999995</v>
      </c>
      <c r="S116">
        <f>VLOOKUP($A116,Sheet4!$A$2:$Q$122,3,FALSE)</f>
        <v>7.2128000000000012E-2</v>
      </c>
      <c r="T116">
        <f>VLOOKUP($A116,Sheet4!$A$2:$Q$122,4,FALSE)</f>
        <v>6.3112000000000001E-2</v>
      </c>
      <c r="U116">
        <f>VLOOKUP($A116,Sheet4!$A$2:$Q$122,5,FALSE)</f>
        <v>0.22797599999999998</v>
      </c>
      <c r="V116">
        <f>VLOOKUP($A116,Sheet4!$A$2:$Q$122,6,FALSE)</f>
        <v>5.55</v>
      </c>
      <c r="W116">
        <f>VLOOKUP($A116,Sheet4!$A$2:$Q$122,7,FALSE)</f>
        <v>8.657999999999999E-2</v>
      </c>
      <c r="X116">
        <f>VLOOKUP($A116,Sheet4!$A$2:$Q$122,8,FALSE)</f>
        <v>4.4954999999999995E-2</v>
      </c>
      <c r="Y116">
        <f>VLOOKUP($A116,Sheet4!$A$2:$Q$122,9,FALSE)</f>
        <v>0.90465000000000007</v>
      </c>
      <c r="Z116">
        <f>VLOOKUP($A116,Sheet4!$A$2:$Q$122,10,FALSE)</f>
        <v>8.82</v>
      </c>
      <c r="AA116">
        <f>VLOOKUP($A116,Sheet4!$A$2:$Q$122,11,FALSE)</f>
        <v>0.10936799999999999</v>
      </c>
      <c r="AB116">
        <f>VLOOKUP($A116,Sheet4!$A$2:$Q$122,12,FALSE)</f>
        <v>8.2026000000000002E-2</v>
      </c>
      <c r="AC116">
        <f>VLOOKUP($A116,Sheet4!$A$2:$Q$122,13,FALSE)</f>
        <v>0.56712600000000002</v>
      </c>
      <c r="AD116">
        <f>VLOOKUP($A116,Sheet4!$A$2:$Q$122,14,FALSE)</f>
        <v>6.2</v>
      </c>
      <c r="AE116">
        <f>VLOOKUP($A116,Sheet4!$A$2:$Q$122,15,FALSE)</f>
        <v>0.12151999999999999</v>
      </c>
      <c r="AF116">
        <f>VLOOKUP($A116,Sheet4!$A$2:$Q$122,16,FALSE)</f>
        <v>7.3160000000000003E-2</v>
      </c>
      <c r="AG116">
        <f>VLOOKUP($A116,Sheet4!$A$2:$Q$122,17,FALSE)</f>
        <v>0.50343999999999989</v>
      </c>
    </row>
    <row r="117" spans="1:33" x14ac:dyDescent="0.3">
      <c r="A117" s="7">
        <v>1900</v>
      </c>
      <c r="B117" s="27" t="str">
        <f>VLOOKUP($A117, Sheet5!$A$1:$E$119,2,FALSE)</f>
        <v>IBD</v>
      </c>
      <c r="C117" s="27" t="str">
        <f>VLOOKUP($A117, Sheet5!$A$1:$E$119,3,FALSE)</f>
        <v>otu_1</v>
      </c>
      <c r="D117" s="27" t="str">
        <f>VLOOKUP($A117, Sheet5!$A$1:$E$119,4,FALSE)</f>
        <v>F</v>
      </c>
      <c r="E117" s="27">
        <f>VLOOKUP($A117, Sheet5!$A$1:$E$119,5,FALSE)</f>
        <v>6</v>
      </c>
      <c r="F117" s="67">
        <v>0.44402000000000003</v>
      </c>
      <c r="G117" s="67">
        <v>0.50809000000000004</v>
      </c>
      <c r="H117" s="67">
        <v>1.7049999999999999E-2</v>
      </c>
      <c r="I117">
        <v>0.48</v>
      </c>
      <c r="J117">
        <v>1.1097599999999999</v>
      </c>
      <c r="K117">
        <v>1.6608996539792385E-2</v>
      </c>
      <c r="L117">
        <v>0.70455000000000001</v>
      </c>
      <c r="M117">
        <v>1.0504199999999999</v>
      </c>
      <c r="N117">
        <v>6.3661818181818181E-2</v>
      </c>
      <c r="O117">
        <v>0.56399999999999995</v>
      </c>
      <c r="P117">
        <v>0.64296000000000009</v>
      </c>
      <c r="Q117">
        <v>4.2864000000000006E-2</v>
      </c>
      <c r="R117">
        <f>VLOOKUP($A117,Sheet4!$A$2:$Q$122,2,FALSE)</f>
        <v>8.86</v>
      </c>
      <c r="S117">
        <f>VLOOKUP($A117,Sheet4!$A$2:$Q$122,3,FALSE)</f>
        <v>0.32781999999999994</v>
      </c>
      <c r="T117">
        <f>VLOOKUP($A117,Sheet4!$A$2:$Q$122,4,FALSE)</f>
        <v>0.31895999999999997</v>
      </c>
      <c r="U117">
        <f>VLOOKUP($A117,Sheet4!$A$2:$Q$122,5,FALSE)</f>
        <v>0.56083799999999995</v>
      </c>
      <c r="V117">
        <f>VLOOKUP($A117,Sheet4!$A$2:$Q$122,6,FALSE)</f>
        <v>8.3099999999999987</v>
      </c>
      <c r="W117">
        <f>VLOOKUP($A117,Sheet4!$A$2:$Q$122,7,FALSE)</f>
        <v>0.13129799999999997</v>
      </c>
      <c r="X117">
        <f>VLOOKUP($A117,Sheet4!$A$2:$Q$122,8,FALSE)</f>
        <v>7.5620999999999994E-2</v>
      </c>
      <c r="Y117">
        <f>VLOOKUP($A117,Sheet4!$A$2:$Q$122,9,FALSE)</f>
        <v>0.92240999999999984</v>
      </c>
      <c r="Z117">
        <f>VLOOKUP($A117,Sheet4!$A$2:$Q$122,10,FALSE)</f>
        <v>9.82</v>
      </c>
      <c r="AA117">
        <f>VLOOKUP($A117,Sheet4!$A$2:$Q$122,11,FALSE)</f>
        <v>7.4632000000000004E-2</v>
      </c>
      <c r="AB117">
        <f>VLOOKUP($A117,Sheet4!$A$2:$Q$122,12,FALSE)</f>
        <v>5.9901999999999997E-2</v>
      </c>
      <c r="AC117">
        <f>VLOOKUP($A117,Sheet4!$A$2:$Q$122,13,FALSE)</f>
        <v>1.05074</v>
      </c>
      <c r="AD117">
        <f>VLOOKUP($A117,Sheet4!$A$2:$Q$122,14,FALSE)</f>
        <v>9.1999999999999993</v>
      </c>
      <c r="AE117">
        <f>VLOOKUP($A117,Sheet4!$A$2:$Q$122,15,FALSE)</f>
        <v>8.924E-2</v>
      </c>
      <c r="AF117">
        <f>VLOOKUP($A117,Sheet4!$A$2:$Q$122,16,FALSE)</f>
        <v>5.7959999999999991E-2</v>
      </c>
      <c r="AG117">
        <f>VLOOKUP($A117,Sheet4!$A$2:$Q$122,17,FALSE)</f>
        <v>1.2879999999999998</v>
      </c>
    </row>
  </sheetData>
  <autoFilter ref="A1:AG1" xr:uid="{0C2496FA-BD4A-4834-ACDB-065059BEBD6F}">
    <sortState xmlns:xlrd2="http://schemas.microsoft.com/office/spreadsheetml/2017/richdata2" ref="A2:AG123">
      <sortCondition ref="A1"/>
    </sortState>
  </autoFilter>
  <conditionalFormatting sqref="A27:A49">
    <cfRule type="duplicateValues" dxfId="495" priority="10"/>
  </conditionalFormatting>
  <conditionalFormatting sqref="A50">
    <cfRule type="duplicateValues" dxfId="494" priority="8"/>
  </conditionalFormatting>
  <conditionalFormatting sqref="A51">
    <cfRule type="duplicateValues" dxfId="493" priority="9"/>
  </conditionalFormatting>
  <conditionalFormatting sqref="A52">
    <cfRule type="duplicateValues" dxfId="492" priority="7"/>
  </conditionalFormatting>
  <conditionalFormatting sqref="A53">
    <cfRule type="duplicateValues" dxfId="491" priority="6"/>
  </conditionalFormatting>
  <conditionalFormatting sqref="A54">
    <cfRule type="duplicateValues" dxfId="490" priority="5"/>
  </conditionalFormatting>
  <conditionalFormatting sqref="A55">
    <cfRule type="duplicateValues" dxfId="489" priority="4"/>
  </conditionalFormatting>
  <conditionalFormatting sqref="A56">
    <cfRule type="duplicateValues" dxfId="488" priority="3"/>
  </conditionalFormatting>
  <conditionalFormatting sqref="A57">
    <cfRule type="duplicateValues" dxfId="487" priority="2"/>
  </conditionalFormatting>
  <conditionalFormatting sqref="A58">
    <cfRule type="duplicateValues" dxfId="486" priority="1"/>
  </conditionalFormatting>
  <conditionalFormatting sqref="A59:A64">
    <cfRule type="duplicateValues" dxfId="485" priority="11"/>
  </conditionalFormatting>
  <conditionalFormatting sqref="A65:A89">
    <cfRule type="duplicateValues" dxfId="484" priority="12"/>
  </conditionalFormatting>
  <conditionalFormatting sqref="A90:A117">
    <cfRule type="duplicateValues" dxfId="483" priority="1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8325-4A52-46A2-9D96-70930BCFDBD8}">
  <dimension ref="A1:TW401"/>
  <sheetViews>
    <sheetView topLeftCell="A331" zoomScale="70" zoomScaleNormal="70" workbookViewId="0">
      <selection activeCell="A392" sqref="A392:XFD392"/>
    </sheetView>
  </sheetViews>
  <sheetFormatPr defaultRowHeight="13.8" x14ac:dyDescent="0.3"/>
  <cols>
    <col min="1" max="1" width="12.6640625" style="2" customWidth="1"/>
    <col min="2" max="6" width="8.88671875" style="2"/>
    <col min="7" max="7" width="13.6640625" style="2" customWidth="1"/>
    <col min="8" max="12" width="8.88671875" style="2"/>
    <col min="13" max="13" width="11" style="2" customWidth="1"/>
    <col min="14" max="19" width="8.88671875" style="2"/>
    <col min="20" max="20" width="12.77734375" style="2" customWidth="1"/>
    <col min="21" max="16384" width="8.88671875" style="2"/>
  </cols>
  <sheetData>
    <row r="1" spans="1:52" ht="14.4" x14ac:dyDescent="0.3">
      <c r="A1" s="1" t="s">
        <v>0</v>
      </c>
      <c r="B1" s="92" t="s">
        <v>1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4"/>
      <c r="AB1" s="3" t="s">
        <v>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3">
      <c r="A2" s="1" t="s">
        <v>3</v>
      </c>
      <c r="B2" s="1"/>
      <c r="C2" s="1"/>
      <c r="D2" s="1"/>
      <c r="E2" s="1"/>
      <c r="F2" s="1"/>
      <c r="G2" s="1" t="s">
        <v>4</v>
      </c>
      <c r="H2" s="1"/>
      <c r="I2" s="1"/>
      <c r="J2" s="1"/>
      <c r="K2" s="1"/>
      <c r="L2" s="1"/>
      <c r="M2" s="1" t="s">
        <v>5</v>
      </c>
      <c r="N2" s="1"/>
      <c r="O2" s="1"/>
      <c r="P2" s="1"/>
      <c r="Q2" s="1"/>
      <c r="R2" s="1"/>
      <c r="S2" s="1"/>
      <c r="T2" s="1" t="s">
        <v>6</v>
      </c>
      <c r="U2" s="1"/>
      <c r="V2" s="1"/>
      <c r="W2" s="1"/>
      <c r="X2" s="1"/>
      <c r="Y2" s="1"/>
      <c r="AB2" s="4" t="s">
        <v>3</v>
      </c>
      <c r="AC2" s="4"/>
      <c r="AD2" s="4"/>
      <c r="AE2" s="4"/>
      <c r="AF2" s="4"/>
      <c r="AG2" s="4"/>
      <c r="AH2" s="4" t="s">
        <v>4</v>
      </c>
      <c r="AI2" s="4"/>
      <c r="AJ2" s="4"/>
      <c r="AK2" s="4"/>
      <c r="AL2" s="4"/>
      <c r="AM2" s="4"/>
      <c r="AN2" s="4" t="s">
        <v>5</v>
      </c>
      <c r="AO2" s="4"/>
      <c r="AP2" s="4"/>
      <c r="AQ2" s="4"/>
      <c r="AR2" s="4"/>
      <c r="AS2" s="4"/>
      <c r="AT2" s="4"/>
      <c r="AU2" s="4" t="s">
        <v>6</v>
      </c>
      <c r="AV2" s="4"/>
      <c r="AW2" s="4"/>
      <c r="AX2" s="4"/>
      <c r="AY2" s="4"/>
      <c r="AZ2" s="4"/>
    </row>
    <row r="3" spans="1:52" ht="27.6" x14ac:dyDescent="0.3">
      <c r="A3" s="1"/>
      <c r="B3" s="1" t="s">
        <v>7</v>
      </c>
      <c r="C3" s="1" t="s">
        <v>8</v>
      </c>
      <c r="D3" s="5" t="s">
        <v>9</v>
      </c>
      <c r="E3" s="5" t="s">
        <v>10</v>
      </c>
      <c r="F3" s="5" t="s">
        <v>11</v>
      </c>
      <c r="G3" s="1"/>
      <c r="H3" s="1" t="s">
        <v>7</v>
      </c>
      <c r="I3" s="1" t="s">
        <v>8</v>
      </c>
      <c r="J3" s="5" t="s">
        <v>9</v>
      </c>
      <c r="K3" s="5" t="s">
        <v>10</v>
      </c>
      <c r="L3" s="5" t="s">
        <v>11</v>
      </c>
      <c r="M3" s="1"/>
      <c r="N3" s="1" t="s">
        <v>7</v>
      </c>
      <c r="O3" s="1" t="s">
        <v>8</v>
      </c>
      <c r="P3" s="5" t="s">
        <v>9</v>
      </c>
      <c r="Q3" s="5" t="s">
        <v>10</v>
      </c>
      <c r="R3" s="5" t="s">
        <v>11</v>
      </c>
      <c r="S3" s="5"/>
      <c r="T3" s="1"/>
      <c r="U3" s="1" t="s">
        <v>7</v>
      </c>
      <c r="V3" s="1" t="s">
        <v>8</v>
      </c>
      <c r="W3" s="5" t="s">
        <v>9</v>
      </c>
      <c r="X3" s="5" t="s">
        <v>10</v>
      </c>
      <c r="Y3" s="5" t="s">
        <v>11</v>
      </c>
      <c r="AB3" s="4"/>
      <c r="AC3" s="4" t="s">
        <v>7</v>
      </c>
      <c r="AD3" s="4" t="s">
        <v>8</v>
      </c>
      <c r="AE3" s="6" t="s">
        <v>9</v>
      </c>
      <c r="AF3" s="6" t="s">
        <v>10</v>
      </c>
      <c r="AG3" s="6"/>
      <c r="AH3" s="4"/>
      <c r="AI3" s="4" t="s">
        <v>7</v>
      </c>
      <c r="AJ3" s="4" t="s">
        <v>8</v>
      </c>
      <c r="AK3" s="6" t="s">
        <v>9</v>
      </c>
      <c r="AL3" s="6" t="s">
        <v>10</v>
      </c>
      <c r="AM3" s="6"/>
      <c r="AN3" s="4"/>
      <c r="AO3" s="4" t="s">
        <v>7</v>
      </c>
      <c r="AP3" s="4" t="s">
        <v>8</v>
      </c>
      <c r="AQ3" s="6" t="s">
        <v>9</v>
      </c>
      <c r="AR3" s="6" t="s">
        <v>10</v>
      </c>
      <c r="AS3" s="6" t="s">
        <v>12</v>
      </c>
      <c r="AT3" s="6"/>
      <c r="AU3" s="4"/>
      <c r="AV3" s="4" t="s">
        <v>7</v>
      </c>
      <c r="AW3" s="4" t="s">
        <v>8</v>
      </c>
      <c r="AX3" s="6" t="s">
        <v>9</v>
      </c>
      <c r="AY3" s="6" t="s">
        <v>10</v>
      </c>
      <c r="AZ3" s="6" t="s">
        <v>12</v>
      </c>
    </row>
    <row r="4" spans="1:52" x14ac:dyDescent="0.3">
      <c r="A4" s="7" t="s">
        <v>13</v>
      </c>
      <c r="B4" s="8">
        <f>0.32+2.05</f>
        <v>2.3699999999999997</v>
      </c>
      <c r="C4" s="8">
        <v>0.22</v>
      </c>
      <c r="D4" s="8">
        <v>0.9</v>
      </c>
      <c r="E4" s="9">
        <v>3.91</v>
      </c>
      <c r="F4" s="8">
        <f>0.32+7.73</f>
        <v>8.0500000000000007</v>
      </c>
      <c r="G4" s="7" t="s">
        <v>13</v>
      </c>
      <c r="H4" s="8">
        <f>2.04+0.66</f>
        <v>2.7</v>
      </c>
      <c r="I4" s="8">
        <v>4.4999999999999998E-2</v>
      </c>
      <c r="J4" s="8">
        <v>4.2000000000000003E-2</v>
      </c>
      <c r="K4" s="10">
        <v>5.86</v>
      </c>
      <c r="L4" s="8">
        <f>0.66+9.83</f>
        <v>10.49</v>
      </c>
      <c r="M4" s="7" t="s">
        <v>13</v>
      </c>
      <c r="N4" s="11">
        <f>3.27+0.39</f>
        <v>3.66</v>
      </c>
      <c r="O4" s="9">
        <v>0.27</v>
      </c>
      <c r="P4" s="9">
        <v>0.45</v>
      </c>
      <c r="Q4" s="9">
        <v>1.63</v>
      </c>
      <c r="R4" s="10">
        <f>0.39+7.17</f>
        <v>7.56</v>
      </c>
      <c r="S4" s="9"/>
      <c r="T4" s="7" t="s">
        <v>13</v>
      </c>
      <c r="U4" s="9">
        <f>2.64+0.59</f>
        <v>3.23</v>
      </c>
      <c r="V4" s="9">
        <v>0.31</v>
      </c>
      <c r="W4" s="9">
        <v>0.26</v>
      </c>
      <c r="X4" s="12">
        <v>2.65</v>
      </c>
      <c r="Y4" s="10">
        <f>0.59+11.1</f>
        <v>11.69</v>
      </c>
      <c r="AB4" s="7" t="s">
        <v>13</v>
      </c>
      <c r="AC4" s="8">
        <f>0.32+2.05</f>
        <v>2.3699999999999997</v>
      </c>
      <c r="AD4" s="2">
        <f>AC4*C4/100</f>
        <v>5.2139999999999999E-3</v>
      </c>
      <c r="AE4" s="2">
        <f>AC4*D4/100</f>
        <v>2.1329999999999995E-2</v>
      </c>
      <c r="AF4" s="2">
        <f>E4*B4/100</f>
        <v>9.2666999999999985E-2</v>
      </c>
      <c r="AH4" s="7" t="s">
        <v>13</v>
      </c>
      <c r="AI4" s="8">
        <f>2.04+0.66</f>
        <v>2.7</v>
      </c>
      <c r="AJ4" s="2">
        <f>AI4*I4/100</f>
        <v>1.2149999999999999E-3</v>
      </c>
      <c r="AK4" s="2">
        <f>AI4*J4/100</f>
        <v>1.1340000000000002E-3</v>
      </c>
      <c r="AL4" s="2">
        <f>AI4*K4/100</f>
        <v>0.15822000000000003</v>
      </c>
      <c r="AN4" s="7" t="s">
        <v>13</v>
      </c>
      <c r="AO4" s="11">
        <v>7.17</v>
      </c>
      <c r="AP4" s="2">
        <f>AO4*O4/100</f>
        <v>1.9359000000000001E-2</v>
      </c>
      <c r="AQ4" s="2">
        <f>AO4*P4/100</f>
        <v>3.2265000000000002E-2</v>
      </c>
      <c r="AR4" s="2">
        <f>AO4*Q4/100</f>
        <v>0.11687099999999999</v>
      </c>
      <c r="AU4" s="7" t="s">
        <v>13</v>
      </c>
      <c r="AV4" s="9">
        <f>2.64+0.59</f>
        <v>3.23</v>
      </c>
      <c r="AW4" s="2">
        <f>AV4*V4/100</f>
        <v>1.0013000000000001E-2</v>
      </c>
      <c r="AX4" s="2">
        <f>AV4*W4/100</f>
        <v>8.3979999999999992E-3</v>
      </c>
      <c r="AY4" s="2">
        <f>AV4*X4/100</f>
        <v>8.5595000000000004E-2</v>
      </c>
    </row>
    <row r="5" spans="1:52" x14ac:dyDescent="0.3">
      <c r="A5" s="7" t="s">
        <v>14</v>
      </c>
      <c r="B5" s="8">
        <f>4.53+0.49</f>
        <v>5.0200000000000005</v>
      </c>
      <c r="C5" s="8">
        <v>0.25</v>
      </c>
      <c r="D5" s="8">
        <v>1.22</v>
      </c>
      <c r="E5" s="9">
        <v>1.65</v>
      </c>
      <c r="F5" s="8">
        <f>0.49+7.19</f>
        <v>7.6800000000000006</v>
      </c>
      <c r="G5" s="7" t="s">
        <v>14</v>
      </c>
      <c r="H5" s="8">
        <f>3.02+0.33</f>
        <v>3.35</v>
      </c>
      <c r="I5" s="8">
        <v>0.31</v>
      </c>
      <c r="J5" s="8">
        <v>0.32</v>
      </c>
      <c r="K5" s="10">
        <v>2.56</v>
      </c>
      <c r="L5" s="8">
        <f>0.33+6.85</f>
        <v>7.18</v>
      </c>
      <c r="M5" s="7" t="s">
        <v>14</v>
      </c>
      <c r="N5" s="11">
        <f>4.3+0.6</f>
        <v>4.8999999999999995</v>
      </c>
      <c r="O5" s="9">
        <v>0.65</v>
      </c>
      <c r="P5" s="9">
        <v>0.45</v>
      </c>
      <c r="Q5" s="10">
        <v>2.5499999999999998</v>
      </c>
      <c r="R5" s="10">
        <f>0.6+8.42</f>
        <v>9.02</v>
      </c>
      <c r="S5" s="9"/>
      <c r="T5" s="7" t="s">
        <v>14</v>
      </c>
      <c r="U5" s="9">
        <f>1.2+0.2</f>
        <v>1.4</v>
      </c>
      <c r="V5" s="9">
        <v>0.88</v>
      </c>
      <c r="W5" s="9">
        <v>2.83</v>
      </c>
      <c r="X5" s="12">
        <v>4.6900000000000004</v>
      </c>
      <c r="Y5" s="10">
        <f>0.2+3.68</f>
        <v>3.8800000000000003</v>
      </c>
      <c r="AB5" s="7" t="s">
        <v>14</v>
      </c>
      <c r="AC5" s="8">
        <f>4.53+0.49</f>
        <v>5.0200000000000005</v>
      </c>
      <c r="AD5" s="2">
        <f t="shared" ref="AD5:AD24" si="0">AC5*C5/100</f>
        <v>1.255E-2</v>
      </c>
      <c r="AE5" s="2">
        <f t="shared" ref="AE5:AE24" si="1">AC5*D5/100</f>
        <v>6.1244000000000007E-2</v>
      </c>
      <c r="AF5" s="2">
        <f t="shared" ref="AF5:AF24" si="2">E5*B5/100</f>
        <v>8.2830000000000001E-2</v>
      </c>
      <c r="AH5" s="7" t="s">
        <v>14</v>
      </c>
      <c r="AI5" s="8">
        <f>3.02+0.33</f>
        <v>3.35</v>
      </c>
      <c r="AJ5" s="2">
        <f t="shared" ref="AJ5:AJ11" si="3">AI5*I5/100</f>
        <v>1.0385E-2</v>
      </c>
      <c r="AK5" s="2">
        <f t="shared" ref="AK5:AK11" si="4">AI5*J5/100</f>
        <v>1.072E-2</v>
      </c>
      <c r="AL5" s="2">
        <f t="shared" ref="AL5:AL11" si="5">AI5*K5/100</f>
        <v>8.5760000000000003E-2</v>
      </c>
      <c r="AN5" s="7" t="s">
        <v>14</v>
      </c>
      <c r="AO5" s="11">
        <v>8.42</v>
      </c>
      <c r="AP5" s="2">
        <f t="shared" ref="AP5:AP11" si="6">AO5*O5/100</f>
        <v>5.4730000000000001E-2</v>
      </c>
      <c r="AQ5" s="2">
        <f t="shared" ref="AQ5:AQ76" si="7">AO5*P5/100</f>
        <v>3.789E-2</v>
      </c>
      <c r="AR5" s="2">
        <f t="shared" ref="AR5:AR74" si="8">AO5*Q5/100</f>
        <v>0.21471000000000001</v>
      </c>
      <c r="AU5" s="7" t="s">
        <v>14</v>
      </c>
      <c r="AV5" s="9">
        <f>1.2+0.2</f>
        <v>1.4</v>
      </c>
      <c r="AW5" s="2">
        <f t="shared" ref="AW5:AW11" si="9">AV5*V5/100</f>
        <v>1.2319999999999999E-2</v>
      </c>
      <c r="AX5" s="2">
        <f t="shared" ref="AX5:AX11" si="10">AV5*W5/100</f>
        <v>3.9619999999999995E-2</v>
      </c>
      <c r="AY5" s="2">
        <f t="shared" ref="AY5:AY11" si="11">AV5*X5/100</f>
        <v>6.5659999999999996E-2</v>
      </c>
    </row>
    <row r="6" spans="1:52" x14ac:dyDescent="0.3">
      <c r="A6" s="7" t="s">
        <v>15</v>
      </c>
      <c r="B6" s="8">
        <f>2.61+0.27</f>
        <v>2.88</v>
      </c>
      <c r="C6" s="8">
        <v>0.33</v>
      </c>
      <c r="D6" s="8">
        <v>2.3199999999999998</v>
      </c>
      <c r="E6" s="9">
        <v>2.48</v>
      </c>
      <c r="F6" s="8">
        <f>0.27+5.01</f>
        <v>5.2799999999999994</v>
      </c>
      <c r="G6" s="7" t="s">
        <v>15</v>
      </c>
      <c r="H6" s="8">
        <f>1.61+0.33</f>
        <v>1.9400000000000002</v>
      </c>
      <c r="I6" s="8">
        <v>0.12</v>
      </c>
      <c r="J6" s="8">
        <v>0.14000000000000001</v>
      </c>
      <c r="K6" s="10">
        <v>6.1</v>
      </c>
      <c r="L6" s="8">
        <f>0.33+7.27</f>
        <v>7.6</v>
      </c>
      <c r="M6" s="7" t="s">
        <v>15</v>
      </c>
      <c r="N6" s="11">
        <f>1.49+0.14</f>
        <v>1.63</v>
      </c>
      <c r="O6" s="9">
        <v>0.57999999999999996</v>
      </c>
      <c r="P6" s="9">
        <v>0.99</v>
      </c>
      <c r="Q6" s="10">
        <v>2.5499999999999998</v>
      </c>
      <c r="R6" s="10">
        <f>0.14+3</f>
        <v>3.14</v>
      </c>
      <c r="S6" s="9"/>
      <c r="T6" s="7" t="s">
        <v>15</v>
      </c>
      <c r="U6" s="9">
        <f>2.99+0.35</f>
        <v>3.3400000000000003</v>
      </c>
      <c r="V6" s="9">
        <v>0.51</v>
      </c>
      <c r="W6" s="9">
        <v>0.44</v>
      </c>
      <c r="X6" s="12">
        <v>2.5499999999999998</v>
      </c>
      <c r="Y6" s="10">
        <f>0.35+6.2</f>
        <v>6.55</v>
      </c>
      <c r="AB6" s="7" t="s">
        <v>15</v>
      </c>
      <c r="AC6" s="8">
        <f>2.61+0.27</f>
        <v>2.88</v>
      </c>
      <c r="AD6" s="2">
        <f t="shared" si="0"/>
        <v>9.5040000000000003E-3</v>
      </c>
      <c r="AE6" s="2">
        <f t="shared" si="1"/>
        <v>6.6816E-2</v>
      </c>
      <c r="AF6" s="2">
        <f t="shared" si="2"/>
        <v>7.1423999999999987E-2</v>
      </c>
      <c r="AH6" s="7" t="s">
        <v>15</v>
      </c>
      <c r="AI6" s="8">
        <f>1.61+0.33</f>
        <v>1.9400000000000002</v>
      </c>
      <c r="AJ6" s="2">
        <f t="shared" si="3"/>
        <v>2.3280000000000002E-3</v>
      </c>
      <c r="AK6" s="2">
        <f t="shared" si="4"/>
        <v>2.7160000000000005E-3</v>
      </c>
      <c r="AL6" s="2">
        <f t="shared" si="5"/>
        <v>0.11834</v>
      </c>
      <c r="AN6" s="7" t="s">
        <v>15</v>
      </c>
      <c r="AO6" s="11">
        <v>3</v>
      </c>
      <c r="AP6" s="2">
        <f t="shared" si="6"/>
        <v>1.7399999999999999E-2</v>
      </c>
      <c r="AQ6" s="2">
        <f t="shared" si="7"/>
        <v>2.9699999999999997E-2</v>
      </c>
      <c r="AR6" s="2">
        <f t="shared" si="8"/>
        <v>7.6499999999999999E-2</v>
      </c>
      <c r="AU6" s="7" t="s">
        <v>15</v>
      </c>
      <c r="AV6" s="9">
        <f>2.99+0.35</f>
        <v>3.3400000000000003</v>
      </c>
      <c r="AW6" s="2">
        <f t="shared" si="9"/>
        <v>1.7034000000000004E-2</v>
      </c>
      <c r="AX6" s="2">
        <f t="shared" si="10"/>
        <v>1.4696000000000002E-2</v>
      </c>
      <c r="AY6" s="2">
        <f t="shared" si="11"/>
        <v>8.5169999999999996E-2</v>
      </c>
    </row>
    <row r="7" spans="1:52" x14ac:dyDescent="0.3">
      <c r="A7" s="7" t="s">
        <v>16</v>
      </c>
      <c r="B7" s="8">
        <f>4.58+0.59</f>
        <v>5.17</v>
      </c>
      <c r="C7" s="8">
        <v>0.34</v>
      </c>
      <c r="D7" s="8">
        <v>0.9</v>
      </c>
      <c r="E7" s="8">
        <v>2.35</v>
      </c>
      <c r="F7" s="8">
        <f>0.59+7.07</f>
        <v>7.66</v>
      </c>
      <c r="G7" s="7" t="s">
        <v>16</v>
      </c>
      <c r="H7" s="8">
        <f>1.65+0.81</f>
        <v>2.46</v>
      </c>
      <c r="I7" s="8">
        <v>3.45</v>
      </c>
      <c r="J7" s="8">
        <v>0.73</v>
      </c>
      <c r="K7" s="60"/>
      <c r="L7" s="8">
        <f>0.81+11.6</f>
        <v>12.41</v>
      </c>
      <c r="M7" s="7" t="s">
        <v>16</v>
      </c>
      <c r="N7" s="13">
        <f>2.98+0.57</f>
        <v>3.55</v>
      </c>
      <c r="O7" s="8">
        <v>1.22</v>
      </c>
      <c r="P7" s="8">
        <v>0.31</v>
      </c>
      <c r="Q7" s="8">
        <v>6.29</v>
      </c>
      <c r="R7" s="8">
        <f>0.57+5.59</f>
        <v>6.16</v>
      </c>
      <c r="S7" s="8"/>
      <c r="T7" s="7" t="s">
        <v>16</v>
      </c>
      <c r="U7" s="8">
        <f>4.72+0.78</f>
        <v>5.5</v>
      </c>
      <c r="V7" s="8">
        <v>0.56999999999999995</v>
      </c>
      <c r="W7" s="8">
        <v>0.27</v>
      </c>
      <c r="X7" s="8">
        <v>6.14</v>
      </c>
      <c r="Y7" s="8">
        <f>0.78+9.27</f>
        <v>10.049999999999999</v>
      </c>
      <c r="AB7" s="7" t="s">
        <v>16</v>
      </c>
      <c r="AC7" s="8">
        <f>4.58+0.59</f>
        <v>5.17</v>
      </c>
      <c r="AD7" s="2">
        <f t="shared" si="0"/>
        <v>1.7578E-2</v>
      </c>
      <c r="AE7" s="2">
        <f t="shared" si="1"/>
        <v>4.6530000000000002E-2</v>
      </c>
      <c r="AF7" s="2">
        <f t="shared" si="2"/>
        <v>0.12149499999999999</v>
      </c>
      <c r="AH7" s="7" t="s">
        <v>16</v>
      </c>
      <c r="AI7" s="8">
        <f>1.65+0.81</f>
        <v>2.46</v>
      </c>
      <c r="AJ7" s="2">
        <f t="shared" si="3"/>
        <v>8.4870000000000001E-2</v>
      </c>
      <c r="AK7" s="2">
        <f t="shared" si="4"/>
        <v>1.7957999999999998E-2</v>
      </c>
      <c r="AL7" s="83"/>
      <c r="AN7" s="7" t="s">
        <v>16</v>
      </c>
      <c r="AO7" s="13">
        <v>5.59</v>
      </c>
      <c r="AP7" s="2">
        <f t="shared" si="6"/>
        <v>6.8197999999999995E-2</v>
      </c>
      <c r="AQ7" s="2">
        <f t="shared" si="7"/>
        <v>1.7328999999999997E-2</v>
      </c>
      <c r="AR7" s="2">
        <f t="shared" si="8"/>
        <v>0.35161099999999995</v>
      </c>
      <c r="AU7" s="7" t="s">
        <v>16</v>
      </c>
      <c r="AV7" s="8">
        <f>4.72+0.78</f>
        <v>5.5</v>
      </c>
      <c r="AW7" s="2">
        <f t="shared" si="9"/>
        <v>3.1349999999999996E-2</v>
      </c>
      <c r="AX7" s="2">
        <f t="shared" si="10"/>
        <v>1.485E-2</v>
      </c>
      <c r="AY7" s="2">
        <f t="shared" si="11"/>
        <v>0.33769999999999994</v>
      </c>
    </row>
    <row r="8" spans="1:52" x14ac:dyDescent="0.3">
      <c r="A8" s="7" t="s">
        <v>17</v>
      </c>
      <c r="B8" s="8">
        <f>0.53+0.23</f>
        <v>0.76</v>
      </c>
      <c r="C8" s="8">
        <v>1.17</v>
      </c>
      <c r="D8" s="8">
        <v>5.4</v>
      </c>
      <c r="E8" s="62"/>
      <c r="F8" s="8">
        <f>0.23+2.38</f>
        <v>2.61</v>
      </c>
      <c r="G8" s="7" t="s">
        <v>17</v>
      </c>
      <c r="H8" s="8">
        <f>0.99+0.32</f>
        <v>1.31</v>
      </c>
      <c r="I8" s="8">
        <v>2.2400000000000002</v>
      </c>
      <c r="J8" s="8">
        <v>1.0900000000000001</v>
      </c>
      <c r="K8" s="10">
        <v>14.7</v>
      </c>
      <c r="L8" s="8">
        <f>0.32+6.31</f>
        <v>6.63</v>
      </c>
      <c r="M8" s="7" t="s">
        <v>17</v>
      </c>
      <c r="N8" s="11">
        <f>1.22+0.3</f>
        <v>1.52</v>
      </c>
      <c r="O8" s="9">
        <v>2.36</v>
      </c>
      <c r="P8" s="9">
        <v>1.1100000000000001</v>
      </c>
      <c r="Q8" s="10">
        <v>8.24</v>
      </c>
      <c r="R8" s="10">
        <f>0.3+6.48</f>
        <v>6.78</v>
      </c>
      <c r="S8" s="9"/>
      <c r="T8" s="7" t="s">
        <v>17</v>
      </c>
      <c r="U8" s="9">
        <f>2.33+0.56</f>
        <v>2.89</v>
      </c>
      <c r="V8" s="9">
        <v>1.72</v>
      </c>
      <c r="W8" s="9">
        <v>1.07</v>
      </c>
      <c r="X8" s="12">
        <v>7.77</v>
      </c>
      <c r="Y8" s="10">
        <f>0.56+8.32</f>
        <v>8.8800000000000008</v>
      </c>
      <c r="AB8" s="7" t="s">
        <v>17</v>
      </c>
      <c r="AC8" s="8">
        <f>0.53+0.23</f>
        <v>0.76</v>
      </c>
      <c r="AD8" s="2">
        <f t="shared" si="0"/>
        <v>8.8920000000000006E-3</v>
      </c>
      <c r="AE8" s="2">
        <f t="shared" si="1"/>
        <v>4.104E-2</v>
      </c>
      <c r="AF8" s="83"/>
      <c r="AH8" s="7" t="s">
        <v>17</v>
      </c>
      <c r="AI8" s="8">
        <f>0.99+0.32</f>
        <v>1.31</v>
      </c>
      <c r="AJ8" s="2">
        <f t="shared" si="3"/>
        <v>2.9344000000000005E-2</v>
      </c>
      <c r="AK8" s="2">
        <f t="shared" si="4"/>
        <v>1.4279000000000002E-2</v>
      </c>
      <c r="AL8" s="2">
        <f t="shared" si="5"/>
        <v>0.19257000000000002</v>
      </c>
      <c r="AN8" s="7" t="s">
        <v>17</v>
      </c>
      <c r="AO8" s="11">
        <v>6.48</v>
      </c>
      <c r="AP8" s="2">
        <f t="shared" si="6"/>
        <v>0.15292800000000001</v>
      </c>
      <c r="AQ8" s="2">
        <f t="shared" si="7"/>
        <v>7.1928000000000006E-2</v>
      </c>
      <c r="AR8" s="2">
        <f t="shared" si="8"/>
        <v>0.53395199999999998</v>
      </c>
      <c r="AU8" s="7" t="s">
        <v>17</v>
      </c>
      <c r="AV8" s="9">
        <f>2.33+0.56</f>
        <v>2.89</v>
      </c>
      <c r="AW8" s="2">
        <f t="shared" si="9"/>
        <v>4.9708000000000002E-2</v>
      </c>
      <c r="AX8" s="2">
        <f t="shared" si="10"/>
        <v>3.0923000000000003E-2</v>
      </c>
      <c r="AY8" s="2">
        <f t="shared" si="11"/>
        <v>0.224553</v>
      </c>
    </row>
    <row r="9" spans="1:52" x14ac:dyDescent="0.3">
      <c r="A9" s="7" t="s">
        <v>18</v>
      </c>
      <c r="B9" s="8">
        <f>4.47+0.52</f>
        <v>4.99</v>
      </c>
      <c r="C9" s="8">
        <v>0.2</v>
      </c>
      <c r="D9" s="8">
        <v>0.66</v>
      </c>
      <c r="E9" s="9">
        <v>3.41</v>
      </c>
      <c r="F9" s="8">
        <f>0.52+6.41</f>
        <v>6.93</v>
      </c>
      <c r="G9" s="7" t="s">
        <v>18</v>
      </c>
      <c r="H9" s="8">
        <f>3.31+0.57</f>
        <v>3.88</v>
      </c>
      <c r="I9" s="8">
        <v>0.19</v>
      </c>
      <c r="J9" s="8">
        <v>0.2</v>
      </c>
      <c r="K9" s="10">
        <v>8.4700000000000006</v>
      </c>
      <c r="L9" s="8">
        <f>0.57+7.54</f>
        <v>8.11</v>
      </c>
      <c r="M9" s="7" t="s">
        <v>18</v>
      </c>
      <c r="N9" s="11">
        <f>3.78+0.62</f>
        <v>4.3999999999999995</v>
      </c>
      <c r="O9" s="9">
        <v>0.54</v>
      </c>
      <c r="P9" s="9">
        <v>0.3</v>
      </c>
      <c r="Q9" s="10">
        <v>5.63</v>
      </c>
      <c r="R9" s="10">
        <f>0.62+8.81</f>
        <v>9.43</v>
      </c>
      <c r="S9" s="9"/>
      <c r="T9" s="7" t="s">
        <v>18</v>
      </c>
      <c r="U9" s="9">
        <f>4.67+0.43</f>
        <v>5.0999999999999996</v>
      </c>
      <c r="V9" s="9">
        <v>0.18</v>
      </c>
      <c r="W9" s="9">
        <v>0.16</v>
      </c>
      <c r="X9" s="12">
        <v>1.88</v>
      </c>
      <c r="Y9" s="10">
        <f>0.43+6.51</f>
        <v>6.9399999999999995</v>
      </c>
      <c r="AB9" s="7" t="s">
        <v>18</v>
      </c>
      <c r="AC9" s="8">
        <f>4.47+0.52</f>
        <v>4.99</v>
      </c>
      <c r="AD9" s="2">
        <f t="shared" si="0"/>
        <v>9.980000000000001E-3</v>
      </c>
      <c r="AE9" s="2">
        <f t="shared" si="1"/>
        <v>3.2933999999999998E-2</v>
      </c>
      <c r="AF9" s="2">
        <f t="shared" si="2"/>
        <v>0.17015900000000003</v>
      </c>
      <c r="AH9" s="7" t="s">
        <v>18</v>
      </c>
      <c r="AI9" s="8">
        <f>3.31+0.57</f>
        <v>3.88</v>
      </c>
      <c r="AJ9" s="2">
        <f t="shared" si="3"/>
        <v>7.3720000000000001E-3</v>
      </c>
      <c r="AK9" s="2">
        <f t="shared" si="4"/>
        <v>7.7600000000000004E-3</v>
      </c>
      <c r="AL9" s="2">
        <f t="shared" si="5"/>
        <v>0.32863599999999998</v>
      </c>
      <c r="AN9" s="7" t="s">
        <v>18</v>
      </c>
      <c r="AO9" s="11">
        <v>8.81</v>
      </c>
      <c r="AP9" s="2">
        <f t="shared" si="6"/>
        <v>4.7574000000000005E-2</v>
      </c>
      <c r="AQ9" s="2">
        <f t="shared" si="7"/>
        <v>2.6430000000000002E-2</v>
      </c>
      <c r="AR9" s="2">
        <f t="shared" si="8"/>
        <v>0.49600300000000003</v>
      </c>
      <c r="AU9" s="7" t="s">
        <v>18</v>
      </c>
      <c r="AV9" s="9">
        <f>4.67+0.43</f>
        <v>5.0999999999999996</v>
      </c>
      <c r="AW9" s="2">
        <f t="shared" si="9"/>
        <v>9.1799999999999989E-3</v>
      </c>
      <c r="AX9" s="2">
        <f t="shared" si="10"/>
        <v>8.1599999999999989E-3</v>
      </c>
      <c r="AY9" s="2">
        <f t="shared" si="11"/>
        <v>9.5879999999999993E-2</v>
      </c>
    </row>
    <row r="10" spans="1:52" x14ac:dyDescent="0.3">
      <c r="A10" s="7" t="s">
        <v>19</v>
      </c>
      <c r="B10" s="8">
        <f>4.16+0.76</f>
        <v>4.92</v>
      </c>
      <c r="C10" s="8">
        <v>1.34</v>
      </c>
      <c r="D10" s="8">
        <v>2.2000000000000002</v>
      </c>
      <c r="E10" s="9">
        <v>5.92</v>
      </c>
      <c r="F10" s="8">
        <f>0.76+9.24</f>
        <v>10</v>
      </c>
      <c r="G10" s="7" t="s">
        <v>19</v>
      </c>
      <c r="H10" s="8">
        <f>3.06+0.57</f>
        <v>3.63</v>
      </c>
      <c r="I10" s="8">
        <v>1.99</v>
      </c>
      <c r="J10" s="8">
        <v>0.5</v>
      </c>
      <c r="K10" s="10">
        <v>9.14</v>
      </c>
      <c r="L10" s="8">
        <f>0.57+9.07</f>
        <v>9.64</v>
      </c>
      <c r="M10" s="7" t="s">
        <v>19</v>
      </c>
      <c r="N10" s="11">
        <f>2.83+0.53</f>
        <v>3.3600000000000003</v>
      </c>
      <c r="O10" s="9">
        <v>2.04</v>
      </c>
      <c r="P10" s="9">
        <v>0.44</v>
      </c>
      <c r="Q10" s="10">
        <v>8.98</v>
      </c>
      <c r="R10" s="10">
        <f>0.53+8.14</f>
        <v>8.67</v>
      </c>
      <c r="S10" s="9"/>
      <c r="T10" s="7" t="s">
        <v>19</v>
      </c>
      <c r="U10" s="9">
        <f>3.19+0.53</f>
        <v>3.7199999999999998</v>
      </c>
      <c r="V10" s="9">
        <v>2.76</v>
      </c>
      <c r="W10" s="9">
        <v>0.7</v>
      </c>
      <c r="X10" s="12">
        <v>9.0399999999999991</v>
      </c>
      <c r="Y10" s="10">
        <f>0.53+8.09</f>
        <v>8.6199999999999992</v>
      </c>
      <c r="AB10" s="7" t="s">
        <v>19</v>
      </c>
      <c r="AC10" s="8">
        <f>4.16+0.76</f>
        <v>4.92</v>
      </c>
      <c r="AD10" s="2">
        <f t="shared" si="0"/>
        <v>6.5928E-2</v>
      </c>
      <c r="AE10" s="2">
        <f t="shared" si="1"/>
        <v>0.10824</v>
      </c>
      <c r="AF10" s="2">
        <f t="shared" si="2"/>
        <v>0.29126400000000002</v>
      </c>
      <c r="AH10" s="7" t="s">
        <v>19</v>
      </c>
      <c r="AI10" s="8">
        <f>3.06+0.57</f>
        <v>3.63</v>
      </c>
      <c r="AJ10" s="2">
        <f t="shared" si="3"/>
        <v>7.2236999999999996E-2</v>
      </c>
      <c r="AK10" s="2">
        <f t="shared" si="4"/>
        <v>1.8149999999999999E-2</v>
      </c>
      <c r="AL10" s="2">
        <f t="shared" si="5"/>
        <v>0.33178200000000002</v>
      </c>
      <c r="AN10" s="7" t="s">
        <v>19</v>
      </c>
      <c r="AO10" s="11">
        <v>8.14</v>
      </c>
      <c r="AP10" s="2">
        <f t="shared" si="6"/>
        <v>0.16605600000000004</v>
      </c>
      <c r="AQ10" s="2">
        <f t="shared" si="7"/>
        <v>3.5816000000000001E-2</v>
      </c>
      <c r="AR10" s="2">
        <f t="shared" si="8"/>
        <v>0.73097200000000018</v>
      </c>
      <c r="AU10" s="7" t="s">
        <v>19</v>
      </c>
      <c r="AV10" s="9">
        <f>3.19+0.53</f>
        <v>3.7199999999999998</v>
      </c>
      <c r="AW10" s="2">
        <f t="shared" si="9"/>
        <v>0.10267199999999999</v>
      </c>
      <c r="AX10" s="2">
        <f t="shared" si="10"/>
        <v>2.6039999999999997E-2</v>
      </c>
      <c r="AY10" s="2">
        <f t="shared" si="11"/>
        <v>0.33628799999999992</v>
      </c>
    </row>
    <row r="11" spans="1:52" x14ac:dyDescent="0.3">
      <c r="A11" s="7" t="s">
        <v>20</v>
      </c>
      <c r="B11" s="14">
        <f>3.22+0.28</f>
        <v>3.5</v>
      </c>
      <c r="C11" s="14">
        <v>0.43</v>
      </c>
      <c r="D11" s="14">
        <v>5.73</v>
      </c>
      <c r="E11" s="14">
        <v>1.2</v>
      </c>
      <c r="F11" s="14">
        <f>0.28+4.09</f>
        <v>4.37</v>
      </c>
      <c r="G11" s="7" t="s">
        <v>21</v>
      </c>
      <c r="H11" s="8">
        <f>2.73+0.45</f>
        <v>3.18</v>
      </c>
      <c r="I11" s="8">
        <v>0.66</v>
      </c>
      <c r="J11" s="8">
        <v>0.35</v>
      </c>
      <c r="K11" s="10">
        <v>5.64</v>
      </c>
      <c r="L11" s="8">
        <f>0.45+8.14</f>
        <v>8.59</v>
      </c>
      <c r="M11" s="7" t="s">
        <v>21</v>
      </c>
      <c r="N11" s="15"/>
      <c r="O11" s="9">
        <v>0.47</v>
      </c>
      <c r="P11" s="9">
        <v>0.76</v>
      </c>
      <c r="Q11" s="10">
        <v>5.59</v>
      </c>
      <c r="R11" s="15"/>
      <c r="S11" s="9"/>
      <c r="T11" s="7" t="s">
        <v>21</v>
      </c>
      <c r="U11" s="9">
        <f>3.13+0.64</f>
        <v>3.77</v>
      </c>
      <c r="V11" s="9">
        <v>8.3000000000000004E-2</v>
      </c>
      <c r="W11" s="9">
        <v>0.1</v>
      </c>
      <c r="X11" s="12">
        <v>2.74</v>
      </c>
      <c r="Y11" s="10">
        <f>0.64+10.6</f>
        <v>11.24</v>
      </c>
      <c r="AB11" s="7" t="s">
        <v>21</v>
      </c>
      <c r="AC11" s="8">
        <f>3.32+0.38</f>
        <v>3.6999999999999997</v>
      </c>
      <c r="AD11" s="2">
        <f t="shared" si="0"/>
        <v>1.5910000000000001E-2</v>
      </c>
      <c r="AE11" s="2">
        <f t="shared" si="1"/>
        <v>0.21201</v>
      </c>
      <c r="AF11" s="2">
        <f t="shared" si="2"/>
        <v>4.2000000000000003E-2</v>
      </c>
      <c r="AH11" s="7" t="s">
        <v>21</v>
      </c>
      <c r="AI11" s="8">
        <f>2.73+0.45</f>
        <v>3.18</v>
      </c>
      <c r="AJ11" s="2">
        <f t="shared" si="3"/>
        <v>2.0988000000000003E-2</v>
      </c>
      <c r="AK11" s="2">
        <f t="shared" si="4"/>
        <v>1.1129999999999999E-2</v>
      </c>
      <c r="AL11" s="2">
        <f t="shared" si="5"/>
        <v>0.17935199999999998</v>
      </c>
      <c r="AN11" s="7" t="s">
        <v>21</v>
      </c>
      <c r="AO11" s="11">
        <v>5.13</v>
      </c>
      <c r="AP11" s="2">
        <f t="shared" si="6"/>
        <v>2.4110999999999997E-2</v>
      </c>
      <c r="AQ11" s="2">
        <f t="shared" si="7"/>
        <v>3.8988000000000002E-2</v>
      </c>
      <c r="AR11" s="2">
        <f t="shared" si="8"/>
        <v>0.28676699999999999</v>
      </c>
      <c r="AU11" s="7" t="s">
        <v>21</v>
      </c>
      <c r="AV11" s="9">
        <f>3.13+0.64</f>
        <v>3.77</v>
      </c>
      <c r="AW11" s="2">
        <f t="shared" si="9"/>
        <v>3.1291000000000001E-3</v>
      </c>
      <c r="AX11" s="2">
        <f t="shared" si="10"/>
        <v>3.7699999999999999E-3</v>
      </c>
      <c r="AY11" s="2">
        <f t="shared" si="11"/>
        <v>0.103298</v>
      </c>
    </row>
    <row r="12" spans="1:52" x14ac:dyDescent="0.3">
      <c r="A12" s="7" t="s">
        <v>22</v>
      </c>
      <c r="B12" s="8">
        <f>0.56+0.17</f>
        <v>0.73000000000000009</v>
      </c>
      <c r="C12" s="16"/>
      <c r="D12" s="16"/>
      <c r="E12" s="17"/>
      <c r="F12" s="8">
        <f>0.17+2.77</f>
        <v>2.94</v>
      </c>
      <c r="G12" s="7" t="s">
        <v>22</v>
      </c>
      <c r="H12" s="8">
        <f>0.27+0.24</f>
        <v>0.51</v>
      </c>
      <c r="I12" s="16"/>
      <c r="J12" s="16"/>
      <c r="K12" s="18"/>
      <c r="L12" s="8">
        <f>0.24+14.1</f>
        <v>14.34</v>
      </c>
      <c r="M12" s="7" t="s">
        <v>22</v>
      </c>
      <c r="N12" s="11">
        <f>1.43+0.22</f>
        <v>1.65</v>
      </c>
      <c r="O12" s="9">
        <v>0.56000000000000005</v>
      </c>
      <c r="P12" s="9">
        <v>1.45</v>
      </c>
      <c r="Q12" s="10">
        <v>4.91</v>
      </c>
      <c r="R12" s="10">
        <f>0.22+5.13</f>
        <v>5.35</v>
      </c>
      <c r="S12" s="9"/>
      <c r="T12" s="7" t="s">
        <v>22</v>
      </c>
      <c r="U12" s="17"/>
      <c r="V12" s="17"/>
      <c r="W12" s="17"/>
      <c r="X12" s="17"/>
      <c r="Y12" s="17"/>
      <c r="AB12" s="7" t="s">
        <v>22</v>
      </c>
      <c r="AC12" s="8">
        <f>0.56+0.17</f>
        <v>0.73000000000000009</v>
      </c>
      <c r="AD12" s="16"/>
      <c r="AE12" s="16"/>
      <c r="AF12" s="16"/>
      <c r="AH12" s="7" t="s">
        <v>22</v>
      </c>
      <c r="AI12" s="8">
        <f>0.27+0.24</f>
        <v>0.51</v>
      </c>
      <c r="AJ12" s="16"/>
      <c r="AK12" s="16"/>
      <c r="AL12" s="16"/>
      <c r="AN12" s="7" t="s">
        <v>22</v>
      </c>
      <c r="AO12" s="15"/>
      <c r="AP12" s="15"/>
      <c r="AQ12" s="15"/>
      <c r="AR12" s="15"/>
      <c r="AU12" s="7" t="s">
        <v>22</v>
      </c>
      <c r="AV12" s="9">
        <f>0.17+0.039</f>
        <v>0.20900000000000002</v>
      </c>
      <c r="AW12" s="17"/>
      <c r="AX12" s="17"/>
      <c r="AY12" s="17"/>
    </row>
    <row r="13" spans="1:52" x14ac:dyDescent="0.3">
      <c r="A13" s="7" t="s">
        <v>23</v>
      </c>
      <c r="B13" s="8">
        <f>2.3+0.31</f>
        <v>2.61</v>
      </c>
      <c r="C13" s="8">
        <v>0.35</v>
      </c>
      <c r="D13" s="8">
        <v>2.66</v>
      </c>
      <c r="E13" s="9">
        <v>3.45</v>
      </c>
      <c r="F13" s="8"/>
      <c r="G13" s="7" t="s">
        <v>23</v>
      </c>
      <c r="H13" s="8">
        <f>0.14+0.11</f>
        <v>0.25</v>
      </c>
      <c r="I13" s="16"/>
      <c r="J13" s="16"/>
      <c r="K13" s="18"/>
      <c r="L13" s="8">
        <f>0.11+3.29</f>
        <v>3.4</v>
      </c>
      <c r="M13" s="7" t="s">
        <v>23</v>
      </c>
      <c r="N13" s="15"/>
      <c r="O13" s="9">
        <v>0.61</v>
      </c>
      <c r="P13" s="9">
        <v>1.78</v>
      </c>
      <c r="Q13" s="10">
        <v>2.92</v>
      </c>
      <c r="R13" s="15"/>
      <c r="S13" s="9"/>
      <c r="T13" s="7" t="s">
        <v>23</v>
      </c>
      <c r="U13" s="9">
        <f>0.17+0.039</f>
        <v>0.20900000000000002</v>
      </c>
      <c r="V13" s="17"/>
      <c r="W13" s="17"/>
      <c r="X13" s="19"/>
      <c r="Y13" s="12">
        <f>0.039+1.68</f>
        <v>1.7189999999999999</v>
      </c>
      <c r="AB13" s="7" t="s">
        <v>23</v>
      </c>
      <c r="AC13" s="8">
        <f>2.3+0.31</f>
        <v>2.61</v>
      </c>
      <c r="AD13" s="2">
        <f t="shared" si="0"/>
        <v>9.134999999999999E-3</v>
      </c>
      <c r="AE13" s="2">
        <f t="shared" si="1"/>
        <v>6.9426000000000002E-2</v>
      </c>
      <c r="AF13" s="2">
        <f t="shared" si="2"/>
        <v>9.0045E-2</v>
      </c>
      <c r="AH13" s="7" t="s">
        <v>23</v>
      </c>
      <c r="AI13" s="8">
        <f>0.14+0.11</f>
        <v>0.25</v>
      </c>
      <c r="AJ13" s="16"/>
      <c r="AK13" s="16"/>
      <c r="AL13" s="16"/>
      <c r="AN13" s="7" t="s">
        <v>23</v>
      </c>
      <c r="AO13" s="15"/>
      <c r="AP13" s="15"/>
      <c r="AQ13" s="15"/>
      <c r="AR13" s="15"/>
      <c r="AU13" s="7" t="s">
        <v>23</v>
      </c>
      <c r="AV13" s="17"/>
      <c r="AW13" s="17"/>
      <c r="AX13" s="17"/>
      <c r="AY13" s="17"/>
    </row>
    <row r="14" spans="1:52" x14ac:dyDescent="0.3">
      <c r="A14" s="7" t="s">
        <v>21</v>
      </c>
      <c r="B14" s="8">
        <f>3.32+0.38</f>
        <v>3.6999999999999997</v>
      </c>
      <c r="C14" s="8">
        <v>0.16</v>
      </c>
      <c r="D14" s="8">
        <v>1.89</v>
      </c>
      <c r="E14" s="9">
        <v>3.39</v>
      </c>
      <c r="F14" s="8">
        <f>0.38+7.31</f>
        <v>7.6899999999999995</v>
      </c>
      <c r="G14" s="7" t="s">
        <v>20</v>
      </c>
      <c r="H14" s="8">
        <f>2.47+0.29</f>
        <v>2.7600000000000002</v>
      </c>
      <c r="I14" s="8">
        <v>8.5999999999999993E-2</v>
      </c>
      <c r="J14" s="8">
        <v>0.17</v>
      </c>
      <c r="K14" s="10">
        <v>4.18</v>
      </c>
      <c r="L14" s="8">
        <f>0.29+8.04</f>
        <v>8.3299999999999983</v>
      </c>
      <c r="M14" s="7" t="s">
        <v>20</v>
      </c>
      <c r="N14" s="11">
        <f>4.81+0.49</f>
        <v>5.3</v>
      </c>
      <c r="O14" s="9">
        <v>7.4999999999999997E-2</v>
      </c>
      <c r="P14" s="9">
        <v>0.45</v>
      </c>
      <c r="Q14" s="10">
        <v>1.47</v>
      </c>
      <c r="R14" s="10">
        <f>0.49+8.41</f>
        <v>8.9</v>
      </c>
      <c r="S14" s="9"/>
      <c r="T14" s="7" t="s">
        <v>20</v>
      </c>
      <c r="U14" s="9">
        <f>3.1+0.41</f>
        <v>3.5100000000000002</v>
      </c>
      <c r="V14" s="9">
        <v>0.19</v>
      </c>
      <c r="W14" s="9">
        <v>0.52</v>
      </c>
      <c r="X14" s="12">
        <v>5.32</v>
      </c>
      <c r="Y14" s="10">
        <f>0.41+5.96</f>
        <v>6.37</v>
      </c>
      <c r="AB14" s="7" t="s">
        <v>20</v>
      </c>
      <c r="AC14" s="8">
        <f>3.22+0.28</f>
        <v>3.5</v>
      </c>
      <c r="AD14" s="2">
        <f t="shared" si="0"/>
        <v>5.6000000000000008E-3</v>
      </c>
      <c r="AE14" s="2">
        <f t="shared" si="1"/>
        <v>6.6149999999999987E-2</v>
      </c>
      <c r="AF14" s="2">
        <f t="shared" si="2"/>
        <v>0.12542999999999999</v>
      </c>
      <c r="AH14" s="7" t="s">
        <v>20</v>
      </c>
      <c r="AI14" s="8">
        <f>2.47+0.29</f>
        <v>2.7600000000000002</v>
      </c>
      <c r="AJ14" s="2">
        <f t="shared" ref="AJ14:AJ15" si="12">AI14*I14/100</f>
        <v>2.3736E-3</v>
      </c>
      <c r="AK14" s="2">
        <f t="shared" ref="AK14:AK15" si="13">AI14*J14/100</f>
        <v>4.6920000000000009E-3</v>
      </c>
      <c r="AL14" s="2">
        <f t="shared" ref="AL14:AL15" si="14">AI14*K14/100</f>
        <v>0.115368</v>
      </c>
      <c r="AN14" s="7" t="s">
        <v>20</v>
      </c>
      <c r="AO14" s="11">
        <v>8.41</v>
      </c>
      <c r="AP14" s="2">
        <f t="shared" ref="AP14:AP25" si="15">AO14*O14/100</f>
        <v>6.3075000000000006E-3</v>
      </c>
      <c r="AQ14" s="2">
        <f t="shared" si="7"/>
        <v>3.7844999999999997E-2</v>
      </c>
      <c r="AR14" s="2">
        <f t="shared" si="8"/>
        <v>0.123627</v>
      </c>
      <c r="AU14" s="7" t="s">
        <v>20</v>
      </c>
      <c r="AV14" s="9">
        <f>3.1+0.41</f>
        <v>3.5100000000000002</v>
      </c>
      <c r="AW14" s="2">
        <f t="shared" ref="AW14:AW25" si="16">AV14*V14/100</f>
        <v>6.6690000000000004E-3</v>
      </c>
      <c r="AX14" s="2">
        <f t="shared" ref="AX14:AX25" si="17">AV14*W14/100</f>
        <v>1.8252000000000001E-2</v>
      </c>
      <c r="AY14" s="2">
        <f t="shared" ref="AY14:AY25" si="18">AV14*X14/100</f>
        <v>0.18673200000000001</v>
      </c>
    </row>
    <row r="15" spans="1:52" ht="27.6" x14ac:dyDescent="0.3">
      <c r="A15" s="7" t="s">
        <v>24</v>
      </c>
      <c r="B15" s="8">
        <f>6.98+3.41</f>
        <v>10.39</v>
      </c>
      <c r="C15" s="8">
        <v>3.88</v>
      </c>
      <c r="D15" s="8">
        <v>2.39</v>
      </c>
      <c r="E15" s="9">
        <v>6.63</v>
      </c>
      <c r="F15" s="8">
        <f>3.41+14.4</f>
        <v>17.810000000000002</v>
      </c>
      <c r="G15" s="7" t="s">
        <v>24</v>
      </c>
      <c r="H15" s="8">
        <f>7.24+3.12</f>
        <v>10.36</v>
      </c>
      <c r="I15" s="8">
        <v>0.91</v>
      </c>
      <c r="J15" s="8">
        <v>0.61</v>
      </c>
      <c r="K15" s="10">
        <v>7.83</v>
      </c>
      <c r="L15" s="8">
        <f>3.12+15.7</f>
        <v>18.82</v>
      </c>
      <c r="M15" s="7" t="s">
        <v>24</v>
      </c>
      <c r="N15" s="11">
        <f>7.93+2.94</f>
        <v>10.87</v>
      </c>
      <c r="O15" s="9">
        <v>1</v>
      </c>
      <c r="P15" s="9">
        <v>0.67</v>
      </c>
      <c r="Q15" s="10">
        <v>6.09</v>
      </c>
      <c r="R15" s="10">
        <f>2.94+15.1</f>
        <v>18.04</v>
      </c>
      <c r="S15" s="9"/>
      <c r="T15" s="7" t="s">
        <v>24</v>
      </c>
      <c r="U15" s="9">
        <f>5.16+1.65</f>
        <v>6.8100000000000005</v>
      </c>
      <c r="V15" s="9">
        <v>0.87</v>
      </c>
      <c r="W15" s="9">
        <v>0.62</v>
      </c>
      <c r="X15" s="12">
        <v>6.39</v>
      </c>
      <c r="Y15" s="10">
        <f>1.65+12.2</f>
        <v>13.85</v>
      </c>
      <c r="AB15" s="7" t="s">
        <v>24</v>
      </c>
      <c r="AC15" s="8">
        <f>6.98+3.41</f>
        <v>10.39</v>
      </c>
      <c r="AD15" s="2">
        <f t="shared" si="0"/>
        <v>0.40313200000000005</v>
      </c>
      <c r="AE15" s="2">
        <f t="shared" si="1"/>
        <v>0.24832100000000004</v>
      </c>
      <c r="AF15" s="2">
        <f t="shared" si="2"/>
        <v>0.68885700000000005</v>
      </c>
      <c r="AH15" s="7" t="s">
        <v>24</v>
      </c>
      <c r="AI15" s="8">
        <f>7.24+3.12</f>
        <v>10.36</v>
      </c>
      <c r="AJ15" s="2">
        <f t="shared" si="12"/>
        <v>9.4275999999999999E-2</v>
      </c>
      <c r="AK15" s="2">
        <f t="shared" si="13"/>
        <v>6.3195999999999988E-2</v>
      </c>
      <c r="AL15" s="2">
        <f t="shared" si="14"/>
        <v>0.81118799999999991</v>
      </c>
      <c r="AN15" s="7" t="s">
        <v>24</v>
      </c>
      <c r="AO15" s="11">
        <f>7.93+2.94</f>
        <v>10.87</v>
      </c>
      <c r="AP15" s="2">
        <f t="shared" si="15"/>
        <v>0.10869999999999999</v>
      </c>
      <c r="AQ15" s="2">
        <f t="shared" si="7"/>
        <v>7.2828999999999991E-2</v>
      </c>
      <c r="AR15" s="2">
        <f t="shared" si="8"/>
        <v>0.66198299999999988</v>
      </c>
      <c r="AU15" s="7" t="s">
        <v>24</v>
      </c>
      <c r="AV15" s="9">
        <f>5.16+1.65</f>
        <v>6.8100000000000005</v>
      </c>
      <c r="AW15" s="2">
        <f t="shared" si="16"/>
        <v>5.9247000000000008E-2</v>
      </c>
      <c r="AX15" s="2">
        <f t="shared" si="17"/>
        <v>4.2222000000000003E-2</v>
      </c>
      <c r="AY15" s="2">
        <f t="shared" si="18"/>
        <v>0.43515900000000002</v>
      </c>
    </row>
    <row r="16" spans="1:52" ht="27.6" x14ac:dyDescent="0.3">
      <c r="A16" s="7" t="s">
        <v>25</v>
      </c>
      <c r="B16" s="8">
        <f>7.42+4.38</f>
        <v>11.8</v>
      </c>
      <c r="C16" s="8">
        <v>1.29</v>
      </c>
      <c r="D16" s="8">
        <v>0.57999999999999996</v>
      </c>
      <c r="E16" s="62"/>
      <c r="F16" s="60"/>
      <c r="G16" s="7" t="s">
        <v>25</v>
      </c>
      <c r="H16" s="16"/>
      <c r="I16" s="16"/>
      <c r="J16" s="16"/>
      <c r="K16" s="18"/>
      <c r="L16" s="18"/>
      <c r="M16" s="7" t="s">
        <v>25</v>
      </c>
      <c r="N16" s="11">
        <f>5.77+2.13</f>
        <v>7.8999999999999995</v>
      </c>
      <c r="O16" s="9">
        <v>0.95</v>
      </c>
      <c r="P16" s="9">
        <v>0.56999999999999995</v>
      </c>
      <c r="Q16" s="10">
        <v>9.07</v>
      </c>
      <c r="R16" s="10">
        <f>2.13+12.6</f>
        <v>14.73</v>
      </c>
      <c r="S16" s="9"/>
      <c r="T16" s="7" t="s">
        <v>25</v>
      </c>
      <c r="U16" s="9">
        <f>3.39+1.89</f>
        <v>5.28</v>
      </c>
      <c r="V16" s="9">
        <v>0.93</v>
      </c>
      <c r="W16" s="9">
        <v>0.57999999999999996</v>
      </c>
      <c r="X16" s="12">
        <v>15.5</v>
      </c>
      <c r="Y16" s="10">
        <f>1.89+16</f>
        <v>17.89</v>
      </c>
      <c r="AB16" s="7" t="s">
        <v>25</v>
      </c>
      <c r="AC16" s="8">
        <f>7.42+4.38</f>
        <v>11.8</v>
      </c>
      <c r="AD16" s="2">
        <f t="shared" si="0"/>
        <v>0.15222000000000002</v>
      </c>
      <c r="AE16" s="2">
        <f t="shared" si="1"/>
        <v>6.8440000000000001E-2</v>
      </c>
      <c r="AF16" s="83"/>
      <c r="AH16" s="7" t="s">
        <v>25</v>
      </c>
      <c r="AI16" s="16"/>
      <c r="AJ16" s="16"/>
      <c r="AK16" s="16"/>
      <c r="AL16" s="16"/>
      <c r="AN16" s="7" t="s">
        <v>25</v>
      </c>
      <c r="AO16" s="11">
        <f>5.77+2.13</f>
        <v>7.8999999999999995</v>
      </c>
      <c r="AP16" s="2">
        <f t="shared" si="15"/>
        <v>7.5049999999999992E-2</v>
      </c>
      <c r="AQ16" s="2">
        <f t="shared" si="7"/>
        <v>4.5029999999999994E-2</v>
      </c>
      <c r="AR16" s="2">
        <f t="shared" si="8"/>
        <v>0.71652999999999989</v>
      </c>
      <c r="AU16" s="7" t="s">
        <v>25</v>
      </c>
      <c r="AV16" s="9">
        <f>3.39+1.89</f>
        <v>5.28</v>
      </c>
      <c r="AW16" s="2">
        <f t="shared" si="16"/>
        <v>4.9104000000000002E-2</v>
      </c>
      <c r="AX16" s="2">
        <f t="shared" si="17"/>
        <v>3.0623999999999998E-2</v>
      </c>
      <c r="AY16" s="2">
        <f t="shared" si="18"/>
        <v>0.81840000000000002</v>
      </c>
    </row>
    <row r="17" spans="1:51" ht="27.6" x14ac:dyDescent="0.3">
      <c r="A17" s="7" t="s">
        <v>26</v>
      </c>
      <c r="B17" s="8">
        <f>4.83+1.32</f>
        <v>6.15</v>
      </c>
      <c r="C17" s="8">
        <v>1.65</v>
      </c>
      <c r="D17" s="8">
        <v>1.83</v>
      </c>
      <c r="E17" s="9">
        <v>5.32</v>
      </c>
      <c r="F17" s="8">
        <f>1.32+8.78</f>
        <v>10.1</v>
      </c>
      <c r="G17" s="7" t="s">
        <v>26</v>
      </c>
      <c r="H17" s="8">
        <f>6.48+3.14</f>
        <v>9.620000000000001</v>
      </c>
      <c r="I17" s="8">
        <v>0.81</v>
      </c>
      <c r="J17" s="8">
        <v>0.44</v>
      </c>
      <c r="K17" s="10">
        <v>12.1</v>
      </c>
      <c r="L17" s="8">
        <f>3.14+17.1</f>
        <v>20.240000000000002</v>
      </c>
      <c r="M17" s="7" t="s">
        <v>26</v>
      </c>
      <c r="N17" s="11">
        <f>6.68+2.81</f>
        <v>9.49</v>
      </c>
      <c r="O17" s="9">
        <v>0.73</v>
      </c>
      <c r="P17" s="9">
        <v>0.38</v>
      </c>
      <c r="Q17" s="10">
        <v>10.6</v>
      </c>
      <c r="R17" s="10">
        <f>2.81+15.3</f>
        <v>18.11</v>
      </c>
      <c r="S17" s="9"/>
      <c r="T17" s="7" t="s">
        <v>26</v>
      </c>
      <c r="U17" s="9">
        <f>6.32+2.54</f>
        <v>8.86</v>
      </c>
      <c r="V17" s="9">
        <v>0.41</v>
      </c>
      <c r="W17" s="9">
        <v>0.25</v>
      </c>
      <c r="X17" s="12">
        <v>12.6</v>
      </c>
      <c r="Y17" s="10">
        <f>2.54+17.8</f>
        <v>20.34</v>
      </c>
      <c r="AB17" s="7" t="s">
        <v>26</v>
      </c>
      <c r="AC17" s="8">
        <f>4.83+1.32</f>
        <v>6.15</v>
      </c>
      <c r="AD17" s="2">
        <f t="shared" si="0"/>
        <v>0.10147500000000001</v>
      </c>
      <c r="AE17" s="2">
        <f t="shared" si="1"/>
        <v>0.11254500000000002</v>
      </c>
      <c r="AF17" s="2">
        <f t="shared" si="2"/>
        <v>0.32718000000000003</v>
      </c>
      <c r="AH17" s="7" t="s">
        <v>26</v>
      </c>
      <c r="AI17" s="8">
        <f>6.48+3.14</f>
        <v>9.620000000000001</v>
      </c>
      <c r="AJ17" s="2">
        <f t="shared" ref="AJ17:AJ25" si="19">AI17*I17/100</f>
        <v>7.7922000000000005E-2</v>
      </c>
      <c r="AK17" s="2">
        <f t="shared" ref="AK17:AK25" si="20">AI17*J17/100</f>
        <v>4.2328000000000005E-2</v>
      </c>
      <c r="AL17" s="2">
        <f t="shared" ref="AL17:AL25" si="21">AI17*K17/100</f>
        <v>1.1640200000000001</v>
      </c>
      <c r="AN17" s="7" t="s">
        <v>26</v>
      </c>
      <c r="AO17" s="11">
        <f>6.68+2.81</f>
        <v>9.49</v>
      </c>
      <c r="AP17" s="2">
        <f t="shared" si="15"/>
        <v>6.9276999999999991E-2</v>
      </c>
      <c r="AQ17" s="2">
        <f t="shared" si="7"/>
        <v>3.6062000000000004E-2</v>
      </c>
      <c r="AR17" s="2">
        <f t="shared" si="8"/>
        <v>1.0059399999999998</v>
      </c>
      <c r="AU17" s="7" t="s">
        <v>26</v>
      </c>
      <c r="AV17" s="9">
        <f>6.32+2.54</f>
        <v>8.86</v>
      </c>
      <c r="AW17" s="2">
        <f t="shared" si="16"/>
        <v>3.6325999999999997E-2</v>
      </c>
      <c r="AX17" s="2">
        <f t="shared" si="17"/>
        <v>2.215E-2</v>
      </c>
      <c r="AY17" s="2">
        <f t="shared" si="18"/>
        <v>1.11636</v>
      </c>
    </row>
    <row r="18" spans="1:51" ht="27.6" x14ac:dyDescent="0.3">
      <c r="A18" s="7" t="s">
        <v>27</v>
      </c>
      <c r="B18" s="8">
        <f>0.57+0.64</f>
        <v>1.21</v>
      </c>
      <c r="C18" s="8">
        <v>4.1399999999999997</v>
      </c>
      <c r="D18" s="8">
        <v>6.27</v>
      </c>
      <c r="E18" s="9">
        <v>7.57</v>
      </c>
      <c r="F18" s="8">
        <f>4.14+6.27</f>
        <v>10.41</v>
      </c>
      <c r="G18" s="7" t="s">
        <v>27</v>
      </c>
      <c r="H18" s="8">
        <f>7.1+2.48</f>
        <v>9.58</v>
      </c>
      <c r="I18" s="8">
        <v>0.45</v>
      </c>
      <c r="J18" s="8">
        <v>0.4</v>
      </c>
      <c r="K18" s="10">
        <v>7.41</v>
      </c>
      <c r="L18" s="8">
        <f>2.48+14.1</f>
        <v>16.579999999999998</v>
      </c>
      <c r="M18" s="7" t="s">
        <v>27</v>
      </c>
      <c r="N18" s="11">
        <f>5.29+1.16</f>
        <v>6.45</v>
      </c>
      <c r="O18" s="9">
        <v>0.48</v>
      </c>
      <c r="P18" s="9">
        <v>0.26</v>
      </c>
      <c r="Q18" s="10">
        <v>3.57</v>
      </c>
      <c r="R18" s="10">
        <f>1.16+9.95</f>
        <v>11.11</v>
      </c>
      <c r="S18" s="9"/>
      <c r="T18" s="7" t="s">
        <v>27</v>
      </c>
      <c r="U18" s="9">
        <f>3.09+1.27</f>
        <v>4.3599999999999994</v>
      </c>
      <c r="V18" s="9">
        <v>0.71</v>
      </c>
      <c r="W18" s="9">
        <v>0.44</v>
      </c>
      <c r="X18" s="12">
        <v>14.8</v>
      </c>
      <c r="Y18" s="10">
        <f>1.27+8.82</f>
        <v>10.09</v>
      </c>
      <c r="AB18" s="7" t="s">
        <v>27</v>
      </c>
      <c r="AC18" s="8">
        <f>0.57+0.64</f>
        <v>1.21</v>
      </c>
      <c r="AD18" s="2">
        <f t="shared" si="0"/>
        <v>5.0093999999999993E-2</v>
      </c>
      <c r="AE18" s="2">
        <f t="shared" si="1"/>
        <v>7.586699999999999E-2</v>
      </c>
      <c r="AF18" s="2">
        <f t="shared" si="2"/>
        <v>9.1597000000000012E-2</v>
      </c>
      <c r="AH18" s="7" t="s">
        <v>27</v>
      </c>
      <c r="AI18" s="8">
        <f>7.1+2.48</f>
        <v>9.58</v>
      </c>
      <c r="AJ18" s="2">
        <f t="shared" si="19"/>
        <v>4.3110000000000002E-2</v>
      </c>
      <c r="AK18" s="2">
        <f t="shared" si="20"/>
        <v>3.832E-2</v>
      </c>
      <c r="AL18" s="2">
        <f t="shared" si="21"/>
        <v>0.70987800000000012</v>
      </c>
      <c r="AN18" s="7" t="s">
        <v>27</v>
      </c>
      <c r="AO18" s="11">
        <f>5.29+1.16</f>
        <v>6.45</v>
      </c>
      <c r="AP18" s="2">
        <f t="shared" si="15"/>
        <v>3.0960000000000001E-2</v>
      </c>
      <c r="AQ18" s="2">
        <f t="shared" si="7"/>
        <v>1.677E-2</v>
      </c>
      <c r="AR18" s="2">
        <f t="shared" si="8"/>
        <v>0.230265</v>
      </c>
      <c r="AU18" s="7" t="s">
        <v>27</v>
      </c>
      <c r="AV18" s="9">
        <f>3.09+1.27</f>
        <v>4.3599999999999994</v>
      </c>
      <c r="AW18" s="2">
        <f t="shared" si="16"/>
        <v>3.0955999999999994E-2</v>
      </c>
      <c r="AX18" s="2">
        <f t="shared" si="17"/>
        <v>1.9183999999999996E-2</v>
      </c>
      <c r="AY18" s="2">
        <f t="shared" si="18"/>
        <v>0.64527999999999996</v>
      </c>
    </row>
    <row r="19" spans="1:51" ht="27.6" x14ac:dyDescent="0.3">
      <c r="A19" s="7" t="s">
        <v>28</v>
      </c>
      <c r="B19" s="8">
        <f>5.12+2.91</f>
        <v>8.0300000000000011</v>
      </c>
      <c r="C19" s="8">
        <v>6.75</v>
      </c>
      <c r="D19" s="8">
        <v>7.45</v>
      </c>
      <c r="E19" s="9">
        <v>4.0199999999999996</v>
      </c>
      <c r="F19" s="8">
        <f>2.91+8.96</f>
        <v>11.870000000000001</v>
      </c>
      <c r="G19" s="7" t="s">
        <v>28</v>
      </c>
      <c r="H19" s="8">
        <f>0.45+0.27</f>
        <v>0.72</v>
      </c>
      <c r="I19" s="8">
        <v>4.3099999999999996</v>
      </c>
      <c r="J19" s="8">
        <v>2.38</v>
      </c>
      <c r="K19" s="10">
        <v>11</v>
      </c>
      <c r="L19" s="8">
        <f>0.27+5.4</f>
        <v>5.67</v>
      </c>
      <c r="M19" s="7" t="s">
        <v>28</v>
      </c>
      <c r="N19" s="11">
        <f>5.19+1.77</f>
        <v>6.9600000000000009</v>
      </c>
      <c r="O19" s="9">
        <v>0.87</v>
      </c>
      <c r="P19" s="9">
        <v>0.76</v>
      </c>
      <c r="Q19" s="10">
        <v>4.46</v>
      </c>
      <c r="R19" s="10">
        <f>1.77+11.6</f>
        <v>13.37</v>
      </c>
      <c r="S19" s="9"/>
      <c r="T19" s="7" t="s">
        <v>28</v>
      </c>
      <c r="U19" s="9">
        <f>5.47+2.03</f>
        <v>7.5</v>
      </c>
      <c r="V19" s="9">
        <v>1.21</v>
      </c>
      <c r="W19" s="9">
        <v>0.88</v>
      </c>
      <c r="X19" s="12">
        <v>5.45</v>
      </c>
      <c r="Y19" s="10">
        <f>2.03+13</f>
        <v>15.03</v>
      </c>
      <c r="AB19" s="7" t="s">
        <v>28</v>
      </c>
      <c r="AC19" s="8">
        <f>5.12+2.91</f>
        <v>8.0300000000000011</v>
      </c>
      <c r="AD19" s="2">
        <f t="shared" si="0"/>
        <v>0.54202500000000009</v>
      </c>
      <c r="AE19" s="2">
        <f t="shared" si="1"/>
        <v>0.59823500000000007</v>
      </c>
      <c r="AF19" s="2">
        <f t="shared" si="2"/>
        <v>0.32280599999999998</v>
      </c>
      <c r="AH19" s="7" t="s">
        <v>28</v>
      </c>
      <c r="AI19" s="8">
        <f>0.45+0.27</f>
        <v>0.72</v>
      </c>
      <c r="AJ19" s="2">
        <f t="shared" si="19"/>
        <v>3.1031999999999997E-2</v>
      </c>
      <c r="AK19" s="2">
        <f t="shared" si="20"/>
        <v>1.7135999999999998E-2</v>
      </c>
      <c r="AL19" s="2">
        <f t="shared" si="21"/>
        <v>7.9199999999999993E-2</v>
      </c>
      <c r="AN19" s="7" t="s">
        <v>28</v>
      </c>
      <c r="AO19" s="11">
        <f>5.19+1.77</f>
        <v>6.9600000000000009</v>
      </c>
      <c r="AP19" s="2">
        <f t="shared" si="15"/>
        <v>6.0552000000000009E-2</v>
      </c>
      <c r="AQ19" s="2">
        <f t="shared" si="7"/>
        <v>5.2896000000000012E-2</v>
      </c>
      <c r="AR19" s="2">
        <f t="shared" si="8"/>
        <v>0.31041600000000003</v>
      </c>
      <c r="AU19" s="7" t="s">
        <v>28</v>
      </c>
      <c r="AV19" s="9">
        <f>5.47+2.03</f>
        <v>7.5</v>
      </c>
      <c r="AW19" s="2">
        <f t="shared" si="16"/>
        <v>9.0749999999999997E-2</v>
      </c>
      <c r="AX19" s="2">
        <f t="shared" si="17"/>
        <v>6.6000000000000003E-2</v>
      </c>
      <c r="AY19" s="2">
        <f t="shared" si="18"/>
        <v>0.40875</v>
      </c>
    </row>
    <row r="20" spans="1:51" ht="27.6" x14ac:dyDescent="0.3">
      <c r="A20" s="7" t="s">
        <v>29</v>
      </c>
      <c r="B20" s="8">
        <f>6.23+6.61</f>
        <v>12.84</v>
      </c>
      <c r="C20" s="8">
        <v>5.81</v>
      </c>
      <c r="D20" s="8">
        <v>7.33</v>
      </c>
      <c r="E20" s="62"/>
      <c r="F20" s="60"/>
      <c r="G20" s="7" t="s">
        <v>29</v>
      </c>
      <c r="H20" s="8">
        <f>7.42+5.38</f>
        <v>12.8</v>
      </c>
      <c r="I20" s="8">
        <v>0.55000000000000004</v>
      </c>
      <c r="J20" s="8">
        <v>0.13</v>
      </c>
      <c r="K20" s="65"/>
      <c r="L20" s="8">
        <f>5.38+22</f>
        <v>27.38</v>
      </c>
      <c r="M20" s="7" t="s">
        <v>29</v>
      </c>
      <c r="N20" s="11">
        <f>7.18+2.82</f>
        <v>10</v>
      </c>
      <c r="O20" s="9">
        <v>0.73</v>
      </c>
      <c r="P20" s="9">
        <v>0.66</v>
      </c>
      <c r="Q20" s="10">
        <v>5.2</v>
      </c>
      <c r="R20" s="10">
        <f>2.82+13.2</f>
        <v>16.02</v>
      </c>
      <c r="S20" s="9"/>
      <c r="T20" s="7" t="s">
        <v>29</v>
      </c>
      <c r="U20" s="9">
        <f>2.81+1.81</f>
        <v>4.62</v>
      </c>
      <c r="V20" s="9">
        <v>0.74</v>
      </c>
      <c r="W20" s="9">
        <v>0.69</v>
      </c>
      <c r="X20" s="12">
        <v>14.4</v>
      </c>
      <c r="Y20" s="10">
        <f>1.81+15.7</f>
        <v>17.509999999999998</v>
      </c>
      <c r="AB20" s="7" t="s">
        <v>29</v>
      </c>
      <c r="AC20" s="8">
        <f>6.23+6.61</f>
        <v>12.84</v>
      </c>
      <c r="AD20" s="2">
        <f t="shared" si="0"/>
        <v>0.74600399999999989</v>
      </c>
      <c r="AE20" s="2">
        <f t="shared" si="1"/>
        <v>0.94117200000000001</v>
      </c>
      <c r="AF20" s="83"/>
      <c r="AH20" s="7" t="s">
        <v>29</v>
      </c>
      <c r="AI20" s="8">
        <f>7.42+5.38</f>
        <v>12.8</v>
      </c>
      <c r="AJ20" s="2">
        <f t="shared" si="19"/>
        <v>7.0400000000000004E-2</v>
      </c>
      <c r="AK20" s="2">
        <f t="shared" si="20"/>
        <v>1.6640000000000002E-2</v>
      </c>
      <c r="AL20" s="83"/>
      <c r="AN20" s="7" t="s">
        <v>29</v>
      </c>
      <c r="AO20" s="11">
        <f>7.18+2.82</f>
        <v>10</v>
      </c>
      <c r="AP20" s="2">
        <f t="shared" si="15"/>
        <v>7.2999999999999995E-2</v>
      </c>
      <c r="AQ20" s="2">
        <f t="shared" si="7"/>
        <v>6.6000000000000003E-2</v>
      </c>
      <c r="AR20" s="2">
        <f t="shared" si="8"/>
        <v>0.52</v>
      </c>
      <c r="AU20" s="7" t="s">
        <v>29</v>
      </c>
      <c r="AV20" s="9">
        <f>2.81+1.81</f>
        <v>4.62</v>
      </c>
      <c r="AW20" s="2">
        <f t="shared" si="16"/>
        <v>3.4188000000000003E-2</v>
      </c>
      <c r="AX20" s="2">
        <f t="shared" si="17"/>
        <v>3.1877999999999997E-2</v>
      </c>
      <c r="AY20" s="2">
        <f t="shared" si="18"/>
        <v>0.66528000000000009</v>
      </c>
    </row>
    <row r="21" spans="1:51" ht="27.6" x14ac:dyDescent="0.3">
      <c r="A21" s="7" t="s">
        <v>30</v>
      </c>
      <c r="B21" s="8">
        <f>5.35+1.09</f>
        <v>6.4399999999999995</v>
      </c>
      <c r="C21" s="8">
        <v>1.1200000000000001</v>
      </c>
      <c r="D21" s="8">
        <v>0.98</v>
      </c>
      <c r="E21" s="9">
        <v>3.54</v>
      </c>
      <c r="F21" s="8">
        <f>1.09+5.25</f>
        <v>6.34</v>
      </c>
      <c r="G21" s="7" t="s">
        <v>30</v>
      </c>
      <c r="H21" s="8">
        <f>3.26+2.29</f>
        <v>5.55</v>
      </c>
      <c r="I21" s="8">
        <v>1.56</v>
      </c>
      <c r="J21" s="8">
        <v>0.81</v>
      </c>
      <c r="K21" s="10">
        <v>16.3</v>
      </c>
      <c r="L21" s="8">
        <f>2.29+22.2</f>
        <v>24.49</v>
      </c>
      <c r="M21" s="7" t="s">
        <v>30</v>
      </c>
      <c r="N21" s="11">
        <f>6.07+2.75</f>
        <v>8.82</v>
      </c>
      <c r="O21" s="9">
        <v>1.24</v>
      </c>
      <c r="P21" s="9">
        <v>0.93</v>
      </c>
      <c r="Q21" s="10">
        <v>6.43</v>
      </c>
      <c r="R21" s="10">
        <f>2.75+13.7</f>
        <v>16.45</v>
      </c>
      <c r="S21" s="9"/>
      <c r="T21" s="7" t="s">
        <v>30</v>
      </c>
      <c r="U21" s="9">
        <f>3.98+2.22</f>
        <v>6.2</v>
      </c>
      <c r="V21" s="9">
        <v>1.96</v>
      </c>
      <c r="W21" s="9">
        <v>1.18</v>
      </c>
      <c r="X21" s="12">
        <v>8.1199999999999992</v>
      </c>
      <c r="Y21" s="10">
        <f>2.22+14.8</f>
        <v>17.02</v>
      </c>
      <c r="AB21" s="7" t="s">
        <v>30</v>
      </c>
      <c r="AC21" s="8">
        <f>5.35+1.09</f>
        <v>6.4399999999999995</v>
      </c>
      <c r="AD21" s="2">
        <f t="shared" si="0"/>
        <v>7.2128000000000012E-2</v>
      </c>
      <c r="AE21" s="2">
        <f t="shared" si="1"/>
        <v>6.3112000000000001E-2</v>
      </c>
      <c r="AF21" s="2">
        <f t="shared" si="2"/>
        <v>0.22797599999999998</v>
      </c>
      <c r="AH21" s="7" t="s">
        <v>30</v>
      </c>
      <c r="AI21" s="8">
        <f>3.26+2.29</f>
        <v>5.55</v>
      </c>
      <c r="AJ21" s="2">
        <f t="shared" si="19"/>
        <v>8.657999999999999E-2</v>
      </c>
      <c r="AK21" s="2">
        <f t="shared" si="20"/>
        <v>4.4954999999999995E-2</v>
      </c>
      <c r="AL21" s="2">
        <f t="shared" si="21"/>
        <v>0.90465000000000007</v>
      </c>
      <c r="AN21" s="7" t="s">
        <v>30</v>
      </c>
      <c r="AO21" s="11">
        <f>6.07+2.75</f>
        <v>8.82</v>
      </c>
      <c r="AP21" s="2">
        <f t="shared" si="15"/>
        <v>0.10936799999999999</v>
      </c>
      <c r="AQ21" s="2">
        <f t="shared" si="7"/>
        <v>8.2026000000000002E-2</v>
      </c>
      <c r="AR21" s="2">
        <f t="shared" si="8"/>
        <v>0.56712600000000002</v>
      </c>
      <c r="AU21" s="7" t="s">
        <v>30</v>
      </c>
      <c r="AV21" s="9">
        <f>3.98+2.22</f>
        <v>6.2</v>
      </c>
      <c r="AW21" s="2">
        <f t="shared" si="16"/>
        <v>0.12151999999999999</v>
      </c>
      <c r="AX21" s="2">
        <f t="shared" si="17"/>
        <v>7.3160000000000003E-2</v>
      </c>
      <c r="AY21" s="2">
        <f t="shared" si="18"/>
        <v>0.50343999999999989</v>
      </c>
    </row>
    <row r="22" spans="1:51" ht="27.6" x14ac:dyDescent="0.3">
      <c r="A22" s="7" t="s">
        <v>31</v>
      </c>
      <c r="B22" s="8">
        <f>5.64+3.22</f>
        <v>8.86</v>
      </c>
      <c r="C22" s="8">
        <v>3.7</v>
      </c>
      <c r="D22" s="8">
        <v>3.6</v>
      </c>
      <c r="E22" s="9">
        <v>6.33</v>
      </c>
      <c r="F22" s="8">
        <f>3.22+12.3</f>
        <v>15.520000000000001</v>
      </c>
      <c r="G22" s="7" t="s">
        <v>31</v>
      </c>
      <c r="H22" s="8">
        <f>5.3+3.01</f>
        <v>8.3099999999999987</v>
      </c>
      <c r="I22" s="8">
        <v>1.58</v>
      </c>
      <c r="J22" s="8">
        <v>0.91</v>
      </c>
      <c r="K22" s="10">
        <v>11.1</v>
      </c>
      <c r="L22" s="8">
        <f>3.01+17.9</f>
        <v>20.909999999999997</v>
      </c>
      <c r="M22" s="7" t="s">
        <v>31</v>
      </c>
      <c r="N22" s="11">
        <f>6.48+3.34</f>
        <v>9.82</v>
      </c>
      <c r="O22" s="9">
        <v>0.76</v>
      </c>
      <c r="P22" s="9">
        <v>0.61</v>
      </c>
      <c r="Q22" s="10">
        <v>10.7</v>
      </c>
      <c r="R22" s="65"/>
      <c r="S22" s="9"/>
      <c r="T22" s="7" t="s">
        <v>31</v>
      </c>
      <c r="U22" s="9">
        <f>5.63+3.57</f>
        <v>9.1999999999999993</v>
      </c>
      <c r="V22" s="9">
        <v>0.97</v>
      </c>
      <c r="W22" s="9">
        <v>0.63</v>
      </c>
      <c r="X22" s="12">
        <v>14</v>
      </c>
      <c r="Y22" s="10">
        <f>3.57+19.9</f>
        <v>23.47</v>
      </c>
      <c r="AB22" s="7" t="s">
        <v>31</v>
      </c>
      <c r="AC22" s="8">
        <f>5.64+3.22</f>
        <v>8.86</v>
      </c>
      <c r="AD22" s="2">
        <f t="shared" si="0"/>
        <v>0.32781999999999994</v>
      </c>
      <c r="AE22" s="2">
        <f t="shared" si="1"/>
        <v>0.31895999999999997</v>
      </c>
      <c r="AF22" s="2">
        <f t="shared" si="2"/>
        <v>0.56083799999999995</v>
      </c>
      <c r="AH22" s="7" t="s">
        <v>31</v>
      </c>
      <c r="AI22" s="8">
        <f>5.3+3.01</f>
        <v>8.3099999999999987</v>
      </c>
      <c r="AJ22" s="2">
        <f t="shared" si="19"/>
        <v>0.13129799999999997</v>
      </c>
      <c r="AK22" s="2">
        <f t="shared" si="20"/>
        <v>7.5620999999999994E-2</v>
      </c>
      <c r="AL22" s="2">
        <f t="shared" si="21"/>
        <v>0.92240999999999984</v>
      </c>
      <c r="AN22" s="7" t="s">
        <v>31</v>
      </c>
      <c r="AO22" s="11">
        <f>6.48+3.34</f>
        <v>9.82</v>
      </c>
      <c r="AP22" s="2">
        <f t="shared" si="15"/>
        <v>7.4632000000000004E-2</v>
      </c>
      <c r="AQ22" s="2">
        <f t="shared" si="7"/>
        <v>5.9901999999999997E-2</v>
      </c>
      <c r="AR22" s="2">
        <f t="shared" si="8"/>
        <v>1.05074</v>
      </c>
      <c r="AU22" s="7" t="s">
        <v>31</v>
      </c>
      <c r="AV22" s="9">
        <f>5.63+3.57</f>
        <v>9.1999999999999993</v>
      </c>
      <c r="AW22" s="2">
        <f t="shared" si="16"/>
        <v>8.924E-2</v>
      </c>
      <c r="AX22" s="2">
        <f t="shared" si="17"/>
        <v>5.7959999999999991E-2</v>
      </c>
      <c r="AY22" s="2">
        <f t="shared" si="18"/>
        <v>1.2879999999999998</v>
      </c>
    </row>
    <row r="23" spans="1:51" x14ac:dyDescent="0.3">
      <c r="A23" s="7" t="s">
        <v>32</v>
      </c>
      <c r="B23" s="8">
        <f>2.98+0.57</f>
        <v>3.55</v>
      </c>
      <c r="C23" s="8">
        <v>4.05</v>
      </c>
      <c r="D23" s="8">
        <v>8.9</v>
      </c>
      <c r="E23" s="9">
        <v>5.17</v>
      </c>
      <c r="F23" s="8">
        <f>0.57+5.59</f>
        <v>6.16</v>
      </c>
      <c r="G23" s="7" t="s">
        <v>32</v>
      </c>
      <c r="H23" s="8">
        <f>3.97+0.5</f>
        <v>4.4700000000000006</v>
      </c>
      <c r="I23" s="8">
        <v>0.5</v>
      </c>
      <c r="J23" s="8">
        <v>1.47</v>
      </c>
      <c r="K23" s="10">
        <v>2.5499999999999998</v>
      </c>
      <c r="L23" s="8">
        <f>0.5+8.01</f>
        <v>8.51</v>
      </c>
      <c r="M23" s="7" t="s">
        <v>32</v>
      </c>
      <c r="N23" s="11">
        <f>3.92+0.34</f>
        <v>4.26</v>
      </c>
      <c r="O23" s="9">
        <v>0.38</v>
      </c>
      <c r="P23" s="9">
        <v>1.98</v>
      </c>
      <c r="Q23" s="10">
        <v>1.04</v>
      </c>
      <c r="R23" s="10">
        <f>0.34+5.73</f>
        <v>6.07</v>
      </c>
      <c r="S23" s="9"/>
      <c r="T23" s="7" t="s">
        <v>32</v>
      </c>
      <c r="U23" s="9">
        <f>2.86+0.28</f>
        <v>3.1399999999999997</v>
      </c>
      <c r="V23" s="9">
        <v>0.56000000000000005</v>
      </c>
      <c r="W23" s="9">
        <v>1.52</v>
      </c>
      <c r="X23" s="12">
        <v>1.93</v>
      </c>
      <c r="Y23" s="10">
        <f>0.28+5.77</f>
        <v>6.05</v>
      </c>
      <c r="AB23" s="7" t="s">
        <v>32</v>
      </c>
      <c r="AC23" s="8">
        <f>2.98+0.57</f>
        <v>3.55</v>
      </c>
      <c r="AD23" s="2">
        <f t="shared" si="0"/>
        <v>0.14377499999999999</v>
      </c>
      <c r="AE23" s="2">
        <f t="shared" si="1"/>
        <v>0.31595000000000001</v>
      </c>
      <c r="AF23" s="2">
        <f t="shared" si="2"/>
        <v>0.183535</v>
      </c>
      <c r="AH23" s="7" t="s">
        <v>32</v>
      </c>
      <c r="AI23" s="8">
        <f>3.97+0.5</f>
        <v>4.4700000000000006</v>
      </c>
      <c r="AJ23" s="2">
        <f t="shared" si="19"/>
        <v>2.2350000000000002E-2</v>
      </c>
      <c r="AK23" s="2">
        <f t="shared" si="20"/>
        <v>6.5709000000000004E-2</v>
      </c>
      <c r="AL23" s="2">
        <f t="shared" si="21"/>
        <v>0.113985</v>
      </c>
      <c r="AN23" s="7" t="s">
        <v>32</v>
      </c>
      <c r="AO23" s="11">
        <f>3.92+0.34</f>
        <v>4.26</v>
      </c>
      <c r="AP23" s="2">
        <f t="shared" si="15"/>
        <v>1.6188000000000001E-2</v>
      </c>
      <c r="AQ23" s="2">
        <f t="shared" si="7"/>
        <v>8.4347999999999992E-2</v>
      </c>
      <c r="AR23" s="2">
        <f t="shared" si="8"/>
        <v>4.4303999999999996E-2</v>
      </c>
      <c r="AU23" s="7" t="s">
        <v>32</v>
      </c>
      <c r="AV23" s="9">
        <f>2.86+0.28</f>
        <v>3.1399999999999997</v>
      </c>
      <c r="AW23" s="2">
        <f t="shared" si="16"/>
        <v>1.7583999999999999E-2</v>
      </c>
      <c r="AX23" s="2">
        <f t="shared" si="17"/>
        <v>4.7727999999999993E-2</v>
      </c>
      <c r="AY23" s="2">
        <f t="shared" si="18"/>
        <v>6.0601999999999989E-2</v>
      </c>
    </row>
    <row r="24" spans="1:51" x14ac:dyDescent="0.3">
      <c r="A24" s="7" t="s">
        <v>33</v>
      </c>
      <c r="B24" s="8">
        <f>2.18+0.17</f>
        <v>2.35</v>
      </c>
      <c r="C24" s="8">
        <v>0.26</v>
      </c>
      <c r="D24" s="8">
        <v>3.33</v>
      </c>
      <c r="E24" s="9">
        <v>0.65</v>
      </c>
      <c r="F24" s="60"/>
      <c r="G24" s="7" t="s">
        <v>33</v>
      </c>
      <c r="H24" s="8">
        <f>3.19+0.86</f>
        <v>4.05</v>
      </c>
      <c r="I24" s="8">
        <v>1.8</v>
      </c>
      <c r="J24" s="8">
        <v>4.1500000000000004</v>
      </c>
      <c r="K24" s="10">
        <v>3.78</v>
      </c>
      <c r="L24" s="8">
        <f>0.86+16.9</f>
        <v>17.759999999999998</v>
      </c>
      <c r="M24" s="7" t="s">
        <v>33</v>
      </c>
      <c r="N24" s="11">
        <f>1.9+0.23</f>
        <v>2.13</v>
      </c>
      <c r="O24" s="9">
        <v>0.36</v>
      </c>
      <c r="P24" s="9">
        <v>1.96</v>
      </c>
      <c r="Q24" s="10">
        <v>1.6</v>
      </c>
      <c r="R24" s="10">
        <f>0.23+9.83</f>
        <v>10.06</v>
      </c>
      <c r="S24" s="9"/>
      <c r="T24" s="7" t="s">
        <v>33</v>
      </c>
      <c r="U24" s="9">
        <f>2.76+0.45</f>
        <v>3.21</v>
      </c>
      <c r="V24" s="9">
        <v>0.77</v>
      </c>
      <c r="W24" s="9">
        <v>2.88</v>
      </c>
      <c r="X24" s="12">
        <v>2.42</v>
      </c>
      <c r="Y24" s="10">
        <f>0.45+12.5</f>
        <v>12.95</v>
      </c>
      <c r="AB24" s="7" t="s">
        <v>33</v>
      </c>
      <c r="AC24" s="8">
        <f>2.18+0.17</f>
        <v>2.35</v>
      </c>
      <c r="AD24" s="2">
        <f t="shared" si="0"/>
        <v>6.1100000000000008E-3</v>
      </c>
      <c r="AE24" s="2">
        <f t="shared" si="1"/>
        <v>7.8255000000000005E-2</v>
      </c>
      <c r="AF24" s="2">
        <f t="shared" si="2"/>
        <v>1.5275E-2</v>
      </c>
      <c r="AH24" s="7" t="s">
        <v>33</v>
      </c>
      <c r="AI24" s="8">
        <f>3.19+0.86</f>
        <v>4.05</v>
      </c>
      <c r="AJ24" s="2">
        <f t="shared" si="19"/>
        <v>7.2900000000000006E-2</v>
      </c>
      <c r="AK24" s="2">
        <f t="shared" si="20"/>
        <v>0.168075</v>
      </c>
      <c r="AL24" s="2">
        <f t="shared" si="21"/>
        <v>0.15309</v>
      </c>
      <c r="AN24" s="7" t="s">
        <v>33</v>
      </c>
      <c r="AO24" s="11">
        <f>1.9+0.23</f>
        <v>2.13</v>
      </c>
      <c r="AP24" s="2">
        <f t="shared" si="15"/>
        <v>7.6679999999999995E-3</v>
      </c>
      <c r="AQ24" s="2">
        <f t="shared" si="7"/>
        <v>4.1747999999999993E-2</v>
      </c>
      <c r="AR24" s="2">
        <f t="shared" si="8"/>
        <v>3.4079999999999999E-2</v>
      </c>
      <c r="AU24" s="7" t="s">
        <v>33</v>
      </c>
      <c r="AV24" s="9">
        <f>2.76+0.45</f>
        <v>3.21</v>
      </c>
      <c r="AW24" s="2">
        <f t="shared" si="16"/>
        <v>2.4717000000000003E-2</v>
      </c>
      <c r="AX24" s="2">
        <f t="shared" si="17"/>
        <v>9.2448000000000002E-2</v>
      </c>
      <c r="AY24" s="2">
        <f t="shared" si="18"/>
        <v>7.7681999999999987E-2</v>
      </c>
    </row>
    <row r="25" spans="1:51" ht="27.6" x14ac:dyDescent="0.3">
      <c r="A25" s="7" t="s">
        <v>34</v>
      </c>
      <c r="B25" s="16"/>
      <c r="C25" s="16"/>
      <c r="D25" s="16"/>
      <c r="E25" s="17"/>
      <c r="F25" s="17"/>
      <c r="G25" s="7" t="s">
        <v>35</v>
      </c>
      <c r="H25" s="8">
        <f>8.13+4.72</f>
        <v>12.850000000000001</v>
      </c>
      <c r="I25" s="8">
        <v>0.77</v>
      </c>
      <c r="J25" s="8">
        <v>0.38</v>
      </c>
      <c r="K25" s="10">
        <v>11.3</v>
      </c>
      <c r="L25" s="8">
        <f>4.27+20.8</f>
        <v>25.07</v>
      </c>
      <c r="M25" s="7" t="s">
        <v>35</v>
      </c>
      <c r="N25" s="11">
        <f>5.21+1.73</f>
        <v>6.9399999999999995</v>
      </c>
      <c r="O25" s="9">
        <v>0.51</v>
      </c>
      <c r="P25" s="9">
        <v>0.54</v>
      </c>
      <c r="Q25" s="10">
        <v>7.08</v>
      </c>
      <c r="R25" s="10">
        <f>1.73+14.6</f>
        <v>16.329999999999998</v>
      </c>
      <c r="S25" s="9"/>
      <c r="T25" s="7" t="s">
        <v>35</v>
      </c>
      <c r="U25" s="9">
        <f>5.52+2.2</f>
        <v>7.72</v>
      </c>
      <c r="V25" s="9">
        <v>0.86</v>
      </c>
      <c r="W25" s="9">
        <v>0.43</v>
      </c>
      <c r="X25" s="12">
        <v>7.51</v>
      </c>
      <c r="Y25" s="10">
        <f>2.2+15.4</f>
        <v>17.600000000000001</v>
      </c>
      <c r="AB25" s="7" t="s">
        <v>35</v>
      </c>
      <c r="AC25" s="16"/>
      <c r="AD25" s="16"/>
      <c r="AE25" s="16"/>
      <c r="AF25" s="16"/>
      <c r="AH25" s="7" t="s">
        <v>35</v>
      </c>
      <c r="AI25" s="8">
        <f>8.13+4.72</f>
        <v>12.850000000000001</v>
      </c>
      <c r="AJ25" s="2">
        <f t="shared" si="19"/>
        <v>9.8945000000000005E-2</v>
      </c>
      <c r="AK25" s="2">
        <f t="shared" si="20"/>
        <v>4.8830000000000012E-2</v>
      </c>
      <c r="AL25" s="2">
        <f t="shared" si="21"/>
        <v>1.4520500000000001</v>
      </c>
      <c r="AN25" s="7" t="s">
        <v>35</v>
      </c>
      <c r="AO25" s="11">
        <f>5.21+1.73</f>
        <v>6.9399999999999995</v>
      </c>
      <c r="AP25" s="2">
        <f t="shared" si="15"/>
        <v>3.5393999999999995E-2</v>
      </c>
      <c r="AQ25" s="2">
        <f t="shared" si="7"/>
        <v>3.7475999999999995E-2</v>
      </c>
      <c r="AR25" s="2">
        <f t="shared" si="8"/>
        <v>0.49135199999999996</v>
      </c>
      <c r="AU25" s="7" t="s">
        <v>35</v>
      </c>
      <c r="AV25" s="9">
        <f>5.52+2.2</f>
        <v>7.72</v>
      </c>
      <c r="AW25" s="2">
        <f t="shared" si="16"/>
        <v>6.6391999999999993E-2</v>
      </c>
      <c r="AX25" s="2">
        <f t="shared" si="17"/>
        <v>3.3195999999999996E-2</v>
      </c>
      <c r="AY25" s="2">
        <f t="shared" si="18"/>
        <v>0.57977199999999995</v>
      </c>
    </row>
    <row r="26" spans="1:51" ht="27.6" x14ac:dyDescent="0.3">
      <c r="A26" s="7" t="s">
        <v>36</v>
      </c>
      <c r="B26" s="16"/>
      <c r="C26" s="16"/>
      <c r="D26" s="16"/>
      <c r="E26" s="17"/>
      <c r="F26" s="16"/>
      <c r="G26" s="7" t="s">
        <v>36</v>
      </c>
      <c r="H26" s="17"/>
      <c r="I26" s="17"/>
      <c r="J26" s="17"/>
      <c r="K26" s="17"/>
      <c r="L26" s="17"/>
      <c r="M26" s="7" t="s">
        <v>36</v>
      </c>
      <c r="N26" s="17"/>
      <c r="O26" s="17"/>
      <c r="P26" s="17"/>
      <c r="Q26" s="17"/>
      <c r="R26" s="17"/>
      <c r="S26" s="9"/>
      <c r="T26" s="7" t="s">
        <v>36</v>
      </c>
      <c r="U26" s="17"/>
      <c r="V26" s="17"/>
      <c r="W26" s="17"/>
      <c r="X26" s="17"/>
      <c r="Y26" s="17"/>
      <c r="AB26" s="7" t="s">
        <v>36</v>
      </c>
      <c r="AC26" s="16"/>
      <c r="AD26" s="16"/>
      <c r="AE26" s="16"/>
      <c r="AF26" s="16"/>
      <c r="AH26" s="7" t="s">
        <v>36</v>
      </c>
      <c r="AI26" s="16"/>
      <c r="AJ26" s="16"/>
      <c r="AK26" s="16"/>
      <c r="AL26" s="16"/>
      <c r="AN26" s="7" t="s">
        <v>36</v>
      </c>
      <c r="AO26" s="16"/>
      <c r="AP26" s="16"/>
      <c r="AQ26" s="16"/>
      <c r="AR26" s="16"/>
      <c r="AU26" s="7" t="s">
        <v>36</v>
      </c>
      <c r="AV26" s="16"/>
      <c r="AW26" s="16"/>
      <c r="AX26" s="16"/>
      <c r="AY26" s="16"/>
    </row>
    <row r="27" spans="1:51" x14ac:dyDescent="0.3">
      <c r="A27" s="7" t="s">
        <v>37</v>
      </c>
      <c r="B27" s="15"/>
      <c r="C27" s="15"/>
      <c r="D27" s="15"/>
      <c r="E27" s="15"/>
      <c r="F27" s="15"/>
      <c r="G27" s="7" t="s">
        <v>38</v>
      </c>
      <c r="H27" s="17"/>
      <c r="I27" s="17"/>
      <c r="J27" s="17"/>
      <c r="K27" s="17"/>
      <c r="L27" s="17"/>
      <c r="M27" s="7" t="s">
        <v>38</v>
      </c>
      <c r="N27" s="17"/>
      <c r="O27" s="17"/>
      <c r="P27" s="17"/>
      <c r="Q27" s="17"/>
      <c r="R27" s="17"/>
      <c r="S27" s="9"/>
      <c r="T27" s="7" t="s">
        <v>38</v>
      </c>
      <c r="U27" s="17"/>
      <c r="V27" s="17"/>
      <c r="W27" s="17"/>
      <c r="X27" s="17"/>
      <c r="Y27" s="17"/>
      <c r="AB27" s="7" t="s">
        <v>38</v>
      </c>
      <c r="AC27" s="16"/>
      <c r="AD27" s="16"/>
      <c r="AE27" s="16"/>
      <c r="AF27" s="16"/>
      <c r="AH27" s="7" t="s">
        <v>38</v>
      </c>
      <c r="AI27" s="16"/>
      <c r="AJ27" s="16"/>
      <c r="AK27" s="16"/>
      <c r="AL27" s="16"/>
      <c r="AN27" s="7" t="s">
        <v>38</v>
      </c>
      <c r="AO27" s="16"/>
      <c r="AP27" s="16"/>
      <c r="AQ27" s="16"/>
      <c r="AR27" s="16"/>
      <c r="AU27" s="7" t="s">
        <v>38</v>
      </c>
      <c r="AV27" s="16"/>
      <c r="AW27" s="16"/>
      <c r="AX27" s="16"/>
      <c r="AY27" s="16"/>
    </row>
    <row r="28" spans="1:51" x14ac:dyDescent="0.3">
      <c r="A28" s="7" t="s">
        <v>39</v>
      </c>
      <c r="B28" s="14">
        <f>3.97+0.37</f>
        <v>4.34</v>
      </c>
      <c r="C28" s="14">
        <v>0.77</v>
      </c>
      <c r="D28" s="14">
        <v>6.35</v>
      </c>
      <c r="E28" s="14">
        <v>1.5</v>
      </c>
      <c r="F28" s="14">
        <f>0.37+6.21</f>
        <v>6.58</v>
      </c>
      <c r="G28" s="7" t="s">
        <v>39</v>
      </c>
      <c r="H28" s="9">
        <f>2.71+0.3</f>
        <v>3.01</v>
      </c>
      <c r="I28" s="9">
        <v>0.49</v>
      </c>
      <c r="J28" s="9">
        <v>1.7</v>
      </c>
      <c r="K28" s="9">
        <v>1.74</v>
      </c>
      <c r="L28" s="9">
        <f>0.3+6.1</f>
        <v>6.3999999999999995</v>
      </c>
      <c r="M28" s="7" t="s">
        <v>39</v>
      </c>
      <c r="N28" s="9">
        <f>2.06+0.12</f>
        <v>2.1800000000000002</v>
      </c>
      <c r="O28" s="9">
        <v>0.54</v>
      </c>
      <c r="P28" s="9">
        <v>2.37</v>
      </c>
      <c r="Q28" s="9">
        <v>1.0900000000000001</v>
      </c>
      <c r="R28" s="9">
        <f>0.12+2.68</f>
        <v>2.8000000000000003</v>
      </c>
      <c r="S28" s="9"/>
      <c r="T28" s="7" t="s">
        <v>39</v>
      </c>
      <c r="U28" s="9">
        <f>5.84+0.58</f>
        <v>6.42</v>
      </c>
      <c r="V28" s="9">
        <v>0.45</v>
      </c>
      <c r="W28" s="9">
        <v>2.86</v>
      </c>
      <c r="X28" s="9">
        <v>1.07</v>
      </c>
      <c r="Y28" s="9">
        <f>0.58+7.03</f>
        <v>7.61</v>
      </c>
      <c r="AB28" s="7" t="s">
        <v>39</v>
      </c>
      <c r="AC28" s="16"/>
      <c r="AD28" s="16"/>
      <c r="AE28" s="16"/>
      <c r="AF28" s="16"/>
      <c r="AH28" s="7" t="s">
        <v>39</v>
      </c>
      <c r="AI28" s="16"/>
      <c r="AJ28" s="16"/>
      <c r="AK28" s="16"/>
      <c r="AL28" s="16"/>
      <c r="AN28" s="7" t="s">
        <v>39</v>
      </c>
      <c r="AO28" s="16"/>
      <c r="AP28" s="16"/>
      <c r="AQ28" s="16"/>
      <c r="AR28" s="16"/>
      <c r="AU28" s="7" t="s">
        <v>39</v>
      </c>
      <c r="AV28" s="16"/>
      <c r="AW28" s="16"/>
      <c r="AX28" s="16"/>
      <c r="AY28" s="16"/>
    </row>
    <row r="29" spans="1:51" x14ac:dyDescent="0.3">
      <c r="A29" s="7"/>
      <c r="B29" s="14"/>
      <c r="C29" s="14"/>
      <c r="D29" s="14"/>
      <c r="E29" s="14"/>
      <c r="F29" s="14"/>
      <c r="G29" s="20"/>
      <c r="M29" s="20"/>
      <c r="T29" s="20"/>
      <c r="AB29" s="20"/>
      <c r="AC29" s="21"/>
      <c r="AD29" s="21"/>
      <c r="AE29" s="21"/>
      <c r="AF29" s="21"/>
      <c r="AH29" s="20"/>
      <c r="AI29" s="21"/>
      <c r="AJ29" s="21"/>
      <c r="AK29" s="21"/>
      <c r="AL29" s="21"/>
      <c r="AN29" s="20"/>
      <c r="AO29" s="21"/>
      <c r="AP29" s="21"/>
      <c r="AQ29" s="21"/>
      <c r="AR29" s="21"/>
      <c r="AU29" s="20"/>
      <c r="AV29" s="21"/>
      <c r="AW29" s="21"/>
      <c r="AX29" s="21"/>
      <c r="AY29" s="21"/>
    </row>
    <row r="30" spans="1:51" x14ac:dyDescent="0.3">
      <c r="G30" s="20"/>
      <c r="M30" s="20"/>
      <c r="T30" s="20"/>
      <c r="AB30" s="20"/>
      <c r="AC30" s="21"/>
      <c r="AD30" s="21"/>
      <c r="AE30" s="21"/>
      <c r="AF30" s="21"/>
      <c r="AH30" s="20"/>
      <c r="AI30" s="21"/>
      <c r="AJ30" s="21"/>
      <c r="AK30" s="21"/>
      <c r="AL30" s="21"/>
      <c r="AN30" s="20"/>
      <c r="AO30" s="21"/>
      <c r="AP30" s="21"/>
      <c r="AQ30" s="21"/>
      <c r="AR30" s="21"/>
      <c r="AU30" s="20"/>
      <c r="AV30" s="21"/>
      <c r="AW30" s="21"/>
      <c r="AX30" s="21"/>
      <c r="AY30" s="21"/>
    </row>
    <row r="31" spans="1:51" x14ac:dyDescent="0.3">
      <c r="A31" s="7"/>
      <c r="B31" s="14"/>
      <c r="C31" s="14"/>
      <c r="D31" s="14"/>
      <c r="E31" s="14"/>
      <c r="F31" s="14"/>
      <c r="G31" s="20"/>
      <c r="M31" s="20"/>
      <c r="T31" s="20"/>
      <c r="AB31" s="20"/>
      <c r="AC31" s="21"/>
      <c r="AD31" s="21"/>
      <c r="AE31" s="21"/>
      <c r="AF31" s="21"/>
      <c r="AH31" s="20"/>
      <c r="AI31" s="21"/>
      <c r="AJ31" s="21"/>
      <c r="AK31" s="21"/>
      <c r="AL31" s="21"/>
      <c r="AN31" s="20"/>
      <c r="AO31" s="21"/>
      <c r="AP31" s="21"/>
      <c r="AQ31" s="21"/>
      <c r="AR31" s="21"/>
      <c r="AU31" s="20"/>
      <c r="AV31" s="21"/>
      <c r="AW31" s="21"/>
      <c r="AX31" s="21"/>
      <c r="AY31" s="21"/>
    </row>
    <row r="32" spans="1:51" x14ac:dyDescent="0.3">
      <c r="A32" s="20"/>
      <c r="B32" s="14"/>
      <c r="C32" s="14"/>
      <c r="D32" s="14"/>
      <c r="E32" s="14"/>
      <c r="F32" s="14"/>
      <c r="G32" s="20"/>
      <c r="M32" s="20"/>
      <c r="T32" s="20"/>
      <c r="AB32" s="20"/>
      <c r="AC32" s="21"/>
      <c r="AD32" s="21"/>
      <c r="AE32" s="21"/>
      <c r="AF32" s="21"/>
      <c r="AH32" s="20"/>
      <c r="AI32" s="21"/>
      <c r="AJ32" s="21"/>
      <c r="AK32" s="21"/>
      <c r="AL32" s="21"/>
      <c r="AN32" s="20"/>
      <c r="AO32" s="21"/>
      <c r="AP32" s="21"/>
      <c r="AQ32" s="21"/>
      <c r="AR32" s="21"/>
      <c r="AU32" s="20"/>
      <c r="AV32" s="21"/>
      <c r="AW32" s="21"/>
      <c r="AX32" s="21"/>
      <c r="AY32" s="21"/>
    </row>
    <row r="33" spans="1:51" x14ac:dyDescent="0.3">
      <c r="A33" s="20"/>
      <c r="B33" s="14"/>
      <c r="C33" s="14"/>
      <c r="D33" s="14"/>
      <c r="E33" s="14"/>
      <c r="F33" s="14"/>
      <c r="G33" s="20"/>
      <c r="M33" s="20"/>
      <c r="T33" s="20"/>
      <c r="AB33" s="20"/>
      <c r="AC33" s="21"/>
      <c r="AD33" s="21"/>
      <c r="AE33" s="21"/>
      <c r="AF33" s="21"/>
      <c r="AH33" s="20"/>
      <c r="AI33" s="21"/>
      <c r="AJ33" s="21"/>
      <c r="AK33" s="21"/>
      <c r="AL33" s="21"/>
      <c r="AN33" s="20"/>
      <c r="AO33" s="21"/>
      <c r="AP33" s="21"/>
      <c r="AQ33" s="21"/>
      <c r="AR33" s="21"/>
      <c r="AU33" s="20"/>
      <c r="AV33" s="21"/>
      <c r="AW33" s="21"/>
      <c r="AX33" s="21"/>
      <c r="AY33" s="21"/>
    </row>
    <row r="34" spans="1:51" x14ac:dyDescent="0.3">
      <c r="A34" s="20"/>
      <c r="B34" s="14"/>
      <c r="C34" s="14"/>
      <c r="D34" s="14"/>
      <c r="E34" s="14"/>
      <c r="F34" s="14"/>
      <c r="G34" s="20"/>
      <c r="M34" s="20"/>
      <c r="T34" s="20"/>
      <c r="AB34" s="20"/>
      <c r="AC34" s="21"/>
      <c r="AD34" s="21"/>
      <c r="AE34" s="21"/>
      <c r="AF34" s="21"/>
      <c r="AH34" s="20"/>
      <c r="AI34" s="21"/>
      <c r="AJ34" s="21"/>
      <c r="AK34" s="21"/>
      <c r="AL34" s="21"/>
      <c r="AN34" s="20"/>
      <c r="AO34" s="21"/>
      <c r="AP34" s="21"/>
      <c r="AQ34" s="21"/>
      <c r="AR34" s="21"/>
      <c r="AU34" s="20"/>
      <c r="AV34" s="21"/>
      <c r="AW34" s="21"/>
      <c r="AX34" s="21"/>
      <c r="AY34" s="21"/>
    </row>
    <row r="35" spans="1:51" ht="13.2" customHeight="1" x14ac:dyDescent="0.3"/>
    <row r="37" spans="1:51" x14ac:dyDescent="0.3">
      <c r="A37" s="22" t="s">
        <v>40</v>
      </c>
      <c r="B37" s="16"/>
      <c r="C37" s="8">
        <v>4.3499999999999996</v>
      </c>
      <c r="D37" s="8">
        <v>0.65</v>
      </c>
      <c r="E37" s="9">
        <v>17.2</v>
      </c>
      <c r="F37" s="15"/>
      <c r="G37" s="22" t="s">
        <v>40</v>
      </c>
      <c r="H37" s="16"/>
      <c r="I37" s="16">
        <v>0</v>
      </c>
      <c r="J37" s="16">
        <v>0</v>
      </c>
      <c r="K37" s="16">
        <v>62.8</v>
      </c>
      <c r="L37" s="16"/>
      <c r="M37" s="22" t="s">
        <v>40</v>
      </c>
      <c r="N37" s="15"/>
      <c r="O37" s="15"/>
      <c r="P37" s="15"/>
      <c r="Q37" s="15"/>
      <c r="R37" s="15"/>
      <c r="S37" s="9"/>
      <c r="T37" s="22" t="s">
        <v>40</v>
      </c>
      <c r="U37" s="15"/>
      <c r="V37" s="15"/>
      <c r="W37" s="15"/>
      <c r="X37" s="15"/>
      <c r="Y37" s="15"/>
      <c r="AB37" s="22" t="s">
        <v>40</v>
      </c>
      <c r="AC37" s="16"/>
      <c r="AD37" s="16"/>
      <c r="AE37" s="16"/>
      <c r="AF37" s="16"/>
      <c r="AH37" s="22" t="s">
        <v>40</v>
      </c>
      <c r="AI37" s="16"/>
      <c r="AJ37" s="16"/>
      <c r="AK37" s="16"/>
      <c r="AL37" s="16"/>
      <c r="AN37" s="22" t="s">
        <v>40</v>
      </c>
      <c r="AO37" s="15"/>
      <c r="AP37" s="15"/>
      <c r="AQ37" s="15"/>
      <c r="AR37" s="15"/>
      <c r="AU37" s="22" t="s">
        <v>40</v>
      </c>
      <c r="AV37" s="15"/>
      <c r="AW37" s="15"/>
      <c r="AX37" s="15"/>
      <c r="AY37" s="15"/>
    </row>
    <row r="38" spans="1:51" x14ac:dyDescent="0.3">
      <c r="A38" s="22" t="s">
        <v>41</v>
      </c>
      <c r="B38" s="9">
        <f>3.67+0.92</f>
        <v>4.59</v>
      </c>
      <c r="C38" s="9">
        <v>4.1399999999999997</v>
      </c>
      <c r="D38" s="9">
        <v>7.4999999999999997E-2</v>
      </c>
      <c r="E38" s="9">
        <v>75.099999999999994</v>
      </c>
      <c r="F38" s="9">
        <f>0.92+3.16</f>
        <v>4.08</v>
      </c>
      <c r="G38" s="22" t="s">
        <v>41</v>
      </c>
      <c r="H38" s="8">
        <f>3.84+1.8</f>
        <v>5.64</v>
      </c>
      <c r="I38" s="8">
        <v>1.83</v>
      </c>
      <c r="J38" s="8">
        <v>5.3999999999999999E-2</v>
      </c>
      <c r="K38" s="10">
        <v>79.3</v>
      </c>
      <c r="L38" s="8">
        <f>1.8+7.98</f>
        <v>9.7800000000000011</v>
      </c>
      <c r="M38" s="22" t="s">
        <v>41</v>
      </c>
      <c r="N38" s="11">
        <f>4.1+1.4</f>
        <v>5.5</v>
      </c>
      <c r="O38" s="9">
        <v>0.65</v>
      </c>
      <c r="P38" s="9">
        <v>0</v>
      </c>
      <c r="Q38" s="10">
        <v>78.099999999999994</v>
      </c>
      <c r="R38" s="10">
        <f>1.4+6.72</f>
        <v>8.1199999999999992</v>
      </c>
      <c r="S38" s="9"/>
      <c r="T38" s="22" t="s">
        <v>41</v>
      </c>
      <c r="U38" s="15"/>
      <c r="V38" s="9">
        <v>1.63</v>
      </c>
      <c r="W38" s="9">
        <v>0</v>
      </c>
      <c r="X38" s="12">
        <v>66.8</v>
      </c>
      <c r="Y38" s="15"/>
      <c r="AB38" s="22" t="s">
        <v>41</v>
      </c>
      <c r="AC38" s="9">
        <f>3.67+0.92</f>
        <v>4.59</v>
      </c>
      <c r="AD38" s="2">
        <f>AC38*C38/100</f>
        <v>0.19002599999999997</v>
      </c>
      <c r="AE38" s="2">
        <f>AC38*D38/100</f>
        <v>3.4424999999999998E-3</v>
      </c>
      <c r="AF38" s="2">
        <f>E38*B38/100</f>
        <v>3.4470899999999993</v>
      </c>
      <c r="AH38" s="22" t="s">
        <v>41</v>
      </c>
      <c r="AI38" s="8">
        <f>3.84+1.8</f>
        <v>5.64</v>
      </c>
      <c r="AJ38" s="2">
        <f>AI38*I38/100</f>
        <v>0.103212</v>
      </c>
      <c r="AK38" s="2">
        <f>AI38*J38/100</f>
        <v>3.0455999999999999E-3</v>
      </c>
      <c r="AL38" s="2">
        <f>AI38*K38/100</f>
        <v>4.4725199999999994</v>
      </c>
      <c r="AN38" s="22" t="s">
        <v>41</v>
      </c>
      <c r="AO38" s="11">
        <v>6.72</v>
      </c>
      <c r="AP38" s="2">
        <f>AO38*O38/100</f>
        <v>4.3680000000000004E-2</v>
      </c>
      <c r="AQ38" s="2">
        <f>AO38*P38/100</f>
        <v>0</v>
      </c>
      <c r="AR38" s="2">
        <f>AO38*Q38/100</f>
        <v>5.2483199999999997</v>
      </c>
      <c r="AU38" s="22" t="s">
        <v>41</v>
      </c>
      <c r="AV38" s="15"/>
      <c r="AW38" s="15"/>
      <c r="AX38" s="15"/>
      <c r="AY38" s="15"/>
    </row>
    <row r="39" spans="1:51" x14ac:dyDescent="0.3">
      <c r="A39" s="22" t="s">
        <v>42</v>
      </c>
      <c r="B39" s="8">
        <f>4.38+3.84</f>
        <v>8.2199999999999989</v>
      </c>
      <c r="C39" s="8">
        <v>1.45</v>
      </c>
      <c r="D39" s="8">
        <v>0.14000000000000001</v>
      </c>
      <c r="E39" s="9">
        <v>74.400000000000006</v>
      </c>
      <c r="F39" s="60"/>
      <c r="G39" s="22" t="s">
        <v>42</v>
      </c>
      <c r="H39" s="8">
        <f>5.64+4.78</f>
        <v>10.42</v>
      </c>
      <c r="I39" s="8">
        <v>0.48</v>
      </c>
      <c r="J39" s="8">
        <v>0.02</v>
      </c>
      <c r="K39" s="8">
        <v>83</v>
      </c>
      <c r="L39" s="8">
        <f>4.78+18.5</f>
        <v>23.28</v>
      </c>
      <c r="M39" s="22" t="s">
        <v>42</v>
      </c>
      <c r="N39" s="11">
        <f>5.21+3.57</f>
        <v>8.7799999999999994</v>
      </c>
      <c r="O39" s="9">
        <v>1.01</v>
      </c>
      <c r="P39" s="9">
        <v>2.3E-2</v>
      </c>
      <c r="Q39" s="9">
        <v>76.400000000000006</v>
      </c>
      <c r="R39" s="10">
        <f>3.57+21.2</f>
        <v>24.77</v>
      </c>
      <c r="S39" s="9"/>
      <c r="T39" s="22" t="s">
        <v>42</v>
      </c>
      <c r="U39" s="62"/>
      <c r="V39" s="9">
        <v>1.33</v>
      </c>
      <c r="W39" s="9">
        <v>2.8000000000000001E-2</v>
      </c>
      <c r="X39" s="23">
        <v>79</v>
      </c>
      <c r="Y39" s="10">
        <f>3.98+20.3</f>
        <v>24.28</v>
      </c>
      <c r="AB39" s="22" t="s">
        <v>42</v>
      </c>
      <c r="AC39" s="8">
        <f>4.38+3.84</f>
        <v>8.2199999999999989</v>
      </c>
      <c r="AD39" s="2">
        <f t="shared" ref="AD39:AD56" si="22">AC39*C39/100</f>
        <v>0.11918999999999999</v>
      </c>
      <c r="AE39" s="2">
        <f t="shared" ref="AE39:AE60" si="23">AC39*D39/100</f>
        <v>1.1508000000000001E-2</v>
      </c>
      <c r="AF39" s="2">
        <f t="shared" ref="AF39:AF60" si="24">E39*B39/100</f>
        <v>6.1156800000000002</v>
      </c>
      <c r="AH39" s="22" t="s">
        <v>42</v>
      </c>
      <c r="AI39" s="8">
        <f>5.64+4.78</f>
        <v>10.42</v>
      </c>
      <c r="AJ39" s="2">
        <f>AI39*I39/100</f>
        <v>5.0015999999999998E-2</v>
      </c>
      <c r="AK39" s="2">
        <f>AI39*J39/100</f>
        <v>2.0839999999999999E-3</v>
      </c>
      <c r="AL39" s="2">
        <f>AI39*K39/100</f>
        <v>8.6486000000000001</v>
      </c>
      <c r="AN39" s="22" t="s">
        <v>42</v>
      </c>
      <c r="AO39" s="11">
        <v>21.2</v>
      </c>
      <c r="AP39" s="2">
        <f t="shared" ref="AP39:AP42" si="25">AO39*O39/100</f>
        <v>0.21411999999999998</v>
      </c>
      <c r="AQ39" s="2">
        <f t="shared" ref="AQ39:AQ42" si="26">AO39*P39/100</f>
        <v>4.8760000000000001E-3</v>
      </c>
      <c r="AR39" s="2">
        <f t="shared" ref="AR39:AR42" si="27">AO39*Q39/100</f>
        <v>16.1968</v>
      </c>
      <c r="AU39" s="22" t="s">
        <v>42</v>
      </c>
      <c r="AV39" s="9">
        <f>5.14+3.98</f>
        <v>9.1199999999999992</v>
      </c>
      <c r="AW39" s="2">
        <f>AV39*V39/100</f>
        <v>0.121296</v>
      </c>
      <c r="AX39" s="2">
        <f>AV39*W39/100</f>
        <v>2.5535999999999996E-3</v>
      </c>
      <c r="AY39" s="2">
        <f>AV39*X39/100</f>
        <v>7.2047999999999988</v>
      </c>
    </row>
    <row r="40" spans="1:51" x14ac:dyDescent="0.3">
      <c r="A40" s="22" t="s">
        <v>43</v>
      </c>
      <c r="B40" s="8">
        <f>1.01+2.22</f>
        <v>3.2300000000000004</v>
      </c>
      <c r="C40" s="8">
        <v>11.1</v>
      </c>
      <c r="D40" s="8">
        <v>0.36</v>
      </c>
      <c r="E40" s="9">
        <v>81.3</v>
      </c>
      <c r="F40" s="8">
        <f>2.22+21.8</f>
        <v>24.02</v>
      </c>
      <c r="G40" s="22" t="s">
        <v>43</v>
      </c>
      <c r="H40" s="8">
        <f>0.27+0.73</f>
        <v>1</v>
      </c>
      <c r="I40" s="16"/>
      <c r="J40" s="16"/>
      <c r="K40" s="18"/>
      <c r="L40" s="60"/>
      <c r="M40" s="22" t="s">
        <v>43</v>
      </c>
      <c r="N40" s="11">
        <f>0.2+0.44</f>
        <v>0.64</v>
      </c>
      <c r="O40" s="9">
        <v>4.95</v>
      </c>
      <c r="P40" s="9">
        <v>9.9000000000000005E-2</v>
      </c>
      <c r="Q40" s="10">
        <v>84.7</v>
      </c>
      <c r="R40" s="10">
        <f>0.44+13.6</f>
        <v>14.04</v>
      </c>
      <c r="S40" s="9"/>
      <c r="T40" s="22" t="s">
        <v>43</v>
      </c>
      <c r="U40" s="9">
        <f>0.32+0.61</f>
        <v>0.92999999999999994</v>
      </c>
      <c r="V40" s="9">
        <v>3.59</v>
      </c>
      <c r="W40" s="9">
        <v>0.22</v>
      </c>
      <c r="X40" s="23">
        <v>86.5</v>
      </c>
      <c r="Y40" s="10">
        <f>0.61+12.5</f>
        <v>13.11</v>
      </c>
      <c r="AB40" s="22" t="s">
        <v>43</v>
      </c>
      <c r="AC40" s="8">
        <f>1.01+2.22</f>
        <v>3.2300000000000004</v>
      </c>
      <c r="AD40" s="2">
        <f t="shared" si="22"/>
        <v>0.35853000000000002</v>
      </c>
      <c r="AE40" s="2">
        <f t="shared" si="23"/>
        <v>1.1628000000000001E-2</v>
      </c>
      <c r="AF40" s="2">
        <f t="shared" si="24"/>
        <v>2.6259900000000003</v>
      </c>
      <c r="AH40" s="22" t="s">
        <v>43</v>
      </c>
      <c r="AI40" s="8">
        <f>0.27+0.73</f>
        <v>1</v>
      </c>
      <c r="AJ40" s="16"/>
      <c r="AK40" s="16"/>
      <c r="AL40" s="16"/>
      <c r="AN40" s="22" t="s">
        <v>43</v>
      </c>
      <c r="AO40" s="11">
        <v>13.6</v>
      </c>
      <c r="AP40" s="2">
        <f t="shared" si="25"/>
        <v>0.67320000000000002</v>
      </c>
      <c r="AQ40" s="2">
        <f t="shared" si="26"/>
        <v>1.3464E-2</v>
      </c>
      <c r="AR40" s="2">
        <f t="shared" si="27"/>
        <v>11.519200000000001</v>
      </c>
      <c r="AU40" s="22" t="s">
        <v>43</v>
      </c>
      <c r="AV40" s="9">
        <f>0.32+0.61</f>
        <v>0.92999999999999994</v>
      </c>
      <c r="AW40" s="2">
        <f t="shared" ref="AW40:AW60" si="28">AV40*V40/100</f>
        <v>3.3387E-2</v>
      </c>
      <c r="AX40" s="2">
        <f t="shared" ref="AX40:AX60" si="29">AV40*W40/100</f>
        <v>2.0459999999999996E-3</v>
      </c>
      <c r="AY40" s="2">
        <f t="shared" ref="AY40:AY60" si="30">AV40*X40/100</f>
        <v>0.80444999999999989</v>
      </c>
    </row>
    <row r="41" spans="1:51" x14ac:dyDescent="0.3">
      <c r="A41" s="22" t="s">
        <v>44</v>
      </c>
      <c r="B41" s="8">
        <f>0.14+0.38</f>
        <v>0.52</v>
      </c>
      <c r="C41" s="16"/>
      <c r="D41" s="16"/>
      <c r="E41" s="17"/>
      <c r="F41" s="8">
        <f>0.38+10.2</f>
        <v>10.58</v>
      </c>
      <c r="G41" s="22" t="s">
        <v>44</v>
      </c>
      <c r="H41" s="8">
        <f>1.13+0.84</f>
        <v>1.9699999999999998</v>
      </c>
      <c r="I41" s="8">
        <v>1.94</v>
      </c>
      <c r="J41" s="8">
        <v>0.13</v>
      </c>
      <c r="K41" s="10">
        <v>57.3</v>
      </c>
      <c r="L41" s="8">
        <f>0.84+14</f>
        <v>14.84</v>
      </c>
      <c r="M41" s="22" t="s">
        <v>44</v>
      </c>
      <c r="N41" s="11">
        <f>0.54+0.54</f>
        <v>1.08</v>
      </c>
      <c r="O41" s="9">
        <v>6.67</v>
      </c>
      <c r="P41" s="9">
        <v>0</v>
      </c>
      <c r="Q41" s="10">
        <v>68.099999999999994</v>
      </c>
      <c r="R41" s="10">
        <f>0.54+16.6</f>
        <v>17.14</v>
      </c>
      <c r="S41" s="9"/>
      <c r="T41" s="22" t="s">
        <v>44</v>
      </c>
      <c r="U41" s="9">
        <f>0.35+0.39</f>
        <v>0.74</v>
      </c>
      <c r="V41" s="9">
        <v>14.4</v>
      </c>
      <c r="W41" s="9">
        <v>0.31</v>
      </c>
      <c r="X41" s="23">
        <v>70.5</v>
      </c>
      <c r="Y41" s="10">
        <f>0.39+8.34</f>
        <v>8.73</v>
      </c>
      <c r="AB41" s="22" t="s">
        <v>44</v>
      </c>
      <c r="AC41" s="8">
        <f>0.14+0.38</f>
        <v>0.52</v>
      </c>
      <c r="AD41" s="24"/>
      <c r="AE41" s="24"/>
      <c r="AF41" s="24"/>
      <c r="AH41" s="22" t="s">
        <v>44</v>
      </c>
      <c r="AI41" s="8">
        <f>1.13+0.84</f>
        <v>1.9699999999999998</v>
      </c>
      <c r="AJ41" s="2">
        <f t="shared" ref="AJ41:AJ42" si="31">AI41*I41/100</f>
        <v>3.8217999999999995E-2</v>
      </c>
      <c r="AK41" s="2">
        <f t="shared" ref="AK41:AK42" si="32">AI41*J41/100</f>
        <v>2.5609999999999999E-3</v>
      </c>
      <c r="AL41" s="2">
        <f t="shared" ref="AL41:AL42" si="33">AI41*K41/100</f>
        <v>1.1288099999999999</v>
      </c>
      <c r="AN41" s="22" t="s">
        <v>44</v>
      </c>
      <c r="AO41" s="11">
        <v>16.600000000000001</v>
      </c>
      <c r="AP41" s="2">
        <f t="shared" si="25"/>
        <v>1.1072200000000001</v>
      </c>
      <c r="AQ41" s="2">
        <f t="shared" si="26"/>
        <v>0</v>
      </c>
      <c r="AR41" s="2">
        <f t="shared" si="27"/>
        <v>11.304600000000001</v>
      </c>
      <c r="AU41" s="22" t="s">
        <v>44</v>
      </c>
      <c r="AV41" s="9">
        <f>0.35+0.39</f>
        <v>0.74</v>
      </c>
      <c r="AW41" s="2">
        <f t="shared" si="28"/>
        <v>0.10656</v>
      </c>
      <c r="AX41" s="2">
        <f t="shared" si="29"/>
        <v>2.294E-3</v>
      </c>
      <c r="AY41" s="2">
        <f t="shared" si="30"/>
        <v>0.52170000000000005</v>
      </c>
    </row>
    <row r="42" spans="1:51" x14ac:dyDescent="0.3">
      <c r="A42" s="22" t="s">
        <v>45</v>
      </c>
      <c r="B42" s="8">
        <f>0.12+0.36</f>
        <v>0.48</v>
      </c>
      <c r="C42" s="60"/>
      <c r="D42" s="8">
        <v>0.33</v>
      </c>
      <c r="E42" s="8">
        <v>65.099999999999994</v>
      </c>
      <c r="F42" s="8">
        <f>0.36+15.3</f>
        <v>15.66</v>
      </c>
      <c r="G42" s="22" t="s">
        <v>45</v>
      </c>
      <c r="H42" s="8">
        <f>0.39+1.28</f>
        <v>1.67</v>
      </c>
      <c r="I42" s="8">
        <v>0.47</v>
      </c>
      <c r="J42" s="8">
        <v>0</v>
      </c>
      <c r="K42" s="8">
        <v>91.7</v>
      </c>
      <c r="L42" s="8">
        <f>1.28+18.1</f>
        <v>19.380000000000003</v>
      </c>
      <c r="M42" s="22" t="s">
        <v>45</v>
      </c>
      <c r="N42" s="25">
        <f>0.1+0.39</f>
        <v>0.49</v>
      </c>
      <c r="O42" s="8">
        <v>6.9</v>
      </c>
      <c r="P42" s="8">
        <v>0</v>
      </c>
      <c r="Q42" s="8">
        <v>86.4</v>
      </c>
      <c r="R42" s="8">
        <f>0.39+12.7</f>
        <v>13.09</v>
      </c>
      <c r="S42" s="22"/>
      <c r="T42" s="22" t="s">
        <v>45</v>
      </c>
      <c r="U42" s="8">
        <f>0.15+0.64</f>
        <v>0.79</v>
      </c>
      <c r="V42" s="8">
        <v>12.2</v>
      </c>
      <c r="W42" s="8">
        <v>0.28000000000000003</v>
      </c>
      <c r="X42" s="8">
        <v>80.099999999999994</v>
      </c>
      <c r="Y42" s="8">
        <f>0.64+15.6</f>
        <v>16.239999999999998</v>
      </c>
      <c r="AB42" s="22" t="s">
        <v>45</v>
      </c>
      <c r="AC42" s="8">
        <f>0.12+0.36</f>
        <v>0.48</v>
      </c>
      <c r="AD42" s="83"/>
      <c r="AE42" s="2">
        <f t="shared" si="23"/>
        <v>1.5840000000000001E-3</v>
      </c>
      <c r="AF42" s="2">
        <f t="shared" si="24"/>
        <v>0.31247999999999998</v>
      </c>
      <c r="AH42" s="22" t="s">
        <v>45</v>
      </c>
      <c r="AI42" s="8">
        <f>0.39+1.28</f>
        <v>1.67</v>
      </c>
      <c r="AJ42" s="2">
        <f t="shared" si="31"/>
        <v>7.8490000000000001E-3</v>
      </c>
      <c r="AK42" s="2">
        <f t="shared" si="32"/>
        <v>0</v>
      </c>
      <c r="AL42" s="2">
        <f t="shared" si="33"/>
        <v>1.53139</v>
      </c>
      <c r="AN42" s="22" t="s">
        <v>45</v>
      </c>
      <c r="AO42" s="25">
        <v>12.7</v>
      </c>
      <c r="AP42" s="2">
        <f t="shared" si="25"/>
        <v>0.87629999999999997</v>
      </c>
      <c r="AQ42" s="2">
        <f t="shared" si="26"/>
        <v>0</v>
      </c>
      <c r="AR42" s="2">
        <f t="shared" si="27"/>
        <v>10.972799999999999</v>
      </c>
      <c r="AU42" s="22" t="s">
        <v>45</v>
      </c>
      <c r="AV42" s="8">
        <f>0.15+0.64</f>
        <v>0.79</v>
      </c>
      <c r="AW42" s="2">
        <f t="shared" si="28"/>
        <v>9.6379999999999993E-2</v>
      </c>
      <c r="AX42" s="2">
        <f t="shared" si="29"/>
        <v>2.2120000000000004E-3</v>
      </c>
      <c r="AY42" s="2">
        <f t="shared" si="30"/>
        <v>0.63278999999999996</v>
      </c>
    </row>
    <row r="43" spans="1:51" x14ac:dyDescent="0.3">
      <c r="A43" s="22" t="s">
        <v>46</v>
      </c>
      <c r="B43" s="8">
        <f>2.21+1.71</f>
        <v>3.92</v>
      </c>
      <c r="C43" s="8">
        <v>8.5500000000000007</v>
      </c>
      <c r="D43" s="8">
        <v>0.37</v>
      </c>
      <c r="E43" s="9">
        <v>75.2</v>
      </c>
      <c r="F43" s="8">
        <f>1.71+6.42</f>
        <v>8.129999999999999</v>
      </c>
      <c r="G43" s="22" t="s">
        <v>46</v>
      </c>
      <c r="H43" s="8">
        <f>0.47+1.15</f>
        <v>1.6199999999999999</v>
      </c>
      <c r="I43" s="16"/>
      <c r="J43" s="16"/>
      <c r="K43" s="18"/>
      <c r="L43" s="8">
        <f>0.15+2.35</f>
        <v>2.5</v>
      </c>
      <c r="M43" s="22" t="s">
        <v>46</v>
      </c>
      <c r="N43" s="11">
        <f>1.83+1.45</f>
        <v>3.2800000000000002</v>
      </c>
      <c r="O43" s="15"/>
      <c r="P43" s="15"/>
      <c r="Q43" s="15"/>
      <c r="R43" s="10">
        <f>1.45+4.51</f>
        <v>5.96</v>
      </c>
      <c r="S43" s="9"/>
      <c r="T43" s="22" t="s">
        <v>46</v>
      </c>
      <c r="U43" s="9">
        <f>2.53+1.47</f>
        <v>4</v>
      </c>
      <c r="V43" s="9">
        <v>2.2599999999999998</v>
      </c>
      <c r="W43" s="9">
        <v>0</v>
      </c>
      <c r="X43" s="23">
        <v>74.099999999999994</v>
      </c>
      <c r="Y43" s="10">
        <f>1.47+2.71</f>
        <v>4.18</v>
      </c>
      <c r="AB43" s="22" t="s">
        <v>46</v>
      </c>
      <c r="AC43" s="8">
        <f>2.21+1.71</f>
        <v>3.92</v>
      </c>
      <c r="AD43" s="2">
        <f t="shared" si="22"/>
        <v>0.33516000000000007</v>
      </c>
      <c r="AE43" s="2">
        <f t="shared" si="23"/>
        <v>1.4504E-2</v>
      </c>
      <c r="AF43" s="2">
        <f t="shared" si="24"/>
        <v>2.9478399999999998</v>
      </c>
      <c r="AH43" s="22" t="s">
        <v>46</v>
      </c>
      <c r="AI43" s="8">
        <f>0.47+1.15</f>
        <v>1.6199999999999999</v>
      </c>
      <c r="AJ43" s="16"/>
      <c r="AK43" s="16"/>
      <c r="AL43" s="16"/>
      <c r="AN43" s="22" t="s">
        <v>46</v>
      </c>
      <c r="AO43" s="11">
        <v>4.51</v>
      </c>
      <c r="AP43" s="15"/>
      <c r="AQ43" s="15"/>
      <c r="AR43" s="15"/>
      <c r="AU43" s="22" t="s">
        <v>46</v>
      </c>
      <c r="AV43" s="9">
        <f>2.53+1.47</f>
        <v>4</v>
      </c>
      <c r="AW43" s="2">
        <f t="shared" si="28"/>
        <v>9.0399999999999994E-2</v>
      </c>
      <c r="AX43" s="2">
        <f t="shared" si="29"/>
        <v>0</v>
      </c>
      <c r="AY43" s="2">
        <f t="shared" si="30"/>
        <v>2.964</v>
      </c>
    </row>
    <row r="44" spans="1:51" x14ac:dyDescent="0.3">
      <c r="A44" s="22" t="s">
        <v>47</v>
      </c>
      <c r="B44" s="8">
        <f>1.52+2.44</f>
        <v>3.96</v>
      </c>
      <c r="C44" s="8">
        <v>7.22</v>
      </c>
      <c r="D44" s="8">
        <v>0.21</v>
      </c>
      <c r="E44" s="9">
        <v>82.3</v>
      </c>
      <c r="F44" s="8">
        <f>2.44+14.9</f>
        <v>17.34</v>
      </c>
      <c r="G44" s="22" t="s">
        <v>47</v>
      </c>
      <c r="H44" s="8">
        <f>4.96+3.21</f>
        <v>8.17</v>
      </c>
      <c r="I44" s="8">
        <v>0.31</v>
      </c>
      <c r="J44" s="8">
        <v>1.2E-2</v>
      </c>
      <c r="K44" s="10">
        <v>84.4</v>
      </c>
      <c r="L44" s="8">
        <f>3.21+13.3</f>
        <v>16.510000000000002</v>
      </c>
      <c r="M44" s="22" t="s">
        <v>47</v>
      </c>
      <c r="N44" s="11">
        <f>0.57+0.97</f>
        <v>1.54</v>
      </c>
      <c r="O44" s="15"/>
      <c r="P44" s="15"/>
      <c r="Q44" s="15"/>
      <c r="R44" s="10">
        <f>0.97+5.38</f>
        <v>6.35</v>
      </c>
      <c r="S44" s="9"/>
      <c r="T44" s="22" t="s">
        <v>47</v>
      </c>
      <c r="U44" s="9">
        <f>3.82+2.21</f>
        <v>6.0299999999999994</v>
      </c>
      <c r="V44" s="9">
        <v>0.87</v>
      </c>
      <c r="W44" s="9">
        <v>1.2999999999999999E-2</v>
      </c>
      <c r="X44" s="23">
        <v>80.3</v>
      </c>
      <c r="Y44" s="10">
        <f>2.21+11</f>
        <v>13.21</v>
      </c>
      <c r="AB44" s="22" t="s">
        <v>47</v>
      </c>
      <c r="AC44" s="8">
        <f>1.52+2.44</f>
        <v>3.96</v>
      </c>
      <c r="AD44" s="2">
        <f t="shared" si="22"/>
        <v>0.28591199999999994</v>
      </c>
      <c r="AE44" s="2">
        <f t="shared" si="23"/>
        <v>8.3160000000000005E-3</v>
      </c>
      <c r="AF44" s="2">
        <f t="shared" si="24"/>
        <v>3.2590799999999995</v>
      </c>
      <c r="AH44" s="22" t="s">
        <v>47</v>
      </c>
      <c r="AI44" s="8">
        <f>4.96+3.21</f>
        <v>8.17</v>
      </c>
      <c r="AJ44" s="2">
        <f t="shared" ref="AJ44:AJ49" si="34">AI44*I44/100</f>
        <v>2.5327000000000002E-2</v>
      </c>
      <c r="AK44" s="2">
        <f t="shared" ref="AK44:AK49" si="35">AI44*J44/100</f>
        <v>9.8039999999999998E-4</v>
      </c>
      <c r="AL44" s="2">
        <f t="shared" ref="AL44:AL49" si="36">AI44*K44/100</f>
        <v>6.8954800000000001</v>
      </c>
      <c r="AN44" s="22" t="s">
        <v>47</v>
      </c>
      <c r="AO44" s="11">
        <v>5.38</v>
      </c>
      <c r="AP44" s="15"/>
      <c r="AQ44" s="15"/>
      <c r="AR44" s="15"/>
      <c r="AU44" s="22" t="s">
        <v>47</v>
      </c>
      <c r="AV44" s="9">
        <f>3.82+2.21</f>
        <v>6.0299999999999994</v>
      </c>
      <c r="AW44" s="2">
        <f t="shared" si="28"/>
        <v>5.2460999999999994E-2</v>
      </c>
      <c r="AX44" s="2">
        <f t="shared" si="29"/>
        <v>7.8389999999999992E-4</v>
      </c>
      <c r="AY44" s="2">
        <f t="shared" si="30"/>
        <v>4.8420899999999998</v>
      </c>
    </row>
    <row r="45" spans="1:51" x14ac:dyDescent="0.3">
      <c r="A45" s="22" t="s">
        <v>48</v>
      </c>
      <c r="B45" s="8">
        <f>3.58+2.19</f>
        <v>5.77</v>
      </c>
      <c r="C45" s="8">
        <v>2.19</v>
      </c>
      <c r="D45" s="8">
        <v>0.15</v>
      </c>
      <c r="E45" s="9">
        <v>74.400000000000006</v>
      </c>
      <c r="F45" s="8">
        <f>2.19+12.2</f>
        <v>14.389999999999999</v>
      </c>
      <c r="G45" s="22" t="s">
        <v>48</v>
      </c>
      <c r="H45" s="60"/>
      <c r="I45" s="8">
        <v>0.18</v>
      </c>
      <c r="J45" s="8">
        <v>0</v>
      </c>
      <c r="K45" s="10">
        <v>85.3</v>
      </c>
      <c r="L45" s="8">
        <f>14.4+15.5</f>
        <v>29.9</v>
      </c>
      <c r="M45" s="22" t="s">
        <v>48</v>
      </c>
      <c r="N45" s="11">
        <f>2.86+1.38</f>
        <v>4.24</v>
      </c>
      <c r="O45" s="9">
        <v>1.0900000000000001</v>
      </c>
      <c r="P45" s="9">
        <v>0.66</v>
      </c>
      <c r="Q45" s="10">
        <v>69.599999999999994</v>
      </c>
      <c r="R45" s="10">
        <f>1.38+11</f>
        <v>12.379999999999999</v>
      </c>
      <c r="S45" s="9"/>
      <c r="T45" s="22" t="s">
        <v>48</v>
      </c>
      <c r="U45" s="9">
        <f>1.97+0.79</f>
        <v>2.76</v>
      </c>
      <c r="V45" s="9">
        <v>2.75</v>
      </c>
      <c r="W45" s="9">
        <v>0</v>
      </c>
      <c r="X45" s="23">
        <v>72</v>
      </c>
      <c r="Y45" s="10">
        <f>0.79+5.37</f>
        <v>6.16</v>
      </c>
      <c r="AB45" s="22" t="s">
        <v>48</v>
      </c>
      <c r="AC45" s="8">
        <f>3.58+2.19</f>
        <v>5.77</v>
      </c>
      <c r="AD45" s="2">
        <f t="shared" si="22"/>
        <v>0.12636299999999998</v>
      </c>
      <c r="AE45" s="2">
        <f t="shared" si="23"/>
        <v>8.6549999999999995E-3</v>
      </c>
      <c r="AF45" s="2">
        <f t="shared" si="24"/>
        <v>4.2928800000000003</v>
      </c>
      <c r="AH45" s="22" t="s">
        <v>48</v>
      </c>
      <c r="AI45" s="8">
        <f>4.66+14.4</f>
        <v>19.060000000000002</v>
      </c>
      <c r="AJ45" s="2">
        <f t="shared" si="34"/>
        <v>3.4307999999999998E-2</v>
      </c>
      <c r="AK45" s="2">
        <f t="shared" si="35"/>
        <v>0</v>
      </c>
      <c r="AL45" s="2">
        <f t="shared" si="36"/>
        <v>16.258180000000003</v>
      </c>
      <c r="AN45" s="22" t="s">
        <v>48</v>
      </c>
      <c r="AO45" s="11">
        <v>11</v>
      </c>
      <c r="AP45" s="2">
        <f t="shared" ref="AP45:AP46" si="37">AO45*O45/100</f>
        <v>0.11990000000000001</v>
      </c>
      <c r="AQ45" s="2">
        <f t="shared" ref="AQ45:AQ46" si="38">AO45*P45/100</f>
        <v>7.2600000000000012E-2</v>
      </c>
      <c r="AR45" s="2">
        <f t="shared" ref="AR45:AR46" si="39">AO45*Q45/100</f>
        <v>7.6559999999999988</v>
      </c>
      <c r="AU45" s="22" t="s">
        <v>48</v>
      </c>
      <c r="AV45" s="9">
        <f>1.97+0.79</f>
        <v>2.76</v>
      </c>
      <c r="AW45" s="2">
        <f t="shared" si="28"/>
        <v>7.5899999999999995E-2</v>
      </c>
      <c r="AX45" s="2">
        <f t="shared" si="29"/>
        <v>0</v>
      </c>
      <c r="AY45" s="2">
        <f t="shared" si="30"/>
        <v>1.9871999999999996</v>
      </c>
    </row>
    <row r="46" spans="1:51" x14ac:dyDescent="0.3">
      <c r="A46" s="22" t="s">
        <v>49</v>
      </c>
      <c r="B46" s="8">
        <f>0.098+0.49</f>
        <v>0.58799999999999997</v>
      </c>
      <c r="C46" s="8">
        <v>8.11</v>
      </c>
      <c r="D46" s="8">
        <v>5.84</v>
      </c>
      <c r="E46" s="9">
        <v>35.1</v>
      </c>
      <c r="F46" s="8">
        <f>0.49+14.9</f>
        <v>15.39</v>
      </c>
      <c r="G46" s="22" t="s">
        <v>49</v>
      </c>
      <c r="H46" s="8">
        <f>0.058+0.43</f>
        <v>0.48799999999999999</v>
      </c>
      <c r="I46" s="8">
        <v>10.199999999999999</v>
      </c>
      <c r="J46" s="8">
        <v>2.88</v>
      </c>
      <c r="K46" s="10">
        <v>72.099999999999994</v>
      </c>
      <c r="L46" s="8">
        <f>0.43+17.3</f>
        <v>17.73</v>
      </c>
      <c r="M46" s="22" t="s">
        <v>49</v>
      </c>
      <c r="N46" s="11">
        <f>0.23+1.17</f>
        <v>1.4</v>
      </c>
      <c r="O46" s="9">
        <v>7.04</v>
      </c>
      <c r="P46" s="9">
        <v>1.34</v>
      </c>
      <c r="Q46" s="10">
        <v>54.5</v>
      </c>
      <c r="R46" s="10">
        <f>1.17+28.2</f>
        <v>29.369999999999997</v>
      </c>
      <c r="S46" s="9"/>
      <c r="T46" s="22" t="s">
        <v>49</v>
      </c>
      <c r="U46" s="9">
        <f>0.18+0.57</f>
        <v>0.75</v>
      </c>
      <c r="V46" s="9">
        <v>20.9</v>
      </c>
      <c r="W46" s="9">
        <v>4</v>
      </c>
      <c r="X46" s="23">
        <v>44.3</v>
      </c>
      <c r="Y46" s="10">
        <f>0.57+11.3</f>
        <v>11.870000000000001</v>
      </c>
      <c r="AB46" s="22" t="s">
        <v>49</v>
      </c>
      <c r="AC46" s="8">
        <f>0.098+0.49</f>
        <v>0.58799999999999997</v>
      </c>
      <c r="AD46" s="2">
        <f t="shared" si="22"/>
        <v>4.7686800000000001E-2</v>
      </c>
      <c r="AE46" s="2">
        <f t="shared" si="23"/>
        <v>3.4339199999999993E-2</v>
      </c>
      <c r="AF46" s="2">
        <f t="shared" si="24"/>
        <v>0.20638799999999999</v>
      </c>
      <c r="AH46" s="22" t="s">
        <v>49</v>
      </c>
      <c r="AI46" s="8">
        <f>0.058+0.43</f>
        <v>0.48799999999999999</v>
      </c>
      <c r="AJ46" s="2">
        <f t="shared" si="34"/>
        <v>4.9776000000000001E-2</v>
      </c>
      <c r="AK46" s="2">
        <f t="shared" si="35"/>
        <v>1.40544E-2</v>
      </c>
      <c r="AL46" s="2">
        <f t="shared" si="36"/>
        <v>0.35184799999999994</v>
      </c>
      <c r="AN46" s="22" t="s">
        <v>49</v>
      </c>
      <c r="AO46" s="11">
        <v>28.2</v>
      </c>
      <c r="AP46" s="2">
        <f t="shared" si="37"/>
        <v>1.9852799999999999</v>
      </c>
      <c r="AQ46" s="2">
        <f t="shared" si="38"/>
        <v>0.37788000000000005</v>
      </c>
      <c r="AR46" s="2">
        <f t="shared" si="39"/>
        <v>15.368999999999998</v>
      </c>
      <c r="AU46" s="22" t="s">
        <v>49</v>
      </c>
      <c r="AV46" s="9">
        <f>0.18+0.57</f>
        <v>0.75</v>
      </c>
      <c r="AW46" s="2">
        <f t="shared" si="28"/>
        <v>0.15675</v>
      </c>
      <c r="AX46" s="2">
        <f t="shared" si="29"/>
        <v>0.03</v>
      </c>
      <c r="AY46" s="2">
        <f t="shared" si="30"/>
        <v>0.33224999999999993</v>
      </c>
    </row>
    <row r="47" spans="1:51" x14ac:dyDescent="0.3">
      <c r="A47" s="22" t="s">
        <v>50</v>
      </c>
      <c r="B47" s="8">
        <f>0.29+1.45</f>
        <v>1.74</v>
      </c>
      <c r="C47" s="8">
        <v>10.1</v>
      </c>
      <c r="D47" s="8">
        <v>2.9</v>
      </c>
      <c r="E47" s="9">
        <v>55.2</v>
      </c>
      <c r="F47" s="8">
        <f>1.45+20.4</f>
        <v>21.849999999999998</v>
      </c>
      <c r="G47" s="22" t="s">
        <v>50</v>
      </c>
      <c r="H47" s="8">
        <f>0.12+1</f>
        <v>1.1200000000000001</v>
      </c>
      <c r="I47" s="8">
        <v>5.89</v>
      </c>
      <c r="J47" s="8">
        <v>0.79</v>
      </c>
      <c r="K47" s="10">
        <v>79.5</v>
      </c>
      <c r="L47" s="8">
        <f>1+19.5</f>
        <v>20.5</v>
      </c>
      <c r="M47" s="22" t="s">
        <v>50</v>
      </c>
      <c r="N47" s="11">
        <f>0.11+1.02</f>
        <v>1.1300000000000001</v>
      </c>
      <c r="O47" s="15"/>
      <c r="P47" s="15"/>
      <c r="Q47" s="15"/>
      <c r="R47" s="10">
        <f>1.02+14.2</f>
        <v>15.219999999999999</v>
      </c>
      <c r="S47" s="9"/>
      <c r="T47" s="22" t="s">
        <v>50</v>
      </c>
      <c r="U47" s="9">
        <f>0.2+1.65</f>
        <v>1.8499999999999999</v>
      </c>
      <c r="V47" s="9">
        <v>9.48</v>
      </c>
      <c r="W47" s="9">
        <v>0.35</v>
      </c>
      <c r="X47" s="23">
        <v>75.400000000000006</v>
      </c>
      <c r="Y47" s="10">
        <f>1.65+19.9</f>
        <v>21.549999999999997</v>
      </c>
      <c r="AB47" s="22" t="s">
        <v>50</v>
      </c>
      <c r="AC47" s="8">
        <f>0.29+1.45</f>
        <v>1.74</v>
      </c>
      <c r="AD47" s="2">
        <f t="shared" si="22"/>
        <v>0.17573999999999998</v>
      </c>
      <c r="AE47" s="2">
        <f t="shared" si="23"/>
        <v>5.0460000000000005E-2</v>
      </c>
      <c r="AF47" s="2">
        <f t="shared" si="24"/>
        <v>0.96048</v>
      </c>
      <c r="AH47" s="22" t="s">
        <v>50</v>
      </c>
      <c r="AI47" s="8">
        <f>0.12+1</f>
        <v>1.1200000000000001</v>
      </c>
      <c r="AJ47" s="2">
        <f t="shared" si="34"/>
        <v>6.5967999999999999E-2</v>
      </c>
      <c r="AK47" s="2">
        <f t="shared" si="35"/>
        <v>8.8480000000000017E-3</v>
      </c>
      <c r="AL47" s="2">
        <f t="shared" si="36"/>
        <v>0.89040000000000008</v>
      </c>
      <c r="AN47" s="22" t="s">
        <v>50</v>
      </c>
      <c r="AO47" s="11">
        <v>14.2</v>
      </c>
      <c r="AP47" s="15"/>
      <c r="AQ47" s="15"/>
      <c r="AR47" s="15"/>
      <c r="AU47" s="22" t="s">
        <v>50</v>
      </c>
      <c r="AV47" s="9">
        <f>0.2+1.65</f>
        <v>1.8499999999999999</v>
      </c>
      <c r="AW47" s="2">
        <f t="shared" si="28"/>
        <v>0.17538000000000001</v>
      </c>
      <c r="AX47" s="2">
        <f t="shared" si="29"/>
        <v>6.4749999999999999E-3</v>
      </c>
      <c r="AY47" s="2">
        <f t="shared" si="30"/>
        <v>1.3949</v>
      </c>
    </row>
    <row r="48" spans="1:51" x14ac:dyDescent="0.3">
      <c r="A48" s="22" t="s">
        <v>51</v>
      </c>
      <c r="B48" s="8">
        <f>0.2+0.72</f>
        <v>0.91999999999999993</v>
      </c>
      <c r="C48" s="8">
        <v>13.4</v>
      </c>
      <c r="D48" s="8">
        <v>9.73</v>
      </c>
      <c r="E48" s="9">
        <v>48.5</v>
      </c>
      <c r="F48" s="8">
        <f>0.72+11.9</f>
        <v>12.620000000000001</v>
      </c>
      <c r="G48" s="22" t="s">
        <v>51</v>
      </c>
      <c r="H48" s="8">
        <f>0.064+0.42</f>
        <v>0.48399999999999999</v>
      </c>
      <c r="I48" s="8">
        <v>21.1</v>
      </c>
      <c r="J48" s="8">
        <v>1.35</v>
      </c>
      <c r="K48" s="10">
        <v>60.6</v>
      </c>
      <c r="L48" s="8">
        <f>0.42+13.1</f>
        <v>13.52</v>
      </c>
      <c r="M48" s="22" t="s">
        <v>51</v>
      </c>
      <c r="N48" s="15"/>
      <c r="O48" s="9">
        <v>4.2699999999999996</v>
      </c>
      <c r="P48" s="9">
        <v>0.4</v>
      </c>
      <c r="Q48" s="10">
        <v>66.2</v>
      </c>
      <c r="R48" s="15"/>
      <c r="S48" s="9"/>
      <c r="T48" s="22" t="s">
        <v>51</v>
      </c>
      <c r="U48" s="9">
        <f>0.19+1.6</f>
        <v>1.79</v>
      </c>
      <c r="V48" s="9">
        <v>1.44</v>
      </c>
      <c r="W48" s="9">
        <v>0.15</v>
      </c>
      <c r="X48" s="23">
        <v>71.7</v>
      </c>
      <c r="Y48" s="10">
        <f>1.6+25.1</f>
        <v>26.700000000000003</v>
      </c>
      <c r="AB48" s="22" t="s">
        <v>51</v>
      </c>
      <c r="AC48" s="8">
        <f>0.2+0.72</f>
        <v>0.91999999999999993</v>
      </c>
      <c r="AD48" s="2">
        <f t="shared" si="22"/>
        <v>0.12328</v>
      </c>
      <c r="AE48" s="2">
        <f t="shared" si="23"/>
        <v>8.9515999999999984E-2</v>
      </c>
      <c r="AF48" s="2">
        <f t="shared" si="24"/>
        <v>0.44619999999999999</v>
      </c>
      <c r="AH48" s="22" t="s">
        <v>51</v>
      </c>
      <c r="AI48" s="8">
        <f>0.064+0.42</f>
        <v>0.48399999999999999</v>
      </c>
      <c r="AJ48" s="2">
        <f t="shared" si="34"/>
        <v>0.10212400000000001</v>
      </c>
      <c r="AK48" s="2">
        <f t="shared" si="35"/>
        <v>6.5339999999999999E-3</v>
      </c>
      <c r="AL48" s="2">
        <f t="shared" si="36"/>
        <v>0.29330400000000001</v>
      </c>
      <c r="AN48" s="22" t="s">
        <v>51</v>
      </c>
      <c r="AO48" s="15"/>
      <c r="AP48" s="15"/>
      <c r="AQ48" s="15"/>
      <c r="AR48" s="15"/>
      <c r="AU48" s="22" t="s">
        <v>51</v>
      </c>
      <c r="AV48" s="9">
        <f>0.19+1.6</f>
        <v>1.79</v>
      </c>
      <c r="AW48" s="2">
        <f t="shared" si="28"/>
        <v>2.5776E-2</v>
      </c>
      <c r="AX48" s="2">
        <f t="shared" si="29"/>
        <v>2.6850000000000003E-3</v>
      </c>
      <c r="AY48" s="2">
        <f t="shared" si="30"/>
        <v>1.2834300000000001</v>
      </c>
    </row>
    <row r="49" spans="1:51" x14ac:dyDescent="0.3">
      <c r="A49" s="22" t="s">
        <v>52</v>
      </c>
      <c r="B49" s="8">
        <f>0.2+0.67</f>
        <v>0.87000000000000011</v>
      </c>
      <c r="C49" s="8">
        <v>15.5</v>
      </c>
      <c r="D49" s="60"/>
      <c r="E49" s="9">
        <v>19.600000000000001</v>
      </c>
      <c r="F49" s="8">
        <f>0.67+13.8</f>
        <v>14.47</v>
      </c>
      <c r="G49" s="22" t="s">
        <v>52</v>
      </c>
      <c r="H49" s="8">
        <f>0.13+0.59</f>
        <v>0.72</v>
      </c>
      <c r="I49" s="8">
        <v>12.2</v>
      </c>
      <c r="J49" s="8">
        <v>4.68</v>
      </c>
      <c r="K49" s="10">
        <v>57.4</v>
      </c>
      <c r="L49" s="8">
        <f>0.59+12.4</f>
        <v>12.99</v>
      </c>
      <c r="M49" s="22" t="s">
        <v>52</v>
      </c>
      <c r="N49" s="11">
        <f>0.23+0.68</f>
        <v>0.91</v>
      </c>
      <c r="O49" s="9">
        <v>14.3</v>
      </c>
      <c r="P49" s="9">
        <v>1.98</v>
      </c>
      <c r="Q49" s="10">
        <v>34.1</v>
      </c>
      <c r="R49" s="10">
        <f>0.68+21</f>
        <v>21.68</v>
      </c>
      <c r="S49" s="9"/>
      <c r="T49" s="22" t="s">
        <v>52</v>
      </c>
      <c r="U49" s="9">
        <f>0.11+0.67</f>
        <v>0.78</v>
      </c>
      <c r="V49" s="9">
        <v>13.4</v>
      </c>
      <c r="W49" s="9">
        <v>3.24</v>
      </c>
      <c r="X49" s="23">
        <v>48.6</v>
      </c>
      <c r="Y49" s="10">
        <f>0.67+22.3</f>
        <v>22.970000000000002</v>
      </c>
      <c r="AB49" s="22" t="s">
        <v>52</v>
      </c>
      <c r="AC49" s="8">
        <f>0.2+0.67</f>
        <v>0.87000000000000011</v>
      </c>
      <c r="AD49" s="2">
        <f t="shared" si="22"/>
        <v>0.13485000000000003</v>
      </c>
      <c r="AE49" s="83"/>
      <c r="AF49" s="2">
        <f t="shared" si="24"/>
        <v>0.17052000000000003</v>
      </c>
      <c r="AH49" s="22" t="s">
        <v>52</v>
      </c>
      <c r="AI49" s="8">
        <f>0.13+0.59</f>
        <v>0.72</v>
      </c>
      <c r="AJ49" s="2">
        <f t="shared" si="34"/>
        <v>8.7839999999999988E-2</v>
      </c>
      <c r="AK49" s="2">
        <f t="shared" si="35"/>
        <v>3.3695999999999997E-2</v>
      </c>
      <c r="AL49" s="2">
        <f t="shared" si="36"/>
        <v>0.41327999999999998</v>
      </c>
      <c r="AN49" s="22" t="s">
        <v>52</v>
      </c>
      <c r="AO49" s="11">
        <v>21</v>
      </c>
      <c r="AP49" s="2">
        <f>AO49*O49/100</f>
        <v>3.0030000000000001</v>
      </c>
      <c r="AQ49" s="2">
        <f>AO49*P49/100</f>
        <v>0.4158</v>
      </c>
      <c r="AR49" s="2">
        <f>AO49*Q49/100</f>
        <v>7.1610000000000005</v>
      </c>
      <c r="AU49" s="22" t="s">
        <v>52</v>
      </c>
      <c r="AV49" s="9">
        <f>0.11+0.67</f>
        <v>0.78</v>
      </c>
      <c r="AW49" s="2">
        <f t="shared" si="28"/>
        <v>0.10452</v>
      </c>
      <c r="AX49" s="2">
        <f t="shared" si="29"/>
        <v>2.5272000000000003E-2</v>
      </c>
      <c r="AY49" s="2">
        <f t="shared" si="30"/>
        <v>0.37908000000000003</v>
      </c>
    </row>
    <row r="50" spans="1:51" x14ac:dyDescent="0.3">
      <c r="A50" s="22" t="s">
        <v>53</v>
      </c>
      <c r="B50" s="24"/>
      <c r="C50" s="8">
        <v>10.3</v>
      </c>
      <c r="D50" s="8">
        <v>3.42</v>
      </c>
      <c r="E50" s="9">
        <v>70.900000000000006</v>
      </c>
      <c r="F50" s="15"/>
      <c r="G50" s="22" t="s">
        <v>53</v>
      </c>
      <c r="H50" s="24"/>
      <c r="I50" s="8">
        <v>16.2</v>
      </c>
      <c r="J50" s="8">
        <v>5.24</v>
      </c>
      <c r="K50" s="10">
        <v>61.3</v>
      </c>
      <c r="L50" s="60"/>
      <c r="M50" s="22" t="s">
        <v>53</v>
      </c>
      <c r="N50" s="15"/>
      <c r="O50" s="15"/>
      <c r="P50" s="15"/>
      <c r="Q50" s="15"/>
      <c r="R50" s="15"/>
      <c r="S50" s="9"/>
      <c r="T50" s="22" t="s">
        <v>53</v>
      </c>
      <c r="U50" s="15"/>
      <c r="V50" s="15"/>
      <c r="W50" s="15"/>
      <c r="X50" s="15"/>
      <c r="Y50" s="15"/>
      <c r="AB50" s="22" t="s">
        <v>53</v>
      </c>
      <c r="AC50" s="24"/>
      <c r="AD50" s="24"/>
      <c r="AE50" s="24"/>
      <c r="AF50" s="24"/>
      <c r="AH50" s="22" t="s">
        <v>53</v>
      </c>
      <c r="AI50" s="24"/>
      <c r="AJ50" s="16"/>
      <c r="AK50" s="16"/>
      <c r="AL50" s="16"/>
      <c r="AN50" s="22" t="s">
        <v>53</v>
      </c>
      <c r="AO50" s="15"/>
      <c r="AP50" s="15"/>
      <c r="AQ50" s="15"/>
      <c r="AR50" s="15"/>
      <c r="AU50" s="22" t="s">
        <v>53</v>
      </c>
      <c r="AV50" s="15"/>
      <c r="AW50" s="15"/>
      <c r="AX50" s="15"/>
      <c r="AY50" s="15"/>
    </row>
    <row r="51" spans="1:51" x14ac:dyDescent="0.3">
      <c r="A51" s="22" t="s">
        <v>54</v>
      </c>
      <c r="B51" s="22">
        <f>0.17+0.31</f>
        <v>0.48</v>
      </c>
      <c r="C51" s="8">
        <v>9.19</v>
      </c>
      <c r="D51" s="8">
        <v>2.78</v>
      </c>
      <c r="E51" s="9">
        <v>19.100000000000001</v>
      </c>
      <c r="F51" s="8">
        <f>0.31+16.9</f>
        <v>17.209999999999997</v>
      </c>
      <c r="G51" s="22" t="s">
        <v>54</v>
      </c>
      <c r="H51" s="22">
        <f>0.037+0.11</f>
        <v>0.14699999999999999</v>
      </c>
      <c r="I51" s="8">
        <v>4.0999999999999996</v>
      </c>
      <c r="J51" s="8">
        <v>1.85</v>
      </c>
      <c r="K51" s="10">
        <v>29.2</v>
      </c>
      <c r="L51" s="8">
        <f>0.11+15.6</f>
        <v>15.709999999999999</v>
      </c>
      <c r="M51" s="22" t="s">
        <v>54</v>
      </c>
      <c r="N51" s="22">
        <f>0.11+0.26</f>
        <v>0.37</v>
      </c>
      <c r="O51" s="9">
        <v>7.97</v>
      </c>
      <c r="P51" s="9">
        <v>2.85</v>
      </c>
      <c r="Q51" s="10">
        <v>24.6</v>
      </c>
      <c r="R51" s="10">
        <f>0.26+24.5</f>
        <v>24.76</v>
      </c>
      <c r="S51" s="9"/>
      <c r="T51" s="22" t="s">
        <v>54</v>
      </c>
      <c r="U51" s="22">
        <f>0.074+0.29</f>
        <v>0.36399999999999999</v>
      </c>
      <c r="V51" s="9">
        <v>11</v>
      </c>
      <c r="W51" s="9">
        <v>4.37</v>
      </c>
      <c r="X51" s="23">
        <v>36.6</v>
      </c>
      <c r="Y51" s="10">
        <f>0.29+10.6</f>
        <v>10.889999999999999</v>
      </c>
      <c r="AB51" s="22" t="s">
        <v>54</v>
      </c>
      <c r="AC51" s="22">
        <f>0.17+0.31</f>
        <v>0.48</v>
      </c>
      <c r="AD51" s="2">
        <f t="shared" si="22"/>
        <v>4.4111999999999998E-2</v>
      </c>
      <c r="AE51" s="2">
        <f t="shared" si="23"/>
        <v>1.3343999999999998E-2</v>
      </c>
      <c r="AF51" s="2">
        <f t="shared" si="24"/>
        <v>9.1680000000000011E-2</v>
      </c>
      <c r="AH51" s="22" t="s">
        <v>54</v>
      </c>
      <c r="AI51" s="22">
        <f>0.037+0.11</f>
        <v>0.14699999999999999</v>
      </c>
      <c r="AJ51" s="2">
        <f>AI51*I51/100</f>
        <v>6.0269999999999994E-3</v>
      </c>
      <c r="AK51" s="2">
        <f>AI51*J51/100</f>
        <v>2.7195000000000001E-3</v>
      </c>
      <c r="AL51" s="2">
        <f>AI51*K51/100</f>
        <v>4.2923999999999997E-2</v>
      </c>
      <c r="AN51" s="22" t="s">
        <v>54</v>
      </c>
      <c r="AO51" s="22">
        <f>0.11+0.26</f>
        <v>0.37</v>
      </c>
      <c r="AP51" s="2">
        <f>AO51*O51/100</f>
        <v>2.9489000000000001E-2</v>
      </c>
      <c r="AQ51" s="2">
        <f>AO51*P51/100</f>
        <v>1.0545000000000001E-2</v>
      </c>
      <c r="AR51" s="2">
        <f>AO51*Q51/100</f>
        <v>9.1020000000000004E-2</v>
      </c>
      <c r="AU51" s="22" t="s">
        <v>54</v>
      </c>
      <c r="AV51" s="22">
        <f>0.074+0.29</f>
        <v>0.36399999999999999</v>
      </c>
      <c r="AW51" s="2">
        <f t="shared" si="28"/>
        <v>4.0039999999999992E-2</v>
      </c>
      <c r="AX51" s="2">
        <f t="shared" si="29"/>
        <v>1.5906800000000002E-2</v>
      </c>
      <c r="AY51" s="2">
        <f t="shared" si="30"/>
        <v>0.13322400000000001</v>
      </c>
    </row>
    <row r="52" spans="1:51" x14ac:dyDescent="0.3">
      <c r="A52" s="22" t="s">
        <v>55</v>
      </c>
      <c r="B52" s="22">
        <f>0.12+0.22</f>
        <v>0.33999999999999997</v>
      </c>
      <c r="C52" s="8">
        <v>13.2</v>
      </c>
      <c r="D52" s="8">
        <v>7.36</v>
      </c>
      <c r="E52" s="9">
        <v>22.2</v>
      </c>
      <c r="F52" s="8">
        <f>0.22+11.3</f>
        <v>11.520000000000001</v>
      </c>
      <c r="G52" s="22" t="s">
        <v>55</v>
      </c>
      <c r="H52" s="22">
        <f>0.032+0.16</f>
        <v>0.192</v>
      </c>
      <c r="I52" s="16"/>
      <c r="J52" s="16"/>
      <c r="K52" s="18"/>
      <c r="L52" s="8">
        <f>0.16+2.86</f>
        <v>3.02</v>
      </c>
      <c r="M52" s="22" t="s">
        <v>55</v>
      </c>
      <c r="N52" s="22">
        <f>0.057+0.16</f>
        <v>0.217</v>
      </c>
      <c r="O52" s="17"/>
      <c r="P52" s="17"/>
      <c r="Q52" s="18"/>
      <c r="R52" s="10">
        <f>0.16+10.5</f>
        <v>10.66</v>
      </c>
      <c r="S52" s="9"/>
      <c r="T52" s="22" t="s">
        <v>55</v>
      </c>
      <c r="U52" s="22">
        <f>0.04+0.16</f>
        <v>0.2</v>
      </c>
      <c r="V52" s="17"/>
      <c r="W52" s="17"/>
      <c r="X52" s="26"/>
      <c r="Y52" s="10">
        <f>0.16+7.7</f>
        <v>7.86</v>
      </c>
      <c r="AB52" s="22" t="s">
        <v>55</v>
      </c>
      <c r="AC52" s="22">
        <f>0.12+0.22</f>
        <v>0.33999999999999997</v>
      </c>
      <c r="AD52" s="2">
        <f t="shared" si="22"/>
        <v>4.4879999999999996E-2</v>
      </c>
      <c r="AE52" s="2">
        <f t="shared" si="23"/>
        <v>2.5023999999999998E-2</v>
      </c>
      <c r="AF52" s="2">
        <f t="shared" si="24"/>
        <v>7.5479999999999992E-2</v>
      </c>
      <c r="AH52" s="22" t="s">
        <v>55</v>
      </c>
      <c r="AI52" s="22">
        <f>0.032+0.16</f>
        <v>0.192</v>
      </c>
      <c r="AJ52" s="16"/>
      <c r="AK52" s="16"/>
      <c r="AL52" s="16"/>
      <c r="AN52" s="22" t="s">
        <v>55</v>
      </c>
      <c r="AO52" s="22">
        <f>0.057+0.16</f>
        <v>0.217</v>
      </c>
      <c r="AP52" s="15"/>
      <c r="AQ52" s="15"/>
      <c r="AR52" s="15"/>
      <c r="AU52" s="22" t="s">
        <v>55</v>
      </c>
      <c r="AV52" s="22">
        <f>0.04+0.16</f>
        <v>0.2</v>
      </c>
      <c r="AW52" s="15"/>
      <c r="AX52" s="15"/>
      <c r="AY52" s="15"/>
    </row>
    <row r="53" spans="1:51" x14ac:dyDescent="0.3">
      <c r="A53" s="22" t="s">
        <v>56</v>
      </c>
      <c r="B53" s="22">
        <f>0.15+0.38</f>
        <v>0.53</v>
      </c>
      <c r="C53" s="8">
        <v>12.9</v>
      </c>
      <c r="D53" s="8">
        <v>8.56</v>
      </c>
      <c r="E53" s="9">
        <v>34.700000000000003</v>
      </c>
      <c r="F53" s="8">
        <f>0.38+12</f>
        <v>12.38</v>
      </c>
      <c r="G53" s="22" t="s">
        <v>56</v>
      </c>
      <c r="H53" s="22">
        <f>0.14+0.48</f>
        <v>0.62</v>
      </c>
      <c r="I53" s="8">
        <v>24.4</v>
      </c>
      <c r="J53" s="8">
        <v>4.91</v>
      </c>
      <c r="K53" s="10">
        <v>32.700000000000003</v>
      </c>
      <c r="L53" s="8">
        <f>0.48+16</f>
        <v>16.48</v>
      </c>
      <c r="M53" s="22" t="s">
        <v>56</v>
      </c>
      <c r="N53" s="22">
        <f>0.13+0.26</f>
        <v>0.39</v>
      </c>
      <c r="O53" s="9">
        <v>16.7</v>
      </c>
      <c r="P53" s="9">
        <v>5.97</v>
      </c>
      <c r="Q53" s="10">
        <v>24.9</v>
      </c>
      <c r="R53" s="10">
        <f>0.26+9.32</f>
        <v>9.58</v>
      </c>
      <c r="S53" s="9"/>
      <c r="T53" s="22" t="s">
        <v>56</v>
      </c>
      <c r="U53" s="22">
        <f>0.13+0.38</f>
        <v>0.51</v>
      </c>
      <c r="V53" s="9">
        <v>22.7</v>
      </c>
      <c r="W53" s="9">
        <v>4.37</v>
      </c>
      <c r="X53" s="80"/>
      <c r="Y53" s="10">
        <f>0.38+16.4</f>
        <v>16.779999999999998</v>
      </c>
      <c r="AB53" s="22" t="s">
        <v>56</v>
      </c>
      <c r="AC53" s="22">
        <f>0.15+0.38</f>
        <v>0.53</v>
      </c>
      <c r="AD53" s="2">
        <f t="shared" si="22"/>
        <v>6.837E-2</v>
      </c>
      <c r="AE53" s="2">
        <f t="shared" si="23"/>
        <v>4.5368000000000006E-2</v>
      </c>
      <c r="AF53" s="2">
        <f t="shared" si="24"/>
        <v>0.18391000000000002</v>
      </c>
      <c r="AH53" s="22" t="s">
        <v>56</v>
      </c>
      <c r="AI53" s="22">
        <f>0.14+0.48</f>
        <v>0.62</v>
      </c>
      <c r="AJ53" s="2">
        <f>AI53*I53/100</f>
        <v>0.15127999999999997</v>
      </c>
      <c r="AK53" s="2">
        <f>AI53*J53/100</f>
        <v>3.0442E-2</v>
      </c>
      <c r="AL53" s="2">
        <f>AI53*K53/100</f>
        <v>0.20274</v>
      </c>
      <c r="AN53" s="22" t="s">
        <v>56</v>
      </c>
      <c r="AO53" s="22">
        <f>0.13+0.26</f>
        <v>0.39</v>
      </c>
      <c r="AP53" s="2">
        <f>AO53*O53/100</f>
        <v>6.5129999999999993E-2</v>
      </c>
      <c r="AQ53" s="2">
        <f>AO53*P53/100</f>
        <v>2.3283000000000002E-2</v>
      </c>
      <c r="AR53" s="2">
        <f>AO53*Q53/100</f>
        <v>9.7110000000000002E-2</v>
      </c>
      <c r="AU53" s="22" t="s">
        <v>56</v>
      </c>
      <c r="AV53" s="22">
        <f>0.13+0.38</f>
        <v>0.51</v>
      </c>
      <c r="AW53" s="2">
        <f t="shared" si="28"/>
        <v>0.11577</v>
      </c>
      <c r="AX53" s="2">
        <f t="shared" si="29"/>
        <v>2.2286999999999998E-2</v>
      </c>
      <c r="AY53" s="83"/>
    </row>
    <row r="54" spans="1:51" x14ac:dyDescent="0.3">
      <c r="A54" s="22" t="s">
        <v>57</v>
      </c>
      <c r="B54" s="22">
        <f>0.15+0.25</f>
        <v>0.4</v>
      </c>
      <c r="C54" s="8">
        <v>5.0599999999999996</v>
      </c>
      <c r="D54" s="8">
        <v>3.48</v>
      </c>
      <c r="E54" s="9">
        <v>23.3</v>
      </c>
      <c r="F54" s="8">
        <f>0.25+13.1</f>
        <v>13.35</v>
      </c>
      <c r="G54" s="22" t="s">
        <v>57</v>
      </c>
      <c r="H54" s="22">
        <f>0.079+0.2</f>
        <v>0.27900000000000003</v>
      </c>
      <c r="I54" s="16"/>
      <c r="J54" s="16"/>
      <c r="K54" s="18"/>
      <c r="L54" s="8">
        <f>0.2+20.4</f>
        <v>20.599999999999998</v>
      </c>
      <c r="M54" s="22" t="s">
        <v>57</v>
      </c>
      <c r="N54" s="22">
        <f>0.11+0.51</f>
        <v>0.62</v>
      </c>
      <c r="O54" s="17"/>
      <c r="P54" s="17"/>
      <c r="Q54" s="18"/>
      <c r="R54" s="10">
        <f>0.51+32.5</f>
        <v>33.01</v>
      </c>
      <c r="S54" s="9"/>
      <c r="T54" s="22" t="s">
        <v>57</v>
      </c>
      <c r="U54" s="22">
        <f>0.13+0.11</f>
        <v>0.24</v>
      </c>
      <c r="V54" s="17"/>
      <c r="W54" s="17"/>
      <c r="X54" s="26"/>
      <c r="Y54" s="10">
        <f>0.11+14.9</f>
        <v>15.01</v>
      </c>
      <c r="AB54" s="22" t="s">
        <v>57</v>
      </c>
      <c r="AC54" s="22">
        <f>0.15+0.25</f>
        <v>0.4</v>
      </c>
      <c r="AD54" s="2">
        <f t="shared" si="22"/>
        <v>2.0240000000000001E-2</v>
      </c>
      <c r="AE54" s="2">
        <f t="shared" si="23"/>
        <v>1.3920000000000002E-2</v>
      </c>
      <c r="AF54" s="2">
        <f t="shared" si="24"/>
        <v>9.3200000000000005E-2</v>
      </c>
      <c r="AH54" s="22" t="s">
        <v>57</v>
      </c>
      <c r="AI54" s="22">
        <f>0.079+0.2</f>
        <v>0.27900000000000003</v>
      </c>
      <c r="AJ54" s="16"/>
      <c r="AK54" s="16"/>
      <c r="AL54" s="16"/>
      <c r="AN54" s="22" t="s">
        <v>57</v>
      </c>
      <c r="AO54" s="22">
        <f>0.11+0.51</f>
        <v>0.62</v>
      </c>
      <c r="AP54" s="15"/>
      <c r="AQ54" s="15"/>
      <c r="AR54" s="15"/>
      <c r="AU54" s="22" t="s">
        <v>57</v>
      </c>
      <c r="AV54" s="22">
        <f>0.13+0.11</f>
        <v>0.24</v>
      </c>
      <c r="AW54" s="15"/>
      <c r="AX54" s="15"/>
      <c r="AY54" s="15"/>
    </row>
    <row r="55" spans="1:51" x14ac:dyDescent="0.3">
      <c r="A55" s="22" t="s">
        <v>58</v>
      </c>
      <c r="B55" s="22">
        <f>0.21+0.44</f>
        <v>0.65</v>
      </c>
      <c r="C55" s="8">
        <v>13.5</v>
      </c>
      <c r="D55" s="8">
        <v>9.07</v>
      </c>
      <c r="E55" s="9">
        <v>34.4</v>
      </c>
      <c r="F55" s="8">
        <f>0.44+13</f>
        <v>13.44</v>
      </c>
      <c r="G55" s="22" t="s">
        <v>58</v>
      </c>
      <c r="H55" s="22">
        <f>0.12+0.33</f>
        <v>0.45</v>
      </c>
      <c r="I55" s="8">
        <v>27.8</v>
      </c>
      <c r="J55" s="8">
        <v>3.59</v>
      </c>
      <c r="K55" s="10">
        <v>30.9</v>
      </c>
      <c r="L55" s="8">
        <f>0.33+11.1</f>
        <v>11.43</v>
      </c>
      <c r="M55" s="22" t="s">
        <v>58</v>
      </c>
      <c r="N55" s="22">
        <f>0.092+0.24</f>
        <v>0.33199999999999996</v>
      </c>
      <c r="O55" s="9">
        <v>10.1</v>
      </c>
      <c r="P55" s="9">
        <v>2.48</v>
      </c>
      <c r="Q55" s="10">
        <v>42.3</v>
      </c>
      <c r="R55" s="10">
        <f>0.24+17.4</f>
        <v>17.639999999999997</v>
      </c>
      <c r="S55" s="9"/>
      <c r="T55" s="22" t="s">
        <v>58</v>
      </c>
      <c r="U55" s="22">
        <f>0.08+0.28</f>
        <v>0.36000000000000004</v>
      </c>
      <c r="V55" s="9">
        <v>21</v>
      </c>
      <c r="W55" s="9">
        <v>3</v>
      </c>
      <c r="X55" s="23">
        <v>41.8</v>
      </c>
      <c r="Y55" s="10">
        <f>1.67+2.66</f>
        <v>4.33</v>
      </c>
      <c r="AB55" s="22" t="s">
        <v>58</v>
      </c>
      <c r="AC55" s="22">
        <f>0.21+0.44</f>
        <v>0.65</v>
      </c>
      <c r="AD55" s="2">
        <f t="shared" si="22"/>
        <v>8.7750000000000009E-2</v>
      </c>
      <c r="AE55" s="2">
        <f t="shared" si="23"/>
        <v>5.8955E-2</v>
      </c>
      <c r="AF55" s="2">
        <f t="shared" si="24"/>
        <v>0.22359999999999999</v>
      </c>
      <c r="AH55" s="22" t="s">
        <v>58</v>
      </c>
      <c r="AI55" s="22">
        <f>0.12+0.33</f>
        <v>0.45</v>
      </c>
      <c r="AJ55" s="2">
        <f t="shared" ref="AJ55:AJ58" si="40">AI55*I55/100</f>
        <v>0.12509999999999999</v>
      </c>
      <c r="AK55" s="2">
        <f t="shared" ref="AK55:AK58" si="41">AI55*J55/100</f>
        <v>1.6154999999999999E-2</v>
      </c>
      <c r="AL55" s="2">
        <f t="shared" ref="AL55:AL58" si="42">AI55*K55/100</f>
        <v>0.13905000000000001</v>
      </c>
      <c r="AN55" s="22" t="s">
        <v>58</v>
      </c>
      <c r="AO55" s="22">
        <f>0.092+0.24</f>
        <v>0.33199999999999996</v>
      </c>
      <c r="AP55" s="2">
        <f t="shared" ref="AP55:AP57" si="43">AO55*O55/100</f>
        <v>3.3531999999999992E-2</v>
      </c>
      <c r="AQ55" s="2">
        <f t="shared" ref="AQ55:AQ56" si="44">AO55*P55/100</f>
        <v>8.2335999999999989E-3</v>
      </c>
      <c r="AR55" s="2">
        <f t="shared" ref="AR55:AR56" si="45">AO55*Q55/100</f>
        <v>0.14043599999999998</v>
      </c>
      <c r="AU55" s="22" t="s">
        <v>58</v>
      </c>
      <c r="AV55" s="22">
        <f>0.08+0.28</f>
        <v>0.36000000000000004</v>
      </c>
      <c r="AW55" s="2">
        <f t="shared" si="28"/>
        <v>7.5600000000000001E-2</v>
      </c>
      <c r="AX55" s="2">
        <f t="shared" si="29"/>
        <v>1.0800000000000001E-2</v>
      </c>
      <c r="AY55" s="2">
        <f t="shared" si="30"/>
        <v>0.15048</v>
      </c>
    </row>
    <row r="56" spans="1:51" x14ac:dyDescent="0.3">
      <c r="A56" s="22" t="s">
        <v>59</v>
      </c>
      <c r="B56" s="22">
        <f>0.13+0.27</f>
        <v>0.4</v>
      </c>
      <c r="C56" s="8">
        <v>11.8</v>
      </c>
      <c r="D56" s="8">
        <v>8.77</v>
      </c>
      <c r="E56" s="9">
        <v>34.799999999999997</v>
      </c>
      <c r="F56" s="8">
        <f>0.27+14.3</f>
        <v>14.57</v>
      </c>
      <c r="G56" s="22" t="s">
        <v>59</v>
      </c>
      <c r="H56" s="22">
        <f>0.26+1.6</f>
        <v>1.86</v>
      </c>
      <c r="I56" s="8">
        <v>25.2</v>
      </c>
      <c r="J56" s="8">
        <v>2.0299999999999998</v>
      </c>
      <c r="K56" s="10">
        <v>48.4</v>
      </c>
      <c r="L56" s="60"/>
      <c r="M56" s="22" t="s">
        <v>59</v>
      </c>
      <c r="N56" s="22">
        <f>0.14+0.3</f>
        <v>0.44</v>
      </c>
      <c r="O56" s="9">
        <v>9.58</v>
      </c>
      <c r="P56" s="9">
        <v>4.91</v>
      </c>
      <c r="Q56" s="10">
        <v>32.799999999999997</v>
      </c>
      <c r="R56" s="10">
        <f>0.3+16.8</f>
        <v>17.100000000000001</v>
      </c>
      <c r="S56" s="9"/>
      <c r="T56" s="22" t="s">
        <v>59</v>
      </c>
      <c r="U56" s="22">
        <f>0.084+1.05</f>
        <v>1.1340000000000001</v>
      </c>
      <c r="V56" s="9">
        <v>17</v>
      </c>
      <c r="W56" s="9">
        <v>3.23</v>
      </c>
      <c r="X56" s="23">
        <v>65</v>
      </c>
      <c r="Y56" s="65"/>
      <c r="AB56" s="22" t="s">
        <v>59</v>
      </c>
      <c r="AC56" s="22">
        <f>0.13+0.27</f>
        <v>0.4</v>
      </c>
      <c r="AD56" s="2">
        <f t="shared" si="22"/>
        <v>4.7200000000000006E-2</v>
      </c>
      <c r="AE56" s="2">
        <f t="shared" si="23"/>
        <v>3.508E-2</v>
      </c>
      <c r="AF56" s="2">
        <f t="shared" si="24"/>
        <v>0.13919999999999999</v>
      </c>
      <c r="AH56" s="22" t="s">
        <v>59</v>
      </c>
      <c r="AI56" s="22">
        <f>0.26+1.6</f>
        <v>1.86</v>
      </c>
      <c r="AJ56" s="2">
        <f t="shared" si="40"/>
        <v>0.46872000000000003</v>
      </c>
      <c r="AK56" s="2">
        <f t="shared" si="41"/>
        <v>3.7758E-2</v>
      </c>
      <c r="AL56" s="2">
        <f t="shared" si="42"/>
        <v>0.90024000000000004</v>
      </c>
      <c r="AN56" s="22" t="s">
        <v>59</v>
      </c>
      <c r="AO56" s="22">
        <f>0.14+0.3</f>
        <v>0.44</v>
      </c>
      <c r="AP56" s="2">
        <f t="shared" si="43"/>
        <v>4.2152000000000002E-2</v>
      </c>
      <c r="AQ56" s="2">
        <f t="shared" si="44"/>
        <v>2.1604000000000002E-2</v>
      </c>
      <c r="AR56" s="2">
        <f t="shared" si="45"/>
        <v>0.14431999999999998</v>
      </c>
      <c r="AU56" s="22" t="s">
        <v>59</v>
      </c>
      <c r="AV56" s="22">
        <f>0.084+1.05</f>
        <v>1.1340000000000001</v>
      </c>
      <c r="AW56" s="2">
        <f t="shared" si="28"/>
        <v>0.19278000000000003</v>
      </c>
      <c r="AX56" s="2">
        <f t="shared" si="29"/>
        <v>3.6628200000000007E-2</v>
      </c>
      <c r="AY56" s="2">
        <f t="shared" si="30"/>
        <v>0.73710000000000009</v>
      </c>
    </row>
    <row r="57" spans="1:51" x14ac:dyDescent="0.3">
      <c r="A57" s="22" t="s">
        <v>60</v>
      </c>
      <c r="B57" s="24"/>
      <c r="C57" s="16"/>
      <c r="D57" s="16"/>
      <c r="E57" s="17"/>
      <c r="F57" s="17"/>
      <c r="G57" s="22" t="s">
        <v>60</v>
      </c>
      <c r="H57" s="22">
        <f>0.16+1.14</f>
        <v>1.2999999999999998</v>
      </c>
      <c r="I57" s="8">
        <v>29.6</v>
      </c>
      <c r="J57" s="60"/>
      <c r="K57" s="10">
        <v>31.7</v>
      </c>
      <c r="L57" s="8">
        <f>1.14+11.4</f>
        <v>12.540000000000001</v>
      </c>
      <c r="M57" s="22" t="s">
        <v>60</v>
      </c>
      <c r="N57" s="84"/>
      <c r="O57" s="9">
        <v>9.08</v>
      </c>
      <c r="P57" s="62"/>
      <c r="Q57" s="65"/>
      <c r="R57" s="10">
        <f>6.24+22.1</f>
        <v>28.340000000000003</v>
      </c>
      <c r="S57" s="9"/>
      <c r="T57" s="22" t="s">
        <v>60</v>
      </c>
      <c r="U57" s="22">
        <f>0.092+0.8</f>
        <v>0.89200000000000002</v>
      </c>
      <c r="V57" s="62"/>
      <c r="W57" s="62"/>
      <c r="X57" s="23">
        <v>38.4</v>
      </c>
      <c r="Y57" s="10">
        <f>0.8+13.2</f>
        <v>14</v>
      </c>
      <c r="AB57" s="22" t="s">
        <v>60</v>
      </c>
      <c r="AC57" s="24"/>
      <c r="AD57" s="24"/>
      <c r="AE57" s="24"/>
      <c r="AF57" s="24"/>
      <c r="AH57" s="22" t="s">
        <v>60</v>
      </c>
      <c r="AI57" s="22">
        <f>0.16+1.14</f>
        <v>1.2999999999999998</v>
      </c>
      <c r="AJ57" s="2">
        <f t="shared" si="40"/>
        <v>0.38479999999999998</v>
      </c>
      <c r="AK57" s="83"/>
      <c r="AL57" s="2">
        <f t="shared" si="42"/>
        <v>0.41209999999999991</v>
      </c>
      <c r="AN57" s="22" t="s">
        <v>60</v>
      </c>
      <c r="AO57" s="22">
        <f>11.3+6.24</f>
        <v>17.54</v>
      </c>
      <c r="AP57" s="2">
        <f t="shared" si="43"/>
        <v>1.5926319999999998</v>
      </c>
      <c r="AQ57" s="83"/>
      <c r="AR57" s="83"/>
      <c r="AU57" s="22" t="s">
        <v>60</v>
      </c>
      <c r="AV57" s="22">
        <f>0.092+0.8</f>
        <v>0.89200000000000002</v>
      </c>
      <c r="AW57" s="83"/>
      <c r="AX57" s="83"/>
      <c r="AY57" s="2">
        <f t="shared" si="30"/>
        <v>0.342528</v>
      </c>
    </row>
    <row r="58" spans="1:51" x14ac:dyDescent="0.3">
      <c r="A58" s="22" t="s">
        <v>61</v>
      </c>
      <c r="B58" s="22">
        <f>0.15+0.39</f>
        <v>0.54</v>
      </c>
      <c r="C58" s="16"/>
      <c r="D58" s="16"/>
      <c r="E58" s="17"/>
      <c r="F58" s="9">
        <f>0.39+12.6</f>
        <v>12.99</v>
      </c>
      <c r="G58" s="22" t="s">
        <v>61</v>
      </c>
      <c r="H58" s="22">
        <f>0.12+0.41</f>
        <v>0.53</v>
      </c>
      <c r="I58" s="8">
        <v>23.9</v>
      </c>
      <c r="J58" s="8">
        <v>3.14</v>
      </c>
      <c r="K58" s="10">
        <v>30.9</v>
      </c>
      <c r="L58" s="8">
        <f>0.41+23.6</f>
        <v>24.01</v>
      </c>
      <c r="M58" s="22" t="s">
        <v>61</v>
      </c>
      <c r="N58" s="22">
        <f>0.15+0.3</f>
        <v>0.44999999999999996</v>
      </c>
      <c r="O58" s="17"/>
      <c r="P58" s="17"/>
      <c r="Q58" s="18"/>
      <c r="R58" s="9">
        <f>0.3+13.5</f>
        <v>13.8</v>
      </c>
      <c r="S58" s="9"/>
      <c r="T58" s="22" t="s">
        <v>61</v>
      </c>
      <c r="U58" s="22">
        <f>0.15+0.49</f>
        <v>0.64</v>
      </c>
      <c r="V58" s="62"/>
      <c r="W58" s="9">
        <v>6.69</v>
      </c>
      <c r="X58" s="80"/>
      <c r="Y58" s="10">
        <f>0.49+23.3</f>
        <v>23.79</v>
      </c>
      <c r="AB58" s="22" t="s">
        <v>61</v>
      </c>
      <c r="AC58" s="22">
        <f>0.15+0.39</f>
        <v>0.54</v>
      </c>
      <c r="AD58" s="24"/>
      <c r="AE58" s="24"/>
      <c r="AF58" s="24"/>
      <c r="AH58" s="22" t="s">
        <v>61</v>
      </c>
      <c r="AI58" s="22">
        <f>0.12+0.41</f>
        <v>0.53</v>
      </c>
      <c r="AJ58" s="2">
        <f t="shared" si="40"/>
        <v>0.12667</v>
      </c>
      <c r="AK58" s="2">
        <f t="shared" si="41"/>
        <v>1.6642000000000001E-2</v>
      </c>
      <c r="AL58" s="2">
        <f t="shared" si="42"/>
        <v>0.16377</v>
      </c>
      <c r="AN58" s="22" t="s">
        <v>61</v>
      </c>
      <c r="AO58" s="22">
        <f>0.15+0.3</f>
        <v>0.44999999999999996</v>
      </c>
      <c r="AP58" s="15"/>
      <c r="AQ58" s="15"/>
      <c r="AR58" s="15"/>
      <c r="AU58" s="22" t="s">
        <v>61</v>
      </c>
      <c r="AV58" s="22">
        <f>0.15+0.49</f>
        <v>0.64</v>
      </c>
      <c r="AW58" s="83"/>
      <c r="AX58" s="2">
        <f t="shared" si="29"/>
        <v>4.2816E-2</v>
      </c>
      <c r="AY58" s="83"/>
    </row>
    <row r="59" spans="1:51" x14ac:dyDescent="0.3">
      <c r="A59" s="22" t="s">
        <v>62</v>
      </c>
      <c r="B59" s="24"/>
      <c r="C59" s="16"/>
      <c r="D59" s="16"/>
      <c r="E59" s="17"/>
      <c r="F59" s="17"/>
      <c r="G59" s="22" t="s">
        <v>62</v>
      </c>
      <c r="H59" s="24"/>
      <c r="I59" s="16"/>
      <c r="J59" s="16"/>
      <c r="K59" s="18"/>
      <c r="L59" s="17"/>
      <c r="M59" s="22" t="s">
        <v>62</v>
      </c>
      <c r="N59" s="24"/>
      <c r="O59" s="17"/>
      <c r="P59" s="17"/>
      <c r="Q59" s="18"/>
      <c r="R59" s="17"/>
      <c r="S59" s="9"/>
      <c r="T59" s="22" t="s">
        <v>62</v>
      </c>
      <c r="U59" s="24"/>
      <c r="V59" s="17"/>
      <c r="W59" s="17"/>
      <c r="X59" s="26"/>
      <c r="Y59" s="17"/>
      <c r="AB59" s="22" t="s">
        <v>62</v>
      </c>
      <c r="AC59" s="24"/>
      <c r="AD59" s="24"/>
      <c r="AE59" s="24"/>
      <c r="AF59" s="24"/>
      <c r="AH59" s="22" t="s">
        <v>62</v>
      </c>
      <c r="AI59" s="24"/>
      <c r="AJ59" s="24"/>
      <c r="AK59" s="24"/>
      <c r="AL59" s="24"/>
      <c r="AN59" s="22" t="s">
        <v>62</v>
      </c>
      <c r="AO59" s="24"/>
      <c r="AP59" s="15"/>
      <c r="AQ59" s="15"/>
      <c r="AR59" s="15"/>
      <c r="AU59" s="22" t="s">
        <v>62</v>
      </c>
      <c r="AV59" s="15"/>
      <c r="AW59" s="15"/>
      <c r="AX59" s="15"/>
      <c r="AY59" s="15"/>
    </row>
    <row r="60" spans="1:51" x14ac:dyDescent="0.3">
      <c r="A60" s="22" t="s">
        <v>63</v>
      </c>
      <c r="B60" s="22">
        <f>1.6+0.46</f>
        <v>2.06</v>
      </c>
      <c r="C60" s="60"/>
      <c r="D60" s="8">
        <v>9.83</v>
      </c>
      <c r="E60" s="9">
        <v>24.2</v>
      </c>
      <c r="F60" s="8">
        <f>10.4+1.6</f>
        <v>12</v>
      </c>
      <c r="G60" s="22" t="s">
        <v>63</v>
      </c>
      <c r="H60" s="18">
        <f>0.094+0.41</f>
        <v>0.504</v>
      </c>
      <c r="I60" s="16">
        <v>0.41</v>
      </c>
      <c r="J60" s="18">
        <v>2.66</v>
      </c>
      <c r="K60" s="16">
        <v>9.4E-2</v>
      </c>
      <c r="L60" s="17">
        <f>2.66+0.41</f>
        <v>3.0700000000000003</v>
      </c>
      <c r="M60" s="22" t="s">
        <v>63</v>
      </c>
      <c r="N60" s="17">
        <f>0.27+0.92</f>
        <v>1.19</v>
      </c>
      <c r="O60" s="17">
        <v>27.5</v>
      </c>
      <c r="P60" s="17">
        <v>12.5</v>
      </c>
      <c r="Q60" s="17">
        <v>46.3</v>
      </c>
      <c r="R60" s="17">
        <f>6.04+0.92</f>
        <v>6.96</v>
      </c>
      <c r="S60" s="9"/>
      <c r="T60" s="22" t="s">
        <v>63</v>
      </c>
      <c r="U60" s="22">
        <f>0.26+1.38</f>
        <v>1.64</v>
      </c>
      <c r="V60" s="9">
        <v>15.3</v>
      </c>
      <c r="W60" s="9">
        <v>7.24</v>
      </c>
      <c r="X60" s="23">
        <v>53.6</v>
      </c>
      <c r="Y60" s="10">
        <f>5.55+1.38</f>
        <v>6.93</v>
      </c>
      <c r="AB60" s="22" t="s">
        <v>63</v>
      </c>
      <c r="AC60" s="22">
        <v>2.31</v>
      </c>
      <c r="AD60" s="83"/>
      <c r="AE60" s="2">
        <f t="shared" si="23"/>
        <v>0.227073</v>
      </c>
      <c r="AF60" s="2">
        <f t="shared" si="24"/>
        <v>0.49851999999999996</v>
      </c>
      <c r="AH60" s="22" t="s">
        <v>63</v>
      </c>
      <c r="AI60" s="18">
        <v>0.19</v>
      </c>
      <c r="AJ60" s="16">
        <f>AI60*I60/100</f>
        <v>7.7899999999999996E-4</v>
      </c>
      <c r="AK60" s="16">
        <f>AI60*J60/100</f>
        <v>5.0540000000000003E-3</v>
      </c>
      <c r="AL60" s="16">
        <f>AI60*K60/100</f>
        <v>1.786E-4</v>
      </c>
      <c r="AN60" s="22" t="s">
        <v>63</v>
      </c>
      <c r="AO60" s="17">
        <v>0.65</v>
      </c>
      <c r="AP60" s="17">
        <f>AO60*O60/100</f>
        <v>0.17874999999999999</v>
      </c>
      <c r="AQ60" s="17">
        <f>AO60*P60/100</f>
        <v>8.1250000000000003E-2</v>
      </c>
      <c r="AR60" s="17">
        <f>AO60*Q60/100</f>
        <v>0.30095</v>
      </c>
      <c r="AU60" s="22" t="s">
        <v>63</v>
      </c>
      <c r="AV60" s="15">
        <v>1.28</v>
      </c>
      <c r="AW60" s="15">
        <f t="shared" si="28"/>
        <v>0.19583999999999999</v>
      </c>
      <c r="AX60" s="15">
        <f t="shared" si="29"/>
        <v>9.2672000000000004E-2</v>
      </c>
      <c r="AY60" s="15">
        <f t="shared" si="30"/>
        <v>0.68608000000000002</v>
      </c>
    </row>
    <row r="61" spans="1:51" x14ac:dyDescent="0.3">
      <c r="A61" s="22" t="s">
        <v>64</v>
      </c>
      <c r="B61" s="17"/>
      <c r="C61" s="17"/>
      <c r="D61" s="17"/>
      <c r="E61" s="17"/>
      <c r="F61" s="17"/>
      <c r="G61" s="22" t="s">
        <v>64</v>
      </c>
      <c r="H61" s="17"/>
      <c r="I61" s="17"/>
      <c r="J61" s="17"/>
      <c r="K61" s="17"/>
      <c r="L61" s="17"/>
      <c r="M61" s="22" t="s">
        <v>64</v>
      </c>
      <c r="N61" s="17"/>
      <c r="O61" s="17"/>
      <c r="P61" s="17"/>
      <c r="Q61" s="17"/>
      <c r="R61" s="17"/>
      <c r="S61" s="9"/>
      <c r="T61" s="22" t="s">
        <v>64</v>
      </c>
      <c r="U61" s="17"/>
      <c r="V61" s="17"/>
      <c r="W61" s="17"/>
      <c r="X61" s="17"/>
      <c r="Y61" s="17"/>
      <c r="AB61" s="22" t="s">
        <v>64</v>
      </c>
      <c r="AC61" s="17"/>
      <c r="AD61" s="17"/>
      <c r="AE61" s="17"/>
      <c r="AF61" s="17"/>
      <c r="AH61" s="22" t="s">
        <v>64</v>
      </c>
      <c r="AI61" s="17"/>
      <c r="AJ61" s="24"/>
      <c r="AK61" s="24"/>
      <c r="AL61" s="24"/>
      <c r="AN61" s="22" t="s">
        <v>64</v>
      </c>
      <c r="AO61" s="17"/>
      <c r="AP61" s="15"/>
      <c r="AQ61" s="15"/>
      <c r="AR61" s="15"/>
      <c r="AU61" s="22" t="s">
        <v>64</v>
      </c>
      <c r="AV61" s="15"/>
      <c r="AW61" s="15"/>
      <c r="AX61" s="15"/>
      <c r="AY61" s="15"/>
    </row>
    <row r="62" spans="1:51" x14ac:dyDescent="0.3">
      <c r="A62" s="22" t="s">
        <v>65</v>
      </c>
      <c r="B62" s="17"/>
      <c r="C62" s="17"/>
      <c r="D62" s="17"/>
      <c r="E62" s="17"/>
      <c r="F62" s="17"/>
      <c r="G62" s="22" t="s">
        <v>65</v>
      </c>
      <c r="H62" s="17"/>
      <c r="I62" s="17"/>
      <c r="J62" s="17"/>
      <c r="K62" s="17"/>
      <c r="L62" s="17"/>
      <c r="M62" s="22" t="s">
        <v>65</v>
      </c>
      <c r="N62" s="17"/>
      <c r="O62" s="17"/>
      <c r="P62" s="17"/>
      <c r="Q62" s="17"/>
      <c r="R62" s="17"/>
      <c r="S62" s="9"/>
      <c r="T62" s="22" t="s">
        <v>65</v>
      </c>
      <c r="U62" s="17"/>
      <c r="V62" s="17"/>
      <c r="W62" s="17"/>
      <c r="X62" s="17"/>
      <c r="Y62" s="17"/>
      <c r="AB62" s="22" t="s">
        <v>65</v>
      </c>
      <c r="AC62" s="17"/>
      <c r="AD62" s="17"/>
      <c r="AE62" s="17"/>
      <c r="AF62" s="17"/>
      <c r="AH62" s="22" t="s">
        <v>65</v>
      </c>
      <c r="AI62" s="17"/>
      <c r="AJ62" s="24"/>
      <c r="AK62" s="24"/>
      <c r="AL62" s="24"/>
      <c r="AN62" s="22" t="s">
        <v>65</v>
      </c>
      <c r="AO62" s="17"/>
      <c r="AP62" s="15"/>
      <c r="AQ62" s="15"/>
      <c r="AR62" s="15"/>
      <c r="AU62" s="22" t="s">
        <v>65</v>
      </c>
      <c r="AV62" s="17"/>
      <c r="AW62" s="24"/>
      <c r="AX62" s="24"/>
      <c r="AY62" s="24"/>
    </row>
    <row r="63" spans="1:51" x14ac:dyDescent="0.3">
      <c r="A63" s="22" t="s">
        <v>66</v>
      </c>
      <c r="B63" s="17"/>
      <c r="C63" s="17"/>
      <c r="D63" s="17"/>
      <c r="E63" s="17"/>
      <c r="F63" s="17"/>
      <c r="G63" s="22" t="s">
        <v>66</v>
      </c>
      <c r="H63" s="17"/>
      <c r="I63" s="17"/>
      <c r="J63" s="17"/>
      <c r="K63" s="17"/>
      <c r="L63" s="17"/>
      <c r="M63" s="22" t="s">
        <v>66</v>
      </c>
      <c r="N63" s="17"/>
      <c r="O63" s="17"/>
      <c r="P63" s="17"/>
      <c r="Q63" s="17"/>
      <c r="R63" s="17"/>
      <c r="S63" s="9"/>
      <c r="T63" s="22" t="s">
        <v>66</v>
      </c>
      <c r="U63" s="17"/>
      <c r="V63" s="17"/>
      <c r="W63" s="17"/>
      <c r="X63" s="17"/>
      <c r="Y63" s="17"/>
      <c r="AB63" s="22" t="s">
        <v>66</v>
      </c>
      <c r="AC63" s="17"/>
      <c r="AD63" s="17"/>
      <c r="AE63" s="17"/>
      <c r="AF63" s="17"/>
      <c r="AH63" s="22" t="s">
        <v>66</v>
      </c>
      <c r="AI63" s="17"/>
      <c r="AJ63" s="24"/>
      <c r="AK63" s="24"/>
      <c r="AL63" s="24"/>
      <c r="AN63" s="22" t="s">
        <v>66</v>
      </c>
      <c r="AO63" s="17"/>
      <c r="AP63" s="15"/>
      <c r="AQ63" s="15"/>
      <c r="AR63" s="15"/>
      <c r="AU63" s="22" t="s">
        <v>66</v>
      </c>
      <c r="AV63" s="17"/>
      <c r="AW63" s="24"/>
      <c r="AX63" s="24"/>
      <c r="AY63" s="24"/>
    </row>
    <row r="64" spans="1:51" x14ac:dyDescent="0.3">
      <c r="A64" s="22" t="s">
        <v>67</v>
      </c>
      <c r="B64" s="17"/>
      <c r="C64" s="17"/>
      <c r="D64" s="17"/>
      <c r="E64" s="17"/>
      <c r="F64" s="17"/>
      <c r="G64" s="22" t="s">
        <v>67</v>
      </c>
      <c r="H64" s="17"/>
      <c r="I64" s="17"/>
      <c r="J64" s="17"/>
      <c r="K64" s="17"/>
      <c r="L64" s="17"/>
      <c r="M64" s="22" t="s">
        <v>67</v>
      </c>
      <c r="N64" s="17"/>
      <c r="O64" s="17"/>
      <c r="P64" s="17"/>
      <c r="Q64" s="17"/>
      <c r="R64" s="17"/>
      <c r="S64" s="9"/>
      <c r="T64" s="22" t="s">
        <v>67</v>
      </c>
      <c r="U64" s="17"/>
      <c r="V64" s="17"/>
      <c r="W64" s="17"/>
      <c r="X64" s="17"/>
      <c r="Y64" s="17"/>
      <c r="AB64" s="22" t="s">
        <v>67</v>
      </c>
      <c r="AC64" s="17"/>
      <c r="AD64" s="17"/>
      <c r="AE64" s="17"/>
      <c r="AF64" s="17"/>
      <c r="AH64" s="22" t="s">
        <v>67</v>
      </c>
      <c r="AI64" s="17"/>
      <c r="AJ64" s="24"/>
      <c r="AK64" s="24"/>
      <c r="AL64" s="24"/>
      <c r="AN64" s="22" t="s">
        <v>67</v>
      </c>
      <c r="AO64" s="17"/>
      <c r="AP64" s="15"/>
      <c r="AQ64" s="15"/>
      <c r="AR64" s="15"/>
      <c r="AU64" s="22" t="s">
        <v>67</v>
      </c>
      <c r="AV64" s="17"/>
      <c r="AW64" s="24"/>
      <c r="AX64" s="24"/>
      <c r="AY64" s="24"/>
    </row>
    <row r="65" spans="1:51" x14ac:dyDescent="0.3">
      <c r="A65" s="22" t="s">
        <v>68</v>
      </c>
      <c r="B65" s="17"/>
      <c r="C65" s="17"/>
      <c r="D65" s="17"/>
      <c r="E65" s="17"/>
      <c r="F65" s="17"/>
      <c r="G65" s="22" t="s">
        <v>68</v>
      </c>
      <c r="H65" s="17"/>
      <c r="I65" s="17"/>
      <c r="J65" s="17"/>
      <c r="K65" s="17"/>
      <c r="L65" s="17"/>
      <c r="M65" s="22" t="s">
        <v>68</v>
      </c>
      <c r="N65" s="17"/>
      <c r="O65" s="17"/>
      <c r="P65" s="17"/>
      <c r="Q65" s="17"/>
      <c r="R65" s="17"/>
      <c r="S65" s="9"/>
      <c r="T65" s="22" t="s">
        <v>68</v>
      </c>
      <c r="U65" s="17"/>
      <c r="V65" s="17"/>
      <c r="W65" s="17"/>
      <c r="X65" s="17"/>
      <c r="Y65" s="17"/>
      <c r="AB65" s="22" t="s">
        <v>68</v>
      </c>
      <c r="AC65" s="17"/>
      <c r="AD65" s="17"/>
      <c r="AE65" s="17"/>
      <c r="AF65" s="17"/>
      <c r="AH65" s="22" t="s">
        <v>68</v>
      </c>
      <c r="AI65" s="17"/>
      <c r="AJ65" s="24"/>
      <c r="AK65" s="24"/>
      <c r="AL65" s="24"/>
      <c r="AN65" s="22" t="s">
        <v>68</v>
      </c>
      <c r="AO65" s="17"/>
      <c r="AP65" s="15"/>
      <c r="AQ65" s="15"/>
      <c r="AR65" s="15"/>
      <c r="AU65" s="22" t="s">
        <v>68</v>
      </c>
      <c r="AV65" s="17"/>
      <c r="AW65" s="24"/>
      <c r="AX65" s="24"/>
      <c r="AY65" s="24"/>
    </row>
    <row r="66" spans="1:51" x14ac:dyDescent="0.3">
      <c r="A66" s="22" t="s">
        <v>69</v>
      </c>
      <c r="B66" s="17"/>
      <c r="C66" s="17"/>
      <c r="D66" s="17"/>
      <c r="E66" s="17"/>
      <c r="F66" s="17"/>
      <c r="G66" s="22" t="s">
        <v>69</v>
      </c>
      <c r="H66" s="17"/>
      <c r="I66" s="17"/>
      <c r="J66" s="17"/>
      <c r="K66" s="17"/>
      <c r="L66" s="17"/>
      <c r="M66" s="22" t="s">
        <v>69</v>
      </c>
      <c r="N66" s="17"/>
      <c r="O66" s="17"/>
      <c r="P66" s="17"/>
      <c r="Q66" s="17"/>
      <c r="R66" s="17"/>
      <c r="S66" s="9"/>
      <c r="T66" s="22" t="s">
        <v>69</v>
      </c>
      <c r="U66" s="17"/>
      <c r="V66" s="17"/>
      <c r="W66" s="17"/>
      <c r="X66" s="17"/>
      <c r="Y66" s="17"/>
      <c r="AB66" s="22" t="s">
        <v>69</v>
      </c>
      <c r="AC66" s="17"/>
      <c r="AD66" s="17"/>
      <c r="AE66" s="17"/>
      <c r="AF66" s="17"/>
      <c r="AH66" s="22" t="s">
        <v>69</v>
      </c>
      <c r="AI66" s="17"/>
      <c r="AJ66" s="24"/>
      <c r="AK66" s="24"/>
      <c r="AL66" s="24"/>
      <c r="AN66" s="22" t="s">
        <v>69</v>
      </c>
      <c r="AO66" s="17"/>
      <c r="AP66" s="15"/>
      <c r="AQ66" s="15"/>
      <c r="AR66" s="15"/>
      <c r="AU66" s="22" t="s">
        <v>69</v>
      </c>
      <c r="AV66" s="17"/>
      <c r="AW66" s="24"/>
      <c r="AX66" s="24"/>
      <c r="AY66" s="24"/>
    </row>
    <row r="67" spans="1:51" x14ac:dyDescent="0.3">
      <c r="A67" s="22" t="s">
        <v>70</v>
      </c>
      <c r="B67" s="17"/>
      <c r="C67" s="17"/>
      <c r="D67" s="17"/>
      <c r="E67" s="17"/>
      <c r="F67" s="17"/>
      <c r="G67" s="22" t="s">
        <v>70</v>
      </c>
      <c r="H67" s="17"/>
      <c r="I67" s="17"/>
      <c r="J67" s="17"/>
      <c r="K67" s="17"/>
      <c r="L67" s="17"/>
      <c r="M67" s="22" t="s">
        <v>70</v>
      </c>
      <c r="N67" s="17"/>
      <c r="O67" s="17"/>
      <c r="P67" s="17"/>
      <c r="Q67" s="17"/>
      <c r="R67" s="17"/>
      <c r="S67" s="9"/>
      <c r="T67" s="22" t="s">
        <v>70</v>
      </c>
      <c r="U67" s="17"/>
      <c r="V67" s="17"/>
      <c r="W67" s="17"/>
      <c r="X67" s="17"/>
      <c r="Y67" s="17"/>
      <c r="AB67" s="22" t="s">
        <v>70</v>
      </c>
      <c r="AC67" s="17"/>
      <c r="AD67" s="17"/>
      <c r="AE67" s="17"/>
      <c r="AF67" s="17"/>
      <c r="AH67" s="22" t="s">
        <v>70</v>
      </c>
      <c r="AI67" s="17"/>
      <c r="AJ67" s="24"/>
      <c r="AK67" s="24"/>
      <c r="AL67" s="24"/>
      <c r="AN67" s="22" t="s">
        <v>70</v>
      </c>
      <c r="AO67" s="17"/>
      <c r="AP67" s="15"/>
      <c r="AQ67" s="15"/>
      <c r="AR67" s="15"/>
      <c r="AU67" s="22" t="s">
        <v>70</v>
      </c>
      <c r="AV67" s="17"/>
      <c r="AW67" s="24"/>
      <c r="AX67" s="24"/>
      <c r="AY67" s="24"/>
    </row>
    <row r="68" spans="1:51" x14ac:dyDescent="0.3">
      <c r="A68" s="22" t="s">
        <v>71</v>
      </c>
      <c r="B68" s="17"/>
      <c r="C68" s="17"/>
      <c r="D68" s="17"/>
      <c r="E68" s="17"/>
      <c r="F68" s="17"/>
      <c r="G68" s="22" t="s">
        <v>71</v>
      </c>
      <c r="H68" s="17"/>
      <c r="I68" s="17"/>
      <c r="J68" s="17"/>
      <c r="K68" s="17"/>
      <c r="L68" s="17"/>
      <c r="M68" s="22" t="s">
        <v>71</v>
      </c>
      <c r="N68" s="17"/>
      <c r="O68" s="17"/>
      <c r="P68" s="17"/>
      <c r="Q68" s="17"/>
      <c r="R68" s="17"/>
      <c r="S68" s="9"/>
      <c r="T68" s="22" t="s">
        <v>71</v>
      </c>
      <c r="U68" s="17"/>
      <c r="V68" s="17"/>
      <c r="W68" s="17"/>
      <c r="X68" s="17"/>
      <c r="Y68" s="17"/>
      <c r="AB68" s="22" t="s">
        <v>71</v>
      </c>
      <c r="AC68" s="17"/>
      <c r="AD68" s="17"/>
      <c r="AE68" s="17"/>
      <c r="AF68" s="17"/>
      <c r="AH68" s="22" t="s">
        <v>71</v>
      </c>
      <c r="AI68" s="17"/>
      <c r="AJ68" s="24"/>
      <c r="AK68" s="24"/>
      <c r="AL68" s="24"/>
      <c r="AN68" s="22" t="s">
        <v>71</v>
      </c>
      <c r="AO68" s="17"/>
      <c r="AP68" s="15"/>
      <c r="AQ68" s="15"/>
      <c r="AR68" s="15"/>
      <c r="AU68" s="22" t="s">
        <v>71</v>
      </c>
      <c r="AV68" s="17"/>
      <c r="AW68" s="24"/>
      <c r="AX68" s="24"/>
      <c r="AY68" s="24"/>
    </row>
    <row r="71" spans="1:51" x14ac:dyDescent="0.3">
      <c r="A71" s="27" t="s">
        <v>72</v>
      </c>
      <c r="B71" s="8">
        <f>13.5+9.61</f>
        <v>23.11</v>
      </c>
      <c r="C71" s="9">
        <v>4.16</v>
      </c>
      <c r="D71" s="9">
        <v>10.6</v>
      </c>
      <c r="E71" s="9">
        <v>36.4</v>
      </c>
      <c r="F71" s="8">
        <f>13.5+31.8</f>
        <v>45.3</v>
      </c>
      <c r="G71" s="27" t="s">
        <v>72</v>
      </c>
      <c r="H71" s="8">
        <f>10.3+12.7</f>
        <v>23</v>
      </c>
      <c r="I71" s="16"/>
      <c r="J71" s="16"/>
      <c r="K71" s="18"/>
      <c r="L71" s="8">
        <f>12.7+27.8</f>
        <v>40.5</v>
      </c>
      <c r="M71" s="27" t="s">
        <v>72</v>
      </c>
      <c r="N71" s="63"/>
      <c r="O71" s="9">
        <v>3.05</v>
      </c>
      <c r="P71" s="9">
        <v>8.0299999999999994</v>
      </c>
      <c r="Q71" s="10">
        <v>34.299999999999997</v>
      </c>
      <c r="R71" s="10">
        <f>11.4+26.1</f>
        <v>37.5</v>
      </c>
      <c r="S71" s="9"/>
      <c r="T71" s="27" t="s">
        <v>72</v>
      </c>
      <c r="U71" s="9">
        <f>6.93+17</f>
        <v>23.93</v>
      </c>
      <c r="V71" s="9">
        <v>4.16</v>
      </c>
      <c r="W71" s="9">
        <v>6.24</v>
      </c>
      <c r="X71" s="23">
        <v>53.7</v>
      </c>
      <c r="Y71" s="10">
        <f>17.37</f>
        <v>17.37</v>
      </c>
      <c r="AB71" s="27" t="s">
        <v>72</v>
      </c>
      <c r="AC71" s="8">
        <f>13.5+9.61</f>
        <v>23.11</v>
      </c>
      <c r="AD71" s="2">
        <f>AC71*C71/100</f>
        <v>0.96137600000000001</v>
      </c>
      <c r="AE71" s="2">
        <f>AC71*D71/100</f>
        <v>2.4496599999999997</v>
      </c>
      <c r="AF71" s="2">
        <f>E71*B71/100</f>
        <v>8.4120399999999993</v>
      </c>
      <c r="AH71" s="27" t="s">
        <v>72</v>
      </c>
      <c r="AI71" s="8">
        <f>10.3+12.7</f>
        <v>23</v>
      </c>
      <c r="AJ71" s="16"/>
      <c r="AK71" s="16"/>
      <c r="AL71" s="16"/>
      <c r="AN71" s="27" t="s">
        <v>72</v>
      </c>
      <c r="AO71" s="11">
        <v>26.1</v>
      </c>
      <c r="AP71" s="2">
        <f t="shared" ref="AP71:AP79" si="46">AO71*O71/100</f>
        <v>0.79605000000000004</v>
      </c>
      <c r="AQ71" s="2">
        <f t="shared" si="7"/>
        <v>2.0958299999999999</v>
      </c>
      <c r="AR71" s="2">
        <f t="shared" si="8"/>
        <v>8.952300000000001</v>
      </c>
      <c r="AU71" s="27" t="s">
        <v>72</v>
      </c>
      <c r="AV71" s="9">
        <f>6.93+17</f>
        <v>23.93</v>
      </c>
      <c r="AW71" s="2">
        <f t="shared" ref="AW71:AW101" si="47">AV71*V71/100</f>
        <v>0.99548800000000004</v>
      </c>
      <c r="AX71" s="2">
        <f t="shared" ref="AX71:AX101" si="48">AV71*W71/100</f>
        <v>1.4932320000000001</v>
      </c>
      <c r="AY71" s="2">
        <f t="shared" ref="AY71:AY101" si="49">AV71*X71/100</f>
        <v>12.85041</v>
      </c>
    </row>
    <row r="72" spans="1:51" x14ac:dyDescent="0.3">
      <c r="A72" s="27" t="s">
        <v>73</v>
      </c>
      <c r="B72" s="8">
        <f>6.52+7.61</f>
        <v>14.129999999999999</v>
      </c>
      <c r="C72" s="8">
        <v>3.17</v>
      </c>
      <c r="D72" s="8">
        <v>8.0399999999999991</v>
      </c>
      <c r="E72" s="9">
        <v>52.2</v>
      </c>
      <c r="F72" s="8">
        <f>7.61+19.2</f>
        <v>26.81</v>
      </c>
      <c r="G72" s="27" t="s">
        <v>73</v>
      </c>
      <c r="H72" s="8">
        <f>5.89+4.19</f>
        <v>10.08</v>
      </c>
      <c r="I72" s="9">
        <v>4.8600000000000003</v>
      </c>
      <c r="J72" s="8">
        <v>26.1</v>
      </c>
      <c r="K72" s="8">
        <v>52</v>
      </c>
      <c r="L72" s="8">
        <f>4.19+9.44</f>
        <v>13.629999999999999</v>
      </c>
      <c r="M72" s="27" t="s">
        <v>73</v>
      </c>
      <c r="N72" s="11">
        <f>10+6.61</f>
        <v>16.61</v>
      </c>
      <c r="O72" s="9">
        <v>3.08</v>
      </c>
      <c r="P72" s="9">
        <v>9.34</v>
      </c>
      <c r="Q72" s="10">
        <v>34.299999999999997</v>
      </c>
      <c r="R72" s="9">
        <f>6.61+18.6</f>
        <v>25.21</v>
      </c>
      <c r="S72" s="9"/>
      <c r="T72" s="27" t="s">
        <v>73</v>
      </c>
      <c r="U72" s="9">
        <f>10.6+17</f>
        <v>27.6</v>
      </c>
      <c r="V72" s="9">
        <v>3.95</v>
      </c>
      <c r="W72" s="9">
        <v>3.07</v>
      </c>
      <c r="X72" s="10">
        <v>46</v>
      </c>
      <c r="Y72" s="10">
        <f>17+32.2</f>
        <v>49.2</v>
      </c>
      <c r="AB72" s="27" t="s">
        <v>73</v>
      </c>
      <c r="AC72" s="8">
        <f>6.52+7.61</f>
        <v>14.129999999999999</v>
      </c>
      <c r="AD72" s="2">
        <f t="shared" ref="AD72:AD93" si="50">AC72*C72/100</f>
        <v>0.44792099999999996</v>
      </c>
      <c r="AE72" s="2">
        <f t="shared" ref="AE72:AE74" si="51">AC72*D72/100</f>
        <v>1.1360519999999998</v>
      </c>
      <c r="AF72" s="2">
        <f t="shared" ref="AF72:AF73" si="52">E72*B72/100</f>
        <v>7.3758600000000003</v>
      </c>
      <c r="AH72" s="27" t="s">
        <v>73</v>
      </c>
      <c r="AI72" s="8">
        <f>5.89+4.19</f>
        <v>10.08</v>
      </c>
      <c r="AJ72" s="2">
        <f>AI72*I72/100</f>
        <v>0.48988800000000005</v>
      </c>
      <c r="AK72" s="2">
        <f>AI72*J72/100</f>
        <v>2.6308800000000003</v>
      </c>
      <c r="AL72" s="2">
        <f>AI72*K72/100</f>
        <v>5.2416</v>
      </c>
      <c r="AN72" s="27" t="s">
        <v>73</v>
      </c>
      <c r="AO72" s="11">
        <v>18.600000000000001</v>
      </c>
      <c r="AP72" s="2">
        <f t="shared" si="46"/>
        <v>0.57288000000000006</v>
      </c>
      <c r="AQ72" s="2">
        <f t="shared" si="7"/>
        <v>1.7372400000000001</v>
      </c>
      <c r="AR72" s="2">
        <f t="shared" si="8"/>
        <v>6.3798000000000004</v>
      </c>
      <c r="AU72" s="27" t="s">
        <v>73</v>
      </c>
      <c r="AV72" s="9">
        <f>10.6+17</f>
        <v>27.6</v>
      </c>
      <c r="AW72" s="2">
        <f t="shared" si="47"/>
        <v>1.0902000000000001</v>
      </c>
      <c r="AX72" s="2">
        <f t="shared" si="48"/>
        <v>0.84731999999999996</v>
      </c>
      <c r="AY72" s="2">
        <f t="shared" si="49"/>
        <v>12.696000000000002</v>
      </c>
    </row>
    <row r="73" spans="1:51" x14ac:dyDescent="0.3">
      <c r="A73" s="27" t="s">
        <v>74</v>
      </c>
      <c r="B73" s="8">
        <f>0.77+2.17</f>
        <v>2.94</v>
      </c>
      <c r="C73" s="8">
        <v>0.51</v>
      </c>
      <c r="D73" s="8">
        <v>4.57</v>
      </c>
      <c r="E73" s="9">
        <v>80.8</v>
      </c>
      <c r="F73" s="8">
        <f>2.17+41.9</f>
        <v>44.07</v>
      </c>
      <c r="G73" s="27" t="s">
        <v>74</v>
      </c>
      <c r="H73" s="8">
        <f>1.19+3.85</f>
        <v>5.04</v>
      </c>
      <c r="I73" s="8">
        <v>0.67</v>
      </c>
      <c r="J73" s="8">
        <v>0.89</v>
      </c>
      <c r="K73" s="8">
        <v>76.7</v>
      </c>
      <c r="L73" s="8">
        <f>3.85+42.8</f>
        <v>46.65</v>
      </c>
      <c r="M73" s="27" t="s">
        <v>74</v>
      </c>
      <c r="N73" s="11">
        <f>2.48+3.24</f>
        <v>5.7200000000000006</v>
      </c>
      <c r="O73" s="9">
        <v>0.27</v>
      </c>
      <c r="P73" s="9">
        <v>0.81</v>
      </c>
      <c r="Q73" s="65"/>
      <c r="R73" s="10">
        <f>3.24+29.3</f>
        <v>32.54</v>
      </c>
      <c r="S73" s="9"/>
      <c r="T73" s="27" t="s">
        <v>74</v>
      </c>
      <c r="U73" s="9">
        <f>0.77+2.17</f>
        <v>2.94</v>
      </c>
      <c r="V73" s="9">
        <v>3.52</v>
      </c>
      <c r="W73" s="9">
        <v>2.67</v>
      </c>
      <c r="X73" s="10">
        <v>70.8</v>
      </c>
      <c r="Y73" s="10">
        <f>2.17+41.9</f>
        <v>44.07</v>
      </c>
      <c r="AB73" s="27" t="s">
        <v>74</v>
      </c>
      <c r="AC73" s="8">
        <f>0.77+2.17</f>
        <v>2.94</v>
      </c>
      <c r="AD73" s="2">
        <f t="shared" si="50"/>
        <v>1.4994E-2</v>
      </c>
      <c r="AE73" s="2">
        <f t="shared" si="51"/>
        <v>0.13435800000000001</v>
      </c>
      <c r="AF73" s="2">
        <f t="shared" si="52"/>
        <v>2.3755199999999999</v>
      </c>
      <c r="AH73" s="27" t="s">
        <v>74</v>
      </c>
      <c r="AI73" s="8">
        <f>1.19+3.85</f>
        <v>5.04</v>
      </c>
      <c r="AJ73" s="2">
        <f t="shared" ref="AJ73:AJ74" si="53">AI73*I73/100</f>
        <v>3.3767999999999999E-2</v>
      </c>
      <c r="AK73" s="2">
        <f t="shared" ref="AK73:AK74" si="54">AI73*J73/100</f>
        <v>4.4856E-2</v>
      </c>
      <c r="AL73" s="2">
        <f t="shared" ref="AL73:AL74" si="55">AI73*K73/100</f>
        <v>3.8656800000000002</v>
      </c>
      <c r="AN73" s="27" t="s">
        <v>74</v>
      </c>
      <c r="AO73" s="11">
        <v>29.3</v>
      </c>
      <c r="AP73" s="2">
        <f t="shared" si="46"/>
        <v>7.911E-2</v>
      </c>
      <c r="AQ73" s="2">
        <f t="shared" si="7"/>
        <v>0.23733000000000001</v>
      </c>
      <c r="AR73" s="83"/>
      <c r="AU73" s="27" t="s">
        <v>74</v>
      </c>
      <c r="AV73" s="9">
        <f>0.77+2.17</f>
        <v>2.94</v>
      </c>
      <c r="AW73" s="2">
        <f t="shared" si="47"/>
        <v>0.10348800000000001</v>
      </c>
      <c r="AX73" s="2">
        <f t="shared" si="48"/>
        <v>7.8497999999999998E-2</v>
      </c>
      <c r="AY73" s="2">
        <f t="shared" si="49"/>
        <v>2.0815199999999998</v>
      </c>
    </row>
    <row r="74" spans="1:51" x14ac:dyDescent="0.3">
      <c r="A74" s="27" t="s">
        <v>75</v>
      </c>
      <c r="B74" s="8">
        <f>2.15+23.7</f>
        <v>25.849999999999998</v>
      </c>
      <c r="C74" s="8">
        <v>0.31</v>
      </c>
      <c r="D74" s="8">
        <v>1.89</v>
      </c>
      <c r="E74" s="62"/>
      <c r="F74" s="9">
        <f>23.7+40</f>
        <v>63.7</v>
      </c>
      <c r="G74" s="27" t="s">
        <v>75</v>
      </c>
      <c r="H74" s="8">
        <f>0.63+1.82</f>
        <v>2.4500000000000002</v>
      </c>
      <c r="I74" s="8">
        <v>4.87</v>
      </c>
      <c r="J74" s="8">
        <v>2.0699999999999998</v>
      </c>
      <c r="K74" s="9">
        <v>66.8</v>
      </c>
      <c r="L74" s="9">
        <f>1.82+24.8</f>
        <v>26.62</v>
      </c>
      <c r="M74" s="27" t="s">
        <v>75</v>
      </c>
      <c r="N74" s="25">
        <f>4.25+2.84</f>
        <v>7.09</v>
      </c>
      <c r="O74" s="8">
        <v>0.32</v>
      </c>
      <c r="P74" s="8">
        <v>2.0499999999999998</v>
      </c>
      <c r="Q74" s="9">
        <v>31.2</v>
      </c>
      <c r="R74" s="9">
        <f>2.84+15.8</f>
        <v>18.64</v>
      </c>
      <c r="S74" s="9"/>
      <c r="T74" s="27" t="s">
        <v>75</v>
      </c>
      <c r="U74" s="8">
        <f>1.31+2.89</f>
        <v>4.2</v>
      </c>
      <c r="V74" s="8">
        <v>3.58</v>
      </c>
      <c r="W74" s="8">
        <v>3.37</v>
      </c>
      <c r="X74" s="9">
        <v>63.8</v>
      </c>
      <c r="Y74" s="9">
        <f>2.89+27.3</f>
        <v>30.19</v>
      </c>
      <c r="AB74" s="27" t="s">
        <v>75</v>
      </c>
      <c r="AC74" s="8">
        <f>2.15+23.7</f>
        <v>25.849999999999998</v>
      </c>
      <c r="AD74" s="2">
        <f t="shared" si="50"/>
        <v>8.0134999999999984E-2</v>
      </c>
      <c r="AE74" s="2">
        <f t="shared" si="51"/>
        <v>0.48856499999999997</v>
      </c>
      <c r="AF74" s="83"/>
      <c r="AH74" s="27" t="s">
        <v>75</v>
      </c>
      <c r="AI74" s="8">
        <f>0.63+1.82</f>
        <v>2.4500000000000002</v>
      </c>
      <c r="AJ74" s="2">
        <f t="shared" si="53"/>
        <v>0.11931500000000002</v>
      </c>
      <c r="AK74" s="2">
        <f t="shared" si="54"/>
        <v>5.0715000000000003E-2</v>
      </c>
      <c r="AL74" s="2">
        <f t="shared" si="55"/>
        <v>1.6366000000000001</v>
      </c>
      <c r="AN74" s="27" t="s">
        <v>75</v>
      </c>
      <c r="AO74" s="25">
        <v>15.8</v>
      </c>
      <c r="AP74" s="2">
        <f t="shared" si="46"/>
        <v>5.0560000000000001E-2</v>
      </c>
      <c r="AQ74" s="2">
        <f t="shared" si="7"/>
        <v>0.32390000000000002</v>
      </c>
      <c r="AR74" s="2">
        <f t="shared" si="8"/>
        <v>4.9296000000000006</v>
      </c>
      <c r="AU74" s="27" t="s">
        <v>75</v>
      </c>
      <c r="AV74" s="8">
        <f>1.31+2.89</f>
        <v>4.2</v>
      </c>
      <c r="AW74" s="2">
        <f t="shared" si="47"/>
        <v>0.15036000000000002</v>
      </c>
      <c r="AX74" s="2">
        <f t="shared" si="48"/>
        <v>0.14154000000000003</v>
      </c>
      <c r="AY74" s="2">
        <f t="shared" si="49"/>
        <v>2.6795999999999998</v>
      </c>
    </row>
    <row r="75" spans="1:51" x14ac:dyDescent="0.3">
      <c r="A75" s="27" t="s">
        <v>76</v>
      </c>
      <c r="B75" s="8">
        <f>2.1+30.7</f>
        <v>32.799999999999997</v>
      </c>
      <c r="C75" s="16"/>
      <c r="D75" s="16"/>
      <c r="E75" s="17"/>
      <c r="F75" s="60"/>
      <c r="G75" s="27" t="s">
        <v>76</v>
      </c>
      <c r="H75" s="8">
        <f>1.44+4.62</f>
        <v>6.0600000000000005</v>
      </c>
      <c r="I75" s="16"/>
      <c r="J75" s="16"/>
      <c r="K75" s="16"/>
      <c r="L75" s="8">
        <f>4.62+52.2</f>
        <v>56.82</v>
      </c>
      <c r="M75" s="27" t="s">
        <v>76</v>
      </c>
      <c r="N75" s="11">
        <f>2.8+2.55</f>
        <v>5.35</v>
      </c>
      <c r="O75" s="17"/>
      <c r="P75" s="17"/>
      <c r="Q75" s="18"/>
      <c r="R75" s="10">
        <f>2.55+25.1</f>
        <v>27.650000000000002</v>
      </c>
      <c r="S75" s="9"/>
      <c r="T75" s="27" t="s">
        <v>76</v>
      </c>
      <c r="U75" s="9">
        <f>2.1+1.81</f>
        <v>3.91</v>
      </c>
      <c r="V75" s="9">
        <v>5.39</v>
      </c>
      <c r="W75" s="9">
        <v>3.97</v>
      </c>
      <c r="X75" s="10">
        <v>39</v>
      </c>
      <c r="Y75" s="10">
        <f>1.81+36.5</f>
        <v>38.31</v>
      </c>
      <c r="AB75" s="27" t="s">
        <v>76</v>
      </c>
      <c r="AC75" s="8">
        <f>2.1+30.7</f>
        <v>32.799999999999997</v>
      </c>
      <c r="AD75" s="16"/>
      <c r="AE75" s="16"/>
      <c r="AF75" s="16"/>
      <c r="AH75" s="27" t="s">
        <v>76</v>
      </c>
      <c r="AI75" s="8">
        <f>1.44+4.62</f>
        <v>6.0600000000000005</v>
      </c>
      <c r="AJ75" s="16"/>
      <c r="AK75" s="16"/>
      <c r="AL75" s="16"/>
      <c r="AN75" s="27" t="s">
        <v>76</v>
      </c>
      <c r="AO75" s="11">
        <v>25.1</v>
      </c>
      <c r="AP75" s="15"/>
      <c r="AQ75" s="15"/>
      <c r="AR75" s="15"/>
      <c r="AU75" s="27" t="s">
        <v>76</v>
      </c>
      <c r="AV75" s="9">
        <f>2.1+1.81</f>
        <v>3.91</v>
      </c>
      <c r="AW75" s="2">
        <f t="shared" si="47"/>
        <v>0.21074899999999999</v>
      </c>
      <c r="AX75" s="2">
        <f t="shared" si="48"/>
        <v>0.15522700000000003</v>
      </c>
      <c r="AY75" s="2">
        <f t="shared" si="49"/>
        <v>1.5249000000000001</v>
      </c>
    </row>
    <row r="76" spans="1:51" x14ac:dyDescent="0.3">
      <c r="A76" s="27" t="s">
        <v>77</v>
      </c>
      <c r="B76" s="8">
        <f>1.05+5.91</f>
        <v>6.96</v>
      </c>
      <c r="C76" s="8">
        <v>0.55000000000000004</v>
      </c>
      <c r="D76" s="8">
        <v>3.91</v>
      </c>
      <c r="E76" s="9">
        <v>83.8</v>
      </c>
      <c r="F76" s="8">
        <f>5.91+37</f>
        <v>42.91</v>
      </c>
      <c r="G76" s="27" t="s">
        <v>77</v>
      </c>
      <c r="H76" s="8">
        <f>0.59+1.9</f>
        <v>2.4899999999999998</v>
      </c>
      <c r="I76" s="8">
        <v>3.36</v>
      </c>
      <c r="J76" s="8">
        <v>1.42</v>
      </c>
      <c r="K76" s="8">
        <v>72.400000000000006</v>
      </c>
      <c r="L76" s="8">
        <f>1.9+45</f>
        <v>46.9</v>
      </c>
      <c r="M76" s="27" t="s">
        <v>77</v>
      </c>
      <c r="N76" s="11">
        <f>2.06+2.34</f>
        <v>4.4000000000000004</v>
      </c>
      <c r="O76" s="9">
        <v>1.61</v>
      </c>
      <c r="P76" s="9">
        <v>1.1499999999999999</v>
      </c>
      <c r="Q76" s="65"/>
      <c r="R76" s="10">
        <f>2.34+28.4</f>
        <v>30.74</v>
      </c>
      <c r="S76" s="9"/>
      <c r="T76" s="27" t="s">
        <v>77</v>
      </c>
      <c r="U76" s="9">
        <f>0.6+1.48</f>
        <v>2.08</v>
      </c>
      <c r="V76" s="9">
        <v>5.81</v>
      </c>
      <c r="W76" s="9">
        <v>2.91</v>
      </c>
      <c r="X76" s="10">
        <v>63.8</v>
      </c>
      <c r="Y76" s="10">
        <f>1.48+48.8</f>
        <v>50.279999999999994</v>
      </c>
      <c r="AB76" s="27" t="s">
        <v>77</v>
      </c>
      <c r="AC76" s="8">
        <f>1.05+5.91</f>
        <v>6.96</v>
      </c>
      <c r="AD76" s="2">
        <f t="shared" si="50"/>
        <v>3.8280000000000002E-2</v>
      </c>
      <c r="AE76" s="2">
        <f t="shared" ref="AE76:AE79" si="56">AC76*D76/100</f>
        <v>0.27213599999999999</v>
      </c>
      <c r="AF76" s="2">
        <f t="shared" ref="AF76:AF79" si="57">E76*B76/100</f>
        <v>5.8324799999999994</v>
      </c>
      <c r="AH76" s="27" t="s">
        <v>77</v>
      </c>
      <c r="AI76" s="8">
        <f>0.59+1.9</f>
        <v>2.4899999999999998</v>
      </c>
      <c r="AJ76" s="2">
        <f t="shared" ref="AJ76:AJ79" si="58">AI76*I76/100</f>
        <v>8.3663999999999988E-2</v>
      </c>
      <c r="AK76" s="2">
        <f t="shared" ref="AK76:AK79" si="59">AI76*J76/100</f>
        <v>3.5357999999999994E-2</v>
      </c>
      <c r="AL76" s="2">
        <f t="shared" ref="AL76:AL79" si="60">AI76*K76/100</f>
        <v>1.8027600000000001</v>
      </c>
      <c r="AN76" s="27" t="s">
        <v>77</v>
      </c>
      <c r="AO76" s="11">
        <v>28.4</v>
      </c>
      <c r="AP76" s="2">
        <f t="shared" si="46"/>
        <v>0.45724000000000004</v>
      </c>
      <c r="AQ76" s="2">
        <f t="shared" si="7"/>
        <v>0.32659999999999995</v>
      </c>
      <c r="AR76" s="83"/>
      <c r="AU76" s="27" t="s">
        <v>77</v>
      </c>
      <c r="AV76" s="9">
        <f>0.6+1.48</f>
        <v>2.08</v>
      </c>
      <c r="AW76" s="2">
        <f t="shared" si="47"/>
        <v>0.120848</v>
      </c>
      <c r="AX76" s="2">
        <f t="shared" si="48"/>
        <v>6.0528000000000005E-2</v>
      </c>
      <c r="AY76" s="2">
        <f t="shared" si="49"/>
        <v>1.32704</v>
      </c>
    </row>
    <row r="77" spans="1:51" x14ac:dyDescent="0.3">
      <c r="A77" s="27" t="s">
        <v>78</v>
      </c>
      <c r="B77" s="8">
        <f>6.56+8.98</f>
        <v>15.54</v>
      </c>
      <c r="C77" s="8">
        <v>9.5500000000000007</v>
      </c>
      <c r="D77" s="8">
        <v>13</v>
      </c>
      <c r="E77" s="9">
        <v>58</v>
      </c>
      <c r="F77" s="8">
        <f>8.98+22.3</f>
        <v>31.28</v>
      </c>
      <c r="G77" s="27" t="s">
        <v>78</v>
      </c>
      <c r="H77" s="8">
        <f>10.6+14.2</f>
        <v>24.799999999999997</v>
      </c>
      <c r="I77" s="8">
        <v>3.69</v>
      </c>
      <c r="J77" s="8">
        <v>5.42</v>
      </c>
      <c r="K77" s="8">
        <v>50</v>
      </c>
      <c r="L77" s="8">
        <f>14.2+24.8</f>
        <v>39</v>
      </c>
      <c r="M77" s="27" t="s">
        <v>78</v>
      </c>
      <c r="N77" s="11">
        <f>9.13+9.54</f>
        <v>18.670000000000002</v>
      </c>
      <c r="O77" s="9">
        <v>3.84</v>
      </c>
      <c r="P77" s="9">
        <v>4.99</v>
      </c>
      <c r="Q77" s="10">
        <v>37.1</v>
      </c>
      <c r="R77" s="10">
        <f>9.54+26.1</f>
        <v>35.64</v>
      </c>
      <c r="S77" s="9"/>
      <c r="T77" s="27" t="s">
        <v>78</v>
      </c>
      <c r="U77" s="9">
        <f>9.92+15.3</f>
        <v>25.22</v>
      </c>
      <c r="V77" s="9">
        <v>4.46</v>
      </c>
      <c r="W77" s="9">
        <v>7.12</v>
      </c>
      <c r="X77" s="10">
        <v>43.1</v>
      </c>
      <c r="Y77" s="10">
        <f>15.3+33.8</f>
        <v>49.099999999999994</v>
      </c>
      <c r="AB77" s="27" t="s">
        <v>78</v>
      </c>
      <c r="AC77" s="8">
        <f>6.56+8.98</f>
        <v>15.54</v>
      </c>
      <c r="AD77" s="2">
        <f t="shared" si="50"/>
        <v>1.48407</v>
      </c>
      <c r="AE77" s="2">
        <f t="shared" si="56"/>
        <v>2.0202</v>
      </c>
      <c r="AF77" s="2">
        <f t="shared" si="57"/>
        <v>9.0131999999999994</v>
      </c>
      <c r="AH77" s="27" t="s">
        <v>78</v>
      </c>
      <c r="AI77" s="8">
        <f>10.6+14.2</f>
        <v>24.799999999999997</v>
      </c>
      <c r="AJ77" s="2">
        <f t="shared" si="58"/>
        <v>0.91511999999999982</v>
      </c>
      <c r="AK77" s="2">
        <f t="shared" si="59"/>
        <v>1.34416</v>
      </c>
      <c r="AL77" s="2">
        <f t="shared" si="60"/>
        <v>12.399999999999999</v>
      </c>
      <c r="AN77" s="27" t="s">
        <v>78</v>
      </c>
      <c r="AO77" s="11">
        <v>26.1</v>
      </c>
      <c r="AP77" s="2">
        <f t="shared" si="46"/>
        <v>1.00224</v>
      </c>
      <c r="AQ77" s="2">
        <f t="shared" ref="AQ77:AQ79" si="61">AO77*P77/100</f>
        <v>1.3023899999999999</v>
      </c>
      <c r="AR77" s="2">
        <f t="shared" ref="AR77:AR79" si="62">AO77*Q77/100</f>
        <v>9.6831000000000014</v>
      </c>
      <c r="AU77" s="27" t="s">
        <v>78</v>
      </c>
      <c r="AV77" s="9">
        <f>9.92+15.3</f>
        <v>25.22</v>
      </c>
      <c r="AW77" s="2">
        <f t="shared" si="47"/>
        <v>1.1248119999999999</v>
      </c>
      <c r="AX77" s="2">
        <f t="shared" si="48"/>
        <v>1.7956639999999999</v>
      </c>
      <c r="AY77" s="2">
        <f t="shared" si="49"/>
        <v>10.869819999999999</v>
      </c>
    </row>
    <row r="78" spans="1:51" x14ac:dyDescent="0.3">
      <c r="A78" s="27" t="s">
        <v>79</v>
      </c>
      <c r="B78" s="8">
        <f>9.14+24.8</f>
        <v>33.94</v>
      </c>
      <c r="C78" s="8">
        <v>14.8</v>
      </c>
      <c r="D78" s="8">
        <v>8.0299999999999994</v>
      </c>
      <c r="E78" s="9">
        <v>55.2</v>
      </c>
      <c r="F78" s="8">
        <f>24.8+32.6</f>
        <v>57.400000000000006</v>
      </c>
      <c r="G78" s="27" t="s">
        <v>79</v>
      </c>
      <c r="H78" s="60"/>
      <c r="I78" s="8">
        <v>4.07</v>
      </c>
      <c r="J78" s="8">
        <v>3.64</v>
      </c>
      <c r="K78" s="8">
        <v>70.2</v>
      </c>
      <c r="L78" s="60"/>
      <c r="M78" s="27" t="s">
        <v>79</v>
      </c>
      <c r="N78" s="11">
        <f>11.1+6.68</f>
        <v>17.78</v>
      </c>
      <c r="O78" s="9">
        <v>3.4</v>
      </c>
      <c r="P78" s="9">
        <v>10.5</v>
      </c>
      <c r="Q78" s="10">
        <v>26</v>
      </c>
      <c r="R78" s="10">
        <f>6.68+18.6</f>
        <v>25.28</v>
      </c>
      <c r="S78" s="9"/>
      <c r="T78" s="27" t="s">
        <v>79</v>
      </c>
      <c r="U78" s="9">
        <f>8.7+12.3</f>
        <v>21</v>
      </c>
      <c r="V78" s="9">
        <v>3.66</v>
      </c>
      <c r="W78" s="9">
        <v>11.9</v>
      </c>
      <c r="X78" s="10">
        <v>45.6</v>
      </c>
      <c r="Y78" s="10">
        <f>12.3+30.7</f>
        <v>43</v>
      </c>
      <c r="AB78" s="27" t="s">
        <v>79</v>
      </c>
      <c r="AC78" s="8">
        <f>9.14+24.8</f>
        <v>33.94</v>
      </c>
      <c r="AD78" s="2">
        <f t="shared" si="50"/>
        <v>5.0231200000000005</v>
      </c>
      <c r="AE78" s="2">
        <f t="shared" si="56"/>
        <v>2.7253819999999997</v>
      </c>
      <c r="AF78" s="2">
        <f t="shared" si="57"/>
        <v>18.73488</v>
      </c>
      <c r="AH78" s="27" t="s">
        <v>79</v>
      </c>
      <c r="AI78" s="8">
        <f>6.67+31.4</f>
        <v>38.07</v>
      </c>
      <c r="AJ78" s="2">
        <f t="shared" si="58"/>
        <v>1.5494490000000001</v>
      </c>
      <c r="AK78" s="2">
        <f t="shared" si="59"/>
        <v>1.3857480000000002</v>
      </c>
      <c r="AL78" s="2">
        <f t="shared" si="60"/>
        <v>26.72514</v>
      </c>
      <c r="AN78" s="27" t="s">
        <v>79</v>
      </c>
      <c r="AO78" s="11">
        <v>18.600000000000001</v>
      </c>
      <c r="AP78" s="2">
        <f t="shared" si="46"/>
        <v>0.63240000000000007</v>
      </c>
      <c r="AQ78" s="2">
        <f t="shared" si="61"/>
        <v>1.9530000000000001</v>
      </c>
      <c r="AR78" s="2">
        <f t="shared" si="62"/>
        <v>4.8360000000000003</v>
      </c>
      <c r="AU78" s="27" t="s">
        <v>79</v>
      </c>
      <c r="AV78" s="9">
        <f>8.7+12.3</f>
        <v>21</v>
      </c>
      <c r="AW78" s="2">
        <f t="shared" si="47"/>
        <v>0.76859999999999995</v>
      </c>
      <c r="AX78" s="2">
        <f t="shared" si="48"/>
        <v>2.4990000000000001</v>
      </c>
      <c r="AY78" s="2">
        <f t="shared" si="49"/>
        <v>9.5760000000000005</v>
      </c>
    </row>
    <row r="79" spans="1:51" x14ac:dyDescent="0.3">
      <c r="A79" s="27" t="s">
        <v>80</v>
      </c>
      <c r="B79" s="8">
        <f>3+6.65</f>
        <v>9.65</v>
      </c>
      <c r="C79" s="8">
        <v>3.6</v>
      </c>
      <c r="D79" s="8">
        <v>13.4</v>
      </c>
      <c r="E79" s="9">
        <v>52.4</v>
      </c>
      <c r="F79" s="8">
        <f>6.65+43.6</f>
        <v>50.25</v>
      </c>
      <c r="G79" s="27" t="s">
        <v>80</v>
      </c>
      <c r="H79" s="8">
        <f>5.59+4.83</f>
        <v>10.42</v>
      </c>
      <c r="I79" s="8">
        <v>10.8</v>
      </c>
      <c r="J79" s="8">
        <v>6.15</v>
      </c>
      <c r="K79" s="8">
        <v>27.7</v>
      </c>
      <c r="L79" s="8">
        <f>4.83+22.6</f>
        <v>27.43</v>
      </c>
      <c r="M79" s="27" t="s">
        <v>80</v>
      </c>
      <c r="N79" s="11">
        <f>8.3+5.46</f>
        <v>13.760000000000002</v>
      </c>
      <c r="O79" s="9">
        <v>2.58</v>
      </c>
      <c r="P79" s="9">
        <v>1.77</v>
      </c>
      <c r="Q79" s="10">
        <v>22.3</v>
      </c>
      <c r="R79" s="10">
        <f>5.46+20.5</f>
        <v>25.96</v>
      </c>
      <c r="S79" s="9"/>
      <c r="T79" s="27" t="s">
        <v>80</v>
      </c>
      <c r="U79" s="9">
        <f>4.07+4.86</f>
        <v>8.93</v>
      </c>
      <c r="V79" s="9">
        <v>9.93</v>
      </c>
      <c r="W79" s="9">
        <v>5.24</v>
      </c>
      <c r="X79" s="10">
        <v>34.9</v>
      </c>
      <c r="Y79" s="10">
        <f>4.86+32.1</f>
        <v>36.96</v>
      </c>
      <c r="AB79" s="27" t="s">
        <v>80</v>
      </c>
      <c r="AC79" s="8">
        <f>3+6.65</f>
        <v>9.65</v>
      </c>
      <c r="AD79" s="2">
        <f t="shared" si="50"/>
        <v>0.34740000000000004</v>
      </c>
      <c r="AE79" s="2">
        <f t="shared" si="56"/>
        <v>1.2930999999999999</v>
      </c>
      <c r="AF79" s="2">
        <f t="shared" si="57"/>
        <v>5.0566000000000004</v>
      </c>
      <c r="AH79" s="27" t="s">
        <v>80</v>
      </c>
      <c r="AI79" s="8">
        <f>5.59+4.83</f>
        <v>10.42</v>
      </c>
      <c r="AJ79" s="2">
        <f t="shared" si="58"/>
        <v>1.1253599999999999</v>
      </c>
      <c r="AK79" s="2">
        <f t="shared" si="59"/>
        <v>0.64083000000000001</v>
      </c>
      <c r="AL79" s="2">
        <f t="shared" si="60"/>
        <v>2.8863400000000001</v>
      </c>
      <c r="AN79" s="27" t="s">
        <v>80</v>
      </c>
      <c r="AO79" s="11">
        <v>20.5</v>
      </c>
      <c r="AP79" s="2">
        <f t="shared" si="46"/>
        <v>0.52890000000000004</v>
      </c>
      <c r="AQ79" s="2">
        <f t="shared" si="61"/>
        <v>0.36285000000000006</v>
      </c>
      <c r="AR79" s="2">
        <f t="shared" si="62"/>
        <v>4.5715000000000003</v>
      </c>
      <c r="AU79" s="27" t="s">
        <v>80</v>
      </c>
      <c r="AV79" s="9">
        <f>4.07+4.86</f>
        <v>8.93</v>
      </c>
      <c r="AW79" s="2">
        <f t="shared" si="47"/>
        <v>0.8867489999999999</v>
      </c>
      <c r="AX79" s="2">
        <f t="shared" si="48"/>
        <v>0.46793200000000001</v>
      </c>
      <c r="AY79" s="2">
        <f t="shared" si="49"/>
        <v>3.1165699999999998</v>
      </c>
    </row>
    <row r="80" spans="1:51" x14ac:dyDescent="0.3">
      <c r="A80" s="27" t="s">
        <v>81</v>
      </c>
      <c r="B80" s="16"/>
      <c r="C80" s="8">
        <v>5.97</v>
      </c>
      <c r="D80" s="8">
        <v>17.600000000000001</v>
      </c>
      <c r="E80" s="9">
        <v>50.2</v>
      </c>
      <c r="F80" s="16"/>
      <c r="G80" s="27" t="s">
        <v>81</v>
      </c>
      <c r="H80" s="16"/>
      <c r="I80" s="8">
        <v>2.9</v>
      </c>
      <c r="J80" s="8">
        <v>0.68</v>
      </c>
      <c r="K80" s="8">
        <v>69.099999999999994</v>
      </c>
      <c r="L80" s="16"/>
      <c r="M80" s="27" t="s">
        <v>81</v>
      </c>
      <c r="N80" s="15"/>
      <c r="O80" s="9">
        <v>1.74</v>
      </c>
      <c r="P80" s="9">
        <v>7.09</v>
      </c>
      <c r="Q80" s="10">
        <v>29.5</v>
      </c>
      <c r="R80" s="16"/>
      <c r="S80" s="9"/>
      <c r="T80" s="27" t="s">
        <v>81</v>
      </c>
      <c r="U80" s="17"/>
      <c r="V80" s="9">
        <v>4.9800000000000004</v>
      </c>
      <c r="W80" s="9">
        <v>6.18</v>
      </c>
      <c r="X80" s="10">
        <v>43.1</v>
      </c>
      <c r="Y80" s="16"/>
      <c r="AB80" s="27" t="s">
        <v>81</v>
      </c>
      <c r="AC80" s="16"/>
      <c r="AD80" s="16"/>
      <c r="AE80" s="16"/>
      <c r="AF80" s="16"/>
      <c r="AH80" s="27" t="s">
        <v>81</v>
      </c>
      <c r="AI80" s="16"/>
      <c r="AJ80" s="16"/>
      <c r="AK80" s="16"/>
      <c r="AL80" s="16"/>
      <c r="AN80" s="27" t="s">
        <v>81</v>
      </c>
      <c r="AO80" s="15"/>
      <c r="AP80" s="15"/>
      <c r="AQ80" s="15"/>
      <c r="AR80" s="15"/>
      <c r="AU80" s="27" t="s">
        <v>81</v>
      </c>
      <c r="AV80" s="17"/>
    </row>
    <row r="81" spans="1:51" x14ac:dyDescent="0.3">
      <c r="A81" s="27" t="s">
        <v>82</v>
      </c>
      <c r="B81" s="8">
        <f>1.64+18.3</f>
        <v>19.940000000000001</v>
      </c>
      <c r="C81" s="8">
        <v>0.28000000000000003</v>
      </c>
      <c r="D81" s="8">
        <v>1.56</v>
      </c>
      <c r="E81" s="62"/>
      <c r="F81" s="8">
        <f>18.3+30.8</f>
        <v>49.1</v>
      </c>
      <c r="G81" s="27" t="s">
        <v>82</v>
      </c>
      <c r="H81" s="8">
        <f>0.44+3.81</f>
        <v>4.25</v>
      </c>
      <c r="I81" s="16"/>
      <c r="J81" s="16"/>
      <c r="K81" s="16"/>
      <c r="L81" s="8">
        <f>3.81+48.5</f>
        <v>52.31</v>
      </c>
      <c r="M81" s="27" t="s">
        <v>82</v>
      </c>
      <c r="N81" s="11">
        <f>1.89+2.28</f>
        <v>4.17</v>
      </c>
      <c r="O81" s="9">
        <v>2.87</v>
      </c>
      <c r="P81" s="9">
        <v>1.29</v>
      </c>
      <c r="Q81" s="65"/>
      <c r="R81" s="10">
        <f>2.28+13.1</f>
        <v>15.379999999999999</v>
      </c>
      <c r="S81" s="9"/>
      <c r="T81" s="27" t="s">
        <v>82</v>
      </c>
      <c r="U81" s="9">
        <f>1.93+2.55</f>
        <v>4.4799999999999995</v>
      </c>
      <c r="V81" s="9">
        <v>1.52</v>
      </c>
      <c r="W81" s="9">
        <v>1.05</v>
      </c>
      <c r="X81" s="10">
        <v>55.8</v>
      </c>
      <c r="Y81" s="10">
        <f>2.55+26.6</f>
        <v>29.150000000000002</v>
      </c>
      <c r="AB81" s="27" t="s">
        <v>82</v>
      </c>
      <c r="AC81" s="8">
        <f>1.64+18.3</f>
        <v>19.940000000000001</v>
      </c>
      <c r="AD81" s="2">
        <f t="shared" si="50"/>
        <v>5.5832000000000007E-2</v>
      </c>
      <c r="AE81" s="2">
        <f t="shared" ref="AE81:AE85" si="63">AC81*D81/100</f>
        <v>0.31106400000000006</v>
      </c>
      <c r="AF81" s="83"/>
      <c r="AH81" s="27" t="s">
        <v>82</v>
      </c>
      <c r="AI81" s="8">
        <f>0.44+3.81</f>
        <v>4.25</v>
      </c>
      <c r="AJ81" s="16"/>
      <c r="AK81" s="16"/>
      <c r="AL81" s="16"/>
      <c r="AN81" s="27" t="s">
        <v>82</v>
      </c>
      <c r="AO81" s="11">
        <v>13.1</v>
      </c>
      <c r="AP81" s="2">
        <f t="shared" ref="AP81:AP92" si="64">AO81*O81/100</f>
        <v>0.37597000000000003</v>
      </c>
      <c r="AQ81" s="2">
        <f t="shared" ref="AQ81:AQ92" si="65">AO81*P81/100</f>
        <v>0.16899</v>
      </c>
      <c r="AR81" s="83"/>
      <c r="AU81" s="27" t="s">
        <v>82</v>
      </c>
      <c r="AV81" s="9">
        <f>1.93+2.55</f>
        <v>4.4799999999999995</v>
      </c>
      <c r="AW81" s="2">
        <f t="shared" si="47"/>
        <v>6.809599999999999E-2</v>
      </c>
      <c r="AX81" s="2">
        <f t="shared" si="48"/>
        <v>4.7039999999999998E-2</v>
      </c>
      <c r="AY81" s="2">
        <f t="shared" si="49"/>
        <v>2.4998399999999994</v>
      </c>
    </row>
    <row r="82" spans="1:51" x14ac:dyDescent="0.3">
      <c r="A82" s="27" t="s">
        <v>83</v>
      </c>
      <c r="B82" s="8">
        <f>14.5+12</f>
        <v>26.5</v>
      </c>
      <c r="C82" s="8">
        <v>7.42</v>
      </c>
      <c r="D82" s="8">
        <v>8.15</v>
      </c>
      <c r="E82" s="9">
        <v>41.4</v>
      </c>
      <c r="F82" s="8">
        <f>12+17.3</f>
        <v>29.3</v>
      </c>
      <c r="G82" s="27" t="s">
        <v>83</v>
      </c>
      <c r="H82" s="8">
        <f>11.3+11.8</f>
        <v>23.1</v>
      </c>
      <c r="I82" s="8">
        <v>7.09</v>
      </c>
      <c r="J82" s="8">
        <v>5.16</v>
      </c>
      <c r="K82" s="8">
        <v>47.9</v>
      </c>
      <c r="L82" s="8">
        <f>11.8+23.9</f>
        <v>35.700000000000003</v>
      </c>
      <c r="M82" s="27" t="s">
        <v>83</v>
      </c>
      <c r="N82" s="11">
        <f>10.4+9.38</f>
        <v>19.78</v>
      </c>
      <c r="O82" s="9">
        <v>2.6</v>
      </c>
      <c r="P82" s="9">
        <v>6.83</v>
      </c>
      <c r="Q82" s="10">
        <v>29.4</v>
      </c>
      <c r="R82" s="10">
        <f>9.38+26.7</f>
        <v>36.08</v>
      </c>
      <c r="S82" s="9"/>
      <c r="T82" s="27" t="s">
        <v>83</v>
      </c>
      <c r="U82" s="9">
        <f>4.86+9.88</f>
        <v>14.740000000000002</v>
      </c>
      <c r="V82" s="9">
        <v>2.83</v>
      </c>
      <c r="W82" s="9">
        <v>11.8</v>
      </c>
      <c r="X82" s="10">
        <v>48.2</v>
      </c>
      <c r="Y82" s="10">
        <f>9.88+38.9</f>
        <v>48.78</v>
      </c>
      <c r="AB82" s="27" t="s">
        <v>83</v>
      </c>
      <c r="AC82" s="8">
        <f>14.5+12</f>
        <v>26.5</v>
      </c>
      <c r="AD82" s="2">
        <f t="shared" si="50"/>
        <v>1.9662999999999999</v>
      </c>
      <c r="AE82" s="2">
        <f t="shared" si="63"/>
        <v>2.1597500000000003</v>
      </c>
      <c r="AF82" s="2">
        <f t="shared" ref="AF82:AF85" si="66">E82*B82/100</f>
        <v>10.970999999999998</v>
      </c>
      <c r="AH82" s="27" t="s">
        <v>83</v>
      </c>
      <c r="AI82" s="8">
        <f>11.3+11.8</f>
        <v>23.1</v>
      </c>
      <c r="AJ82" s="2">
        <f t="shared" ref="AJ82:AJ87" si="67">AI82*I82/100</f>
        <v>1.6377899999999999</v>
      </c>
      <c r="AK82" s="2">
        <f t="shared" ref="AK82:AK87" si="68">AI82*J82/100</f>
        <v>1.1919600000000001</v>
      </c>
      <c r="AL82" s="2">
        <f t="shared" ref="AL82:AL87" si="69">AI82*K82/100</f>
        <v>11.0649</v>
      </c>
      <c r="AN82" s="27" t="s">
        <v>83</v>
      </c>
      <c r="AO82" s="11">
        <v>26.7</v>
      </c>
      <c r="AP82" s="2">
        <f t="shared" si="64"/>
        <v>0.69420000000000004</v>
      </c>
      <c r="AQ82" s="2">
        <f t="shared" si="65"/>
        <v>1.82361</v>
      </c>
      <c r="AR82" s="2">
        <f t="shared" ref="AR82:AR92" si="70">AO82*Q82/100</f>
        <v>7.8497999999999992</v>
      </c>
      <c r="AU82" s="27" t="s">
        <v>83</v>
      </c>
      <c r="AV82" s="9">
        <f>4.86+9.88</f>
        <v>14.740000000000002</v>
      </c>
      <c r="AW82" s="2">
        <f t="shared" si="47"/>
        <v>0.41714200000000007</v>
      </c>
      <c r="AX82" s="2">
        <f t="shared" si="48"/>
        <v>1.7393200000000004</v>
      </c>
      <c r="AY82" s="2">
        <f t="shared" si="49"/>
        <v>7.1046800000000019</v>
      </c>
    </row>
    <row r="83" spans="1:51" x14ac:dyDescent="0.3">
      <c r="A83" s="27" t="s">
        <v>84</v>
      </c>
      <c r="B83" s="8">
        <f>8.88+21.6</f>
        <v>30.480000000000004</v>
      </c>
      <c r="C83" s="8">
        <v>11.2</v>
      </c>
      <c r="D83" s="8">
        <v>9.01</v>
      </c>
      <c r="E83" s="9">
        <v>52.1</v>
      </c>
      <c r="F83" s="8">
        <f>21.6+30.9</f>
        <v>52.5</v>
      </c>
      <c r="G83" s="27" t="s">
        <v>84</v>
      </c>
      <c r="H83" s="8">
        <f>7.35+18.4</f>
        <v>25.75</v>
      </c>
      <c r="I83" s="8">
        <v>2.78</v>
      </c>
      <c r="J83" s="8">
        <v>6.09</v>
      </c>
      <c r="K83" s="8">
        <v>58.7</v>
      </c>
      <c r="L83" s="8">
        <f>18.4+39.4</f>
        <v>57.8</v>
      </c>
      <c r="M83" s="27" t="s">
        <v>84</v>
      </c>
      <c r="N83" s="11">
        <f>4.31+3.72</f>
        <v>8.0299999999999994</v>
      </c>
      <c r="O83" s="9">
        <v>2.06</v>
      </c>
      <c r="P83" s="9">
        <v>19.7</v>
      </c>
      <c r="Q83" s="10">
        <v>25.8</v>
      </c>
      <c r="R83" s="10">
        <f>3.72+24.8</f>
        <v>28.52</v>
      </c>
      <c r="S83" s="9"/>
      <c r="T83" s="27" t="s">
        <v>84</v>
      </c>
      <c r="U83" s="9">
        <f>5.24+10.4</f>
        <v>15.64</v>
      </c>
      <c r="V83" s="9">
        <v>1.98</v>
      </c>
      <c r="W83" s="9">
        <v>2.72</v>
      </c>
      <c r="X83" s="10">
        <v>55.5</v>
      </c>
      <c r="Y83" s="10">
        <f>10.4+36.1</f>
        <v>46.5</v>
      </c>
      <c r="AB83" s="27" t="s">
        <v>84</v>
      </c>
      <c r="AC83" s="8">
        <f>8.88+21.6</f>
        <v>30.480000000000004</v>
      </c>
      <c r="AD83" s="2">
        <f t="shared" si="50"/>
        <v>3.4137600000000003</v>
      </c>
      <c r="AE83" s="2">
        <f t="shared" si="63"/>
        <v>2.7462480000000005</v>
      </c>
      <c r="AF83" s="2">
        <f t="shared" si="66"/>
        <v>15.880080000000003</v>
      </c>
      <c r="AH83" s="27" t="s">
        <v>84</v>
      </c>
      <c r="AI83" s="8">
        <f>7.35+18.4</f>
        <v>25.75</v>
      </c>
      <c r="AJ83" s="2">
        <f t="shared" si="67"/>
        <v>0.71584999999999999</v>
      </c>
      <c r="AK83" s="2">
        <f t="shared" si="68"/>
        <v>1.5681749999999999</v>
      </c>
      <c r="AL83" s="2">
        <f t="shared" si="69"/>
        <v>15.115250000000001</v>
      </c>
      <c r="AN83" s="27" t="s">
        <v>84</v>
      </c>
      <c r="AO83" s="11">
        <v>24.8</v>
      </c>
      <c r="AP83" s="2">
        <f t="shared" si="64"/>
        <v>0.51088</v>
      </c>
      <c r="AQ83" s="2">
        <f t="shared" si="65"/>
        <v>4.8856000000000002</v>
      </c>
      <c r="AR83" s="2">
        <f t="shared" si="70"/>
        <v>6.3984000000000005</v>
      </c>
      <c r="AU83" s="27" t="s">
        <v>84</v>
      </c>
      <c r="AV83" s="9">
        <f>5.24+10.4</f>
        <v>15.64</v>
      </c>
      <c r="AW83" s="2">
        <f t="shared" si="47"/>
        <v>0.309672</v>
      </c>
      <c r="AX83" s="2">
        <f t="shared" si="48"/>
        <v>0.42540800000000006</v>
      </c>
      <c r="AY83" s="2">
        <f t="shared" si="49"/>
        <v>8.6801999999999992</v>
      </c>
    </row>
    <row r="84" spans="1:51" x14ac:dyDescent="0.3">
      <c r="A84" s="27" t="s">
        <v>85</v>
      </c>
      <c r="B84" s="8">
        <f>8.36+1.22</f>
        <v>9.58</v>
      </c>
      <c r="C84" s="8">
        <v>19.7</v>
      </c>
      <c r="D84" s="8">
        <v>8.66</v>
      </c>
      <c r="E84" s="9">
        <v>50.8</v>
      </c>
      <c r="F84" s="8">
        <f>8.36+30</f>
        <v>38.36</v>
      </c>
      <c r="G84" s="27" t="s">
        <v>85</v>
      </c>
      <c r="H84" s="8">
        <f>1.04+0.84</f>
        <v>1.88</v>
      </c>
      <c r="I84" s="8">
        <v>8.26</v>
      </c>
      <c r="J84" s="8">
        <v>4.41</v>
      </c>
      <c r="K84" s="8">
        <v>30.9</v>
      </c>
      <c r="L84" s="8">
        <f>1.04+22.3</f>
        <v>23.34</v>
      </c>
      <c r="M84" s="27" t="s">
        <v>85</v>
      </c>
      <c r="N84" s="11">
        <f>1.51+2.4</f>
        <v>3.91</v>
      </c>
      <c r="O84" s="9">
        <v>5.17</v>
      </c>
      <c r="P84" s="9">
        <v>6.22</v>
      </c>
      <c r="Q84" s="10">
        <v>15.4</v>
      </c>
      <c r="R84" s="10">
        <f>1.51+20.5</f>
        <v>22.01</v>
      </c>
      <c r="S84" s="9"/>
      <c r="T84" s="27" t="s">
        <v>85</v>
      </c>
      <c r="U84" s="9">
        <f>1.91+1.54</f>
        <v>3.45</v>
      </c>
      <c r="V84" s="9">
        <v>14.8</v>
      </c>
      <c r="W84" s="9">
        <v>9.74</v>
      </c>
      <c r="X84" s="10">
        <v>19.100000000000001</v>
      </c>
      <c r="Y84" s="10">
        <f>1.91+33.9</f>
        <v>35.809999999999995</v>
      </c>
      <c r="AB84" s="27" t="s">
        <v>85</v>
      </c>
      <c r="AC84" s="8">
        <f>8.36+1.22</f>
        <v>9.58</v>
      </c>
      <c r="AD84" s="2">
        <f t="shared" si="50"/>
        <v>1.8872599999999999</v>
      </c>
      <c r="AE84" s="2">
        <f t="shared" si="63"/>
        <v>0.82962800000000003</v>
      </c>
      <c r="AF84" s="2">
        <f t="shared" si="66"/>
        <v>4.8666400000000003</v>
      </c>
      <c r="AH84" s="27" t="s">
        <v>85</v>
      </c>
      <c r="AI84" s="8">
        <f>1.04+0.84</f>
        <v>1.88</v>
      </c>
      <c r="AJ84" s="2">
        <f t="shared" si="67"/>
        <v>0.15528799999999998</v>
      </c>
      <c r="AK84" s="2">
        <f t="shared" si="68"/>
        <v>8.2907999999999996E-2</v>
      </c>
      <c r="AL84" s="2">
        <f t="shared" si="69"/>
        <v>0.58091999999999988</v>
      </c>
      <c r="AN84" s="27" t="s">
        <v>85</v>
      </c>
      <c r="AO84" s="11">
        <f>1.51+2.4</f>
        <v>3.91</v>
      </c>
      <c r="AP84" s="2">
        <f t="shared" si="64"/>
        <v>0.20214699999999999</v>
      </c>
      <c r="AQ84" s="2">
        <f t="shared" si="65"/>
        <v>0.243202</v>
      </c>
      <c r="AR84" s="2">
        <f t="shared" si="70"/>
        <v>0.60214000000000001</v>
      </c>
      <c r="AU84" s="27" t="s">
        <v>85</v>
      </c>
      <c r="AV84" s="9">
        <f>1.91+1.54</f>
        <v>3.45</v>
      </c>
      <c r="AW84" s="2">
        <f t="shared" si="47"/>
        <v>0.51060000000000005</v>
      </c>
      <c r="AX84" s="2">
        <f t="shared" si="48"/>
        <v>0.33603</v>
      </c>
      <c r="AY84" s="2">
        <f t="shared" si="49"/>
        <v>0.65895000000000015</v>
      </c>
    </row>
    <row r="85" spans="1:51" x14ac:dyDescent="0.3">
      <c r="A85" s="27" t="s">
        <v>86</v>
      </c>
      <c r="B85" s="8">
        <f>3.92+7.37</f>
        <v>11.29</v>
      </c>
      <c r="C85" s="8">
        <v>37.4</v>
      </c>
      <c r="D85" s="8">
        <v>18</v>
      </c>
      <c r="E85" s="9">
        <v>16.899999999999999</v>
      </c>
      <c r="F85" s="8">
        <f>7.37+27.3</f>
        <v>34.67</v>
      </c>
      <c r="G85" s="27" t="s">
        <v>86</v>
      </c>
      <c r="H85" s="8">
        <f>3.71+2.88</f>
        <v>6.59</v>
      </c>
      <c r="I85" s="8">
        <v>14.4</v>
      </c>
      <c r="J85" s="8">
        <v>25.6</v>
      </c>
      <c r="K85" s="8">
        <v>8.83</v>
      </c>
      <c r="L85" s="8">
        <f>2.88+21.1</f>
        <v>23.98</v>
      </c>
      <c r="M85" s="27" t="s">
        <v>86</v>
      </c>
      <c r="N85" s="11">
        <f>11.1+5.82</f>
        <v>16.920000000000002</v>
      </c>
      <c r="O85" s="9">
        <v>8.9600000000000009</v>
      </c>
      <c r="P85" s="9">
        <v>56.6</v>
      </c>
      <c r="Q85" s="10">
        <v>2.2000000000000002</v>
      </c>
      <c r="R85" s="10">
        <f>5.82+21.1</f>
        <v>26.92</v>
      </c>
      <c r="S85" s="9"/>
      <c r="T85" s="27" t="s">
        <v>86</v>
      </c>
      <c r="U85" s="9">
        <f>4.92+4.92</f>
        <v>9.84</v>
      </c>
      <c r="V85" s="9">
        <v>15.1</v>
      </c>
      <c r="W85" s="9">
        <v>38.200000000000003</v>
      </c>
      <c r="X85" s="10">
        <v>6.88</v>
      </c>
      <c r="Y85" s="10">
        <f>4.92+32.5</f>
        <v>37.42</v>
      </c>
      <c r="AB85" s="27" t="s">
        <v>86</v>
      </c>
      <c r="AC85" s="8">
        <f>3.92+7.37</f>
        <v>11.29</v>
      </c>
      <c r="AD85" s="2">
        <f t="shared" si="50"/>
        <v>4.222459999999999</v>
      </c>
      <c r="AE85" s="2">
        <f t="shared" si="63"/>
        <v>2.0321999999999996</v>
      </c>
      <c r="AF85" s="2">
        <f t="shared" si="66"/>
        <v>1.9080099999999995</v>
      </c>
      <c r="AH85" s="27" t="s">
        <v>86</v>
      </c>
      <c r="AI85" s="8">
        <f>3.71+2.88</f>
        <v>6.59</v>
      </c>
      <c r="AJ85" s="2">
        <f t="shared" si="67"/>
        <v>0.94896000000000003</v>
      </c>
      <c r="AK85" s="2">
        <f t="shared" si="68"/>
        <v>1.6870400000000001</v>
      </c>
      <c r="AL85" s="2">
        <f t="shared" si="69"/>
        <v>0.581897</v>
      </c>
      <c r="AN85" s="27" t="s">
        <v>86</v>
      </c>
      <c r="AO85" s="11">
        <f>11.1+5.82</f>
        <v>16.920000000000002</v>
      </c>
      <c r="AP85" s="2">
        <f t="shared" si="64"/>
        <v>1.5160320000000005</v>
      </c>
      <c r="AQ85" s="2">
        <f t="shared" si="65"/>
        <v>9.5767200000000017</v>
      </c>
      <c r="AR85" s="2">
        <f t="shared" si="70"/>
        <v>0.37224000000000002</v>
      </c>
      <c r="AU85" s="27" t="s">
        <v>86</v>
      </c>
      <c r="AV85" s="9">
        <f>4.92+4.92</f>
        <v>9.84</v>
      </c>
      <c r="AW85" s="2">
        <f t="shared" si="47"/>
        <v>1.48584</v>
      </c>
      <c r="AX85" s="2">
        <f t="shared" si="48"/>
        <v>3.7588800000000004</v>
      </c>
      <c r="AY85" s="2">
        <f t="shared" si="49"/>
        <v>0.67699200000000004</v>
      </c>
    </row>
    <row r="86" spans="1:51" x14ac:dyDescent="0.3">
      <c r="A86" s="27" t="s">
        <v>87</v>
      </c>
      <c r="B86" s="16"/>
      <c r="C86" s="16"/>
      <c r="D86" s="16"/>
      <c r="E86" s="17"/>
      <c r="F86" s="17"/>
      <c r="G86" s="27" t="s">
        <v>87</v>
      </c>
      <c r="H86" s="8">
        <f>8.34+4.03</f>
        <v>12.370000000000001</v>
      </c>
      <c r="I86" s="8">
        <v>12</v>
      </c>
      <c r="J86" s="8">
        <v>38.200000000000003</v>
      </c>
      <c r="K86" s="8">
        <v>2</v>
      </c>
      <c r="L86" s="8">
        <f>4.03+20.1</f>
        <v>24.130000000000003</v>
      </c>
      <c r="M86" s="27" t="s">
        <v>87</v>
      </c>
      <c r="N86" s="11">
        <f>4.47+4.41</f>
        <v>8.879999999999999</v>
      </c>
      <c r="O86" s="9">
        <v>14.4</v>
      </c>
      <c r="P86" s="9">
        <v>52</v>
      </c>
      <c r="Q86" s="10">
        <v>2.66</v>
      </c>
      <c r="R86" s="10">
        <f>4.41+25.3</f>
        <v>29.71</v>
      </c>
      <c r="S86" s="9"/>
      <c r="T86" s="27" t="s">
        <v>87</v>
      </c>
      <c r="U86" s="9">
        <f>7.24+4.66</f>
        <v>11.9</v>
      </c>
      <c r="V86" s="9">
        <v>10.9</v>
      </c>
      <c r="W86" s="9">
        <v>42.5</v>
      </c>
      <c r="X86" s="10">
        <v>4.21</v>
      </c>
      <c r="Y86" s="10">
        <f>4.66+21.6</f>
        <v>26.26</v>
      </c>
      <c r="AB86" s="27" t="s">
        <v>87</v>
      </c>
      <c r="AC86" s="16"/>
      <c r="AD86" s="16"/>
      <c r="AE86" s="16"/>
      <c r="AF86" s="16"/>
      <c r="AH86" s="27" t="s">
        <v>87</v>
      </c>
      <c r="AI86" s="8">
        <f>8.34+4.03</f>
        <v>12.370000000000001</v>
      </c>
      <c r="AJ86" s="2">
        <f t="shared" si="67"/>
        <v>1.4843999999999999</v>
      </c>
      <c r="AK86" s="2">
        <f t="shared" si="68"/>
        <v>4.7253400000000001</v>
      </c>
      <c r="AL86" s="2">
        <f t="shared" si="69"/>
        <v>0.24740000000000001</v>
      </c>
      <c r="AN86" s="27" t="s">
        <v>87</v>
      </c>
      <c r="AO86" s="11">
        <f>4.47+4.41</f>
        <v>8.879999999999999</v>
      </c>
      <c r="AP86" s="2">
        <f t="shared" si="64"/>
        <v>1.2787199999999999</v>
      </c>
      <c r="AQ86" s="2">
        <f t="shared" si="65"/>
        <v>4.6175999999999995</v>
      </c>
      <c r="AR86" s="2">
        <f t="shared" si="70"/>
        <v>0.236208</v>
      </c>
      <c r="AU86" s="27" t="s">
        <v>87</v>
      </c>
      <c r="AV86" s="9">
        <f>7.24+4.66</f>
        <v>11.9</v>
      </c>
      <c r="AW86" s="2">
        <f t="shared" si="47"/>
        <v>1.2971000000000001</v>
      </c>
      <c r="AX86" s="2">
        <f t="shared" si="48"/>
        <v>5.0575000000000001</v>
      </c>
      <c r="AY86" s="2">
        <f t="shared" si="49"/>
        <v>0.50099000000000005</v>
      </c>
    </row>
    <row r="87" spans="1:51" x14ac:dyDescent="0.3">
      <c r="A87" s="27" t="s">
        <v>88</v>
      </c>
      <c r="B87" s="8">
        <f>5.61+4.99</f>
        <v>10.600000000000001</v>
      </c>
      <c r="C87" s="8">
        <v>28.1</v>
      </c>
      <c r="D87" s="60"/>
      <c r="E87" s="9">
        <v>8.1199999999999992</v>
      </c>
      <c r="F87" s="8">
        <f>4.99+18.7</f>
        <v>23.689999999999998</v>
      </c>
      <c r="G87" s="27" t="s">
        <v>88</v>
      </c>
      <c r="H87" s="8">
        <f>6.16+7.38</f>
        <v>13.54</v>
      </c>
      <c r="I87" s="8">
        <v>29.9</v>
      </c>
      <c r="J87" s="8">
        <v>31.6</v>
      </c>
      <c r="K87" s="8">
        <v>8.81</v>
      </c>
      <c r="L87" s="8">
        <f>7.38+25.4</f>
        <v>32.78</v>
      </c>
      <c r="M87" s="27" t="s">
        <v>88</v>
      </c>
      <c r="N87" s="11">
        <f>9+5.07</f>
        <v>14.07</v>
      </c>
      <c r="O87" s="9">
        <v>9.0299999999999994</v>
      </c>
      <c r="P87" s="9">
        <v>48.7</v>
      </c>
      <c r="Q87" s="10">
        <v>2.2400000000000002</v>
      </c>
      <c r="R87" s="10">
        <f>5.07+21.6</f>
        <v>26.67</v>
      </c>
      <c r="S87" s="9"/>
      <c r="T87" s="27" t="s">
        <v>88</v>
      </c>
      <c r="U87" s="9">
        <f>4.83+4.66</f>
        <v>9.49</v>
      </c>
      <c r="V87" s="9">
        <v>23.5</v>
      </c>
      <c r="W87" s="9">
        <v>35.700000000000003</v>
      </c>
      <c r="X87" s="10">
        <v>5.73</v>
      </c>
      <c r="Y87" s="10">
        <f>4.66+25.7</f>
        <v>30.36</v>
      </c>
      <c r="AB87" s="27" t="s">
        <v>88</v>
      </c>
      <c r="AC87" s="8">
        <f>5.61+4.99</f>
        <v>10.600000000000001</v>
      </c>
      <c r="AD87" s="2">
        <f t="shared" si="50"/>
        <v>2.9786000000000006</v>
      </c>
      <c r="AE87" s="83"/>
      <c r="AF87" s="2">
        <f t="shared" ref="AF87:AF93" si="71">E87*B87/100</f>
        <v>0.86072000000000004</v>
      </c>
      <c r="AH87" s="27" t="s">
        <v>88</v>
      </c>
      <c r="AI87" s="8">
        <f>6.16+7.38</f>
        <v>13.54</v>
      </c>
      <c r="AJ87" s="2">
        <f t="shared" si="67"/>
        <v>4.0484599999999995</v>
      </c>
      <c r="AK87" s="2">
        <f t="shared" si="68"/>
        <v>4.2786399999999993</v>
      </c>
      <c r="AL87" s="2">
        <f t="shared" si="69"/>
        <v>1.192874</v>
      </c>
      <c r="AN87" s="27" t="s">
        <v>88</v>
      </c>
      <c r="AO87" s="11">
        <f>9+5.07</f>
        <v>14.07</v>
      </c>
      <c r="AP87" s="2">
        <f t="shared" si="64"/>
        <v>1.270521</v>
      </c>
      <c r="AQ87" s="2">
        <f t="shared" si="65"/>
        <v>6.8520900000000005</v>
      </c>
      <c r="AR87" s="2">
        <f t="shared" si="70"/>
        <v>0.31516800000000006</v>
      </c>
      <c r="AU87" s="27" t="s">
        <v>88</v>
      </c>
      <c r="AV87" s="9">
        <f>4.83+4.66</f>
        <v>9.49</v>
      </c>
      <c r="AW87" s="2">
        <f t="shared" si="47"/>
        <v>2.2301500000000001</v>
      </c>
      <c r="AX87" s="2">
        <f t="shared" si="48"/>
        <v>3.3879299999999999</v>
      </c>
      <c r="AY87" s="2">
        <f t="shared" si="49"/>
        <v>0.54377700000000007</v>
      </c>
    </row>
    <row r="88" spans="1:51" x14ac:dyDescent="0.3">
      <c r="A88" s="27" t="s">
        <v>89</v>
      </c>
      <c r="B88" s="8">
        <f>5.93+6.37</f>
        <v>12.3</v>
      </c>
      <c r="C88" s="8">
        <v>25.7</v>
      </c>
      <c r="D88" s="60"/>
      <c r="E88" s="9">
        <v>6.48</v>
      </c>
      <c r="F88" s="8">
        <f>3.37+29.8</f>
        <v>33.17</v>
      </c>
      <c r="G88" s="27" t="s">
        <v>89</v>
      </c>
      <c r="H88" s="16"/>
      <c r="I88" s="16"/>
      <c r="J88" s="16"/>
      <c r="K88" s="16"/>
      <c r="L88" s="16"/>
      <c r="M88" s="27" t="s">
        <v>89</v>
      </c>
      <c r="N88" s="11">
        <f>4.94+3.45</f>
        <v>8.39</v>
      </c>
      <c r="O88" s="9">
        <v>11.2</v>
      </c>
      <c r="P88" s="9">
        <v>42.4</v>
      </c>
      <c r="Q88" s="10">
        <v>3.77</v>
      </c>
      <c r="R88" s="10">
        <f>3.45+20.7</f>
        <v>24.15</v>
      </c>
      <c r="S88" s="9"/>
      <c r="T88" s="27" t="s">
        <v>89</v>
      </c>
      <c r="U88" s="9">
        <f>5.02+5.38</f>
        <v>10.399999999999999</v>
      </c>
      <c r="V88" s="9">
        <v>19.7</v>
      </c>
      <c r="W88" s="9">
        <v>34.4</v>
      </c>
      <c r="X88" s="10">
        <v>7.68</v>
      </c>
      <c r="Y88" s="10">
        <f>5.38+24.2</f>
        <v>29.58</v>
      </c>
      <c r="AB88" s="27" t="s">
        <v>89</v>
      </c>
      <c r="AC88" s="8">
        <f>5.93+6.37</f>
        <v>12.3</v>
      </c>
      <c r="AD88" s="2">
        <f t="shared" si="50"/>
        <v>3.1611000000000002</v>
      </c>
      <c r="AE88" s="83"/>
      <c r="AF88" s="2">
        <f t="shared" si="71"/>
        <v>0.79704000000000008</v>
      </c>
      <c r="AH88" s="27" t="s">
        <v>89</v>
      </c>
      <c r="AI88" s="16"/>
      <c r="AJ88" s="16"/>
      <c r="AK88" s="16"/>
      <c r="AL88" s="16"/>
      <c r="AN88" s="27" t="s">
        <v>89</v>
      </c>
      <c r="AO88" s="11">
        <f>4.94+3.45</f>
        <v>8.39</v>
      </c>
      <c r="AP88" s="2">
        <f t="shared" si="64"/>
        <v>0.93968000000000007</v>
      </c>
      <c r="AQ88" s="2">
        <f t="shared" si="65"/>
        <v>3.5573600000000001</v>
      </c>
      <c r="AR88" s="2">
        <f t="shared" si="70"/>
        <v>0.316303</v>
      </c>
      <c r="AU88" s="27" t="s">
        <v>89</v>
      </c>
      <c r="AV88" s="9">
        <f>5.02+5.38</f>
        <v>10.399999999999999</v>
      </c>
      <c r="AW88" s="2">
        <f t="shared" si="47"/>
        <v>2.0487999999999995</v>
      </c>
      <c r="AX88" s="2">
        <f t="shared" si="48"/>
        <v>3.5775999999999994</v>
      </c>
      <c r="AY88" s="2">
        <f t="shared" si="49"/>
        <v>0.79871999999999987</v>
      </c>
    </row>
    <row r="89" spans="1:51" x14ac:dyDescent="0.3">
      <c r="A89" s="27" t="s">
        <v>90</v>
      </c>
      <c r="B89" s="8">
        <f>0.74+8.67</f>
        <v>9.41</v>
      </c>
      <c r="C89" s="60"/>
      <c r="D89" s="8">
        <v>9.01</v>
      </c>
      <c r="E89" s="9">
        <v>23.2</v>
      </c>
      <c r="F89" s="8">
        <f>8.67+51.7</f>
        <v>60.370000000000005</v>
      </c>
      <c r="G89" s="27" t="s">
        <v>90</v>
      </c>
      <c r="H89" s="8">
        <f>3.46+3.18</f>
        <v>6.6400000000000006</v>
      </c>
      <c r="I89" s="8">
        <v>10.9</v>
      </c>
      <c r="J89" s="8">
        <v>23.8</v>
      </c>
      <c r="K89" s="8">
        <v>8.16</v>
      </c>
      <c r="L89" s="8">
        <f>3.18+18.4</f>
        <v>21.58</v>
      </c>
      <c r="M89" s="27" t="s">
        <v>90</v>
      </c>
      <c r="N89" s="11">
        <f>6.98+4.4</f>
        <v>11.38</v>
      </c>
      <c r="O89" s="9">
        <v>11.8</v>
      </c>
      <c r="P89" s="9">
        <v>46.3</v>
      </c>
      <c r="Q89" s="10">
        <v>2.68</v>
      </c>
      <c r="R89" s="10">
        <f>4.4+22.5</f>
        <v>26.9</v>
      </c>
      <c r="S89" s="9"/>
      <c r="T89" s="27" t="s">
        <v>90</v>
      </c>
      <c r="U89" s="9">
        <f>4.8+8.2</f>
        <v>13</v>
      </c>
      <c r="V89" s="62"/>
      <c r="W89" s="9">
        <v>41.7</v>
      </c>
      <c r="X89" s="10">
        <v>6.37</v>
      </c>
      <c r="Y89" s="10">
        <f>8.2+41.9</f>
        <v>50.099999999999994</v>
      </c>
      <c r="AB89" s="27" t="s">
        <v>90</v>
      </c>
      <c r="AC89" s="8">
        <f>0.74+8.67</f>
        <v>9.41</v>
      </c>
      <c r="AD89" s="83"/>
      <c r="AE89" s="2">
        <f t="shared" ref="AE89:AE93" si="72">AC89*D89/100</f>
        <v>0.84784099999999996</v>
      </c>
      <c r="AF89" s="2">
        <f t="shared" si="71"/>
        <v>2.1831199999999997</v>
      </c>
      <c r="AH89" s="27" t="s">
        <v>90</v>
      </c>
      <c r="AI89" s="8">
        <f>3.46+3.18</f>
        <v>6.6400000000000006</v>
      </c>
      <c r="AJ89" s="2">
        <f t="shared" ref="AJ89:AJ92" si="73">AI89*I89/100</f>
        <v>0.72376000000000007</v>
      </c>
      <c r="AK89" s="2">
        <f t="shared" ref="AK89:AK92" si="74">AI89*J89/100</f>
        <v>1.5803200000000002</v>
      </c>
      <c r="AL89" s="2">
        <f t="shared" ref="AL89:AL92" si="75">AI89*K89/100</f>
        <v>0.54182400000000008</v>
      </c>
      <c r="AN89" s="27" t="s">
        <v>90</v>
      </c>
      <c r="AO89" s="11">
        <f>6.98+4.4</f>
        <v>11.38</v>
      </c>
      <c r="AP89" s="2">
        <f t="shared" si="64"/>
        <v>1.3428400000000003</v>
      </c>
      <c r="AQ89" s="2">
        <f t="shared" si="65"/>
        <v>5.2689399999999997</v>
      </c>
      <c r="AR89" s="2">
        <f t="shared" si="70"/>
        <v>0.30498400000000003</v>
      </c>
      <c r="AU89" s="27" t="s">
        <v>90</v>
      </c>
      <c r="AV89" s="9">
        <f>4.8+8.2</f>
        <v>13</v>
      </c>
      <c r="AW89" s="83"/>
      <c r="AX89" s="2">
        <f t="shared" si="48"/>
        <v>5.4210000000000003</v>
      </c>
      <c r="AY89" s="2">
        <f t="shared" si="49"/>
        <v>0.82810000000000006</v>
      </c>
    </row>
    <row r="90" spans="1:51" x14ac:dyDescent="0.3">
      <c r="A90" s="27" t="s">
        <v>91</v>
      </c>
      <c r="B90" s="8">
        <f>5.4+4.81</f>
        <v>10.210000000000001</v>
      </c>
      <c r="C90" s="8">
        <v>29.9</v>
      </c>
      <c r="D90" s="60"/>
      <c r="E90" s="9">
        <v>7.28</v>
      </c>
      <c r="F90" s="8">
        <f>4.81+21.1</f>
        <v>25.91</v>
      </c>
      <c r="G90" s="27" t="s">
        <v>91</v>
      </c>
      <c r="H90" s="8">
        <f>6.71+8.91</f>
        <v>15.620000000000001</v>
      </c>
      <c r="I90" s="8">
        <v>27.6</v>
      </c>
      <c r="J90" s="8">
        <v>39.5</v>
      </c>
      <c r="K90" s="8">
        <v>6.56</v>
      </c>
      <c r="L90" s="8">
        <f>8.91+33.2</f>
        <v>42.11</v>
      </c>
      <c r="M90" s="27" t="s">
        <v>91</v>
      </c>
      <c r="N90" s="11">
        <f>8.49+7.5</f>
        <v>15.99</v>
      </c>
      <c r="O90" s="9">
        <v>16</v>
      </c>
      <c r="P90" s="9">
        <v>50.3</v>
      </c>
      <c r="Q90" s="10">
        <v>4.3</v>
      </c>
      <c r="R90" s="10">
        <f>8.49+7.5</f>
        <v>15.99</v>
      </c>
      <c r="S90" s="9"/>
      <c r="T90" s="27" t="s">
        <v>91</v>
      </c>
      <c r="U90" s="9">
        <f>1.18+1.4</f>
        <v>2.58</v>
      </c>
      <c r="V90" s="62"/>
      <c r="W90" s="9">
        <v>14.6</v>
      </c>
      <c r="X90" s="10">
        <v>14.8</v>
      </c>
      <c r="Y90" s="10">
        <f>1.4+58.2</f>
        <v>59.6</v>
      </c>
      <c r="AB90" s="27" t="s">
        <v>91</v>
      </c>
      <c r="AC90" s="8">
        <f>5.4+4.81</f>
        <v>10.210000000000001</v>
      </c>
      <c r="AD90" s="2">
        <f t="shared" si="50"/>
        <v>3.0527899999999999</v>
      </c>
      <c r="AE90" s="83"/>
      <c r="AF90" s="2">
        <f t="shared" si="71"/>
        <v>0.74328800000000017</v>
      </c>
      <c r="AH90" s="27" t="s">
        <v>91</v>
      </c>
      <c r="AI90" s="8">
        <f>6.71+8.91</f>
        <v>15.620000000000001</v>
      </c>
      <c r="AJ90" s="2">
        <f t="shared" si="73"/>
        <v>4.3111199999999998</v>
      </c>
      <c r="AK90" s="2">
        <f t="shared" si="74"/>
        <v>6.1699000000000002</v>
      </c>
      <c r="AL90" s="2">
        <f t="shared" si="75"/>
        <v>1.024672</v>
      </c>
      <c r="AN90" s="27" t="s">
        <v>91</v>
      </c>
      <c r="AO90" s="11">
        <f>8.49+7.5</f>
        <v>15.99</v>
      </c>
      <c r="AP90" s="2">
        <f t="shared" si="64"/>
        <v>2.5584000000000002</v>
      </c>
      <c r="AQ90" s="2">
        <f t="shared" si="65"/>
        <v>8.0429699999999986</v>
      </c>
      <c r="AR90" s="2">
        <f t="shared" si="70"/>
        <v>0.68757000000000001</v>
      </c>
      <c r="AU90" s="27" t="s">
        <v>91</v>
      </c>
      <c r="AV90" s="9">
        <f>1.18+1.4</f>
        <v>2.58</v>
      </c>
      <c r="AW90" s="83"/>
      <c r="AX90" s="2">
        <f t="shared" si="48"/>
        <v>0.37668000000000001</v>
      </c>
      <c r="AY90" s="2">
        <f t="shared" si="49"/>
        <v>0.38184000000000007</v>
      </c>
    </row>
    <row r="91" spans="1:51" x14ac:dyDescent="0.3">
      <c r="A91" s="27" t="s">
        <v>92</v>
      </c>
      <c r="B91" s="8">
        <f>3.72+2.5</f>
        <v>6.2200000000000006</v>
      </c>
      <c r="C91" s="8">
        <v>7.15</v>
      </c>
      <c r="D91" s="60"/>
      <c r="E91" s="9">
        <v>7.6</v>
      </c>
      <c r="F91" s="60"/>
      <c r="G91" s="27" t="s">
        <v>92</v>
      </c>
      <c r="H91" s="8">
        <f>4.97+2.43</f>
        <v>7.4</v>
      </c>
      <c r="I91" s="8">
        <v>10.8</v>
      </c>
      <c r="J91" s="8">
        <v>24.2</v>
      </c>
      <c r="K91" s="8">
        <v>5.13</v>
      </c>
      <c r="L91" s="8">
        <f>2.43+6.55</f>
        <v>8.98</v>
      </c>
      <c r="M91" s="27" t="s">
        <v>92</v>
      </c>
      <c r="N91" s="11">
        <f>3.08+0.84</f>
        <v>3.92</v>
      </c>
      <c r="O91" s="9">
        <v>4.13</v>
      </c>
      <c r="P91" s="9">
        <v>26.5</v>
      </c>
      <c r="Q91" s="10">
        <v>3.96</v>
      </c>
      <c r="R91" s="10">
        <f>0.84+2.34</f>
        <v>3.1799999999999997</v>
      </c>
      <c r="S91" s="9"/>
      <c r="T91" s="27" t="s">
        <v>92</v>
      </c>
      <c r="U91" s="9">
        <f>5.22+2.72</f>
        <v>7.9399999999999995</v>
      </c>
      <c r="V91" s="9">
        <v>8.99</v>
      </c>
      <c r="W91" s="9">
        <v>26.9</v>
      </c>
      <c r="X91" s="10">
        <v>9.33</v>
      </c>
      <c r="Y91" s="10">
        <f>2.72+6.97</f>
        <v>9.69</v>
      </c>
      <c r="AB91" s="27" t="s">
        <v>92</v>
      </c>
      <c r="AC91" s="8">
        <f>3.72+2.5</f>
        <v>6.2200000000000006</v>
      </c>
      <c r="AD91" s="2">
        <f t="shared" si="50"/>
        <v>0.44473000000000007</v>
      </c>
      <c r="AE91" s="83"/>
      <c r="AF91" s="2">
        <f t="shared" si="71"/>
        <v>0.47272000000000003</v>
      </c>
      <c r="AH91" s="27" t="s">
        <v>92</v>
      </c>
      <c r="AI91" s="8">
        <f>4.97+2.43</f>
        <v>7.4</v>
      </c>
      <c r="AJ91" s="2">
        <f t="shared" si="73"/>
        <v>0.79920000000000013</v>
      </c>
      <c r="AK91" s="2">
        <f t="shared" si="74"/>
        <v>1.7908000000000002</v>
      </c>
      <c r="AL91" s="2">
        <f t="shared" si="75"/>
        <v>0.37962000000000001</v>
      </c>
      <c r="AN91" s="27" t="s">
        <v>92</v>
      </c>
      <c r="AO91" s="11">
        <f>3.08+0.84</f>
        <v>3.92</v>
      </c>
      <c r="AP91" s="2">
        <f t="shared" si="64"/>
        <v>0.16189599999999998</v>
      </c>
      <c r="AQ91" s="2">
        <f t="shared" si="65"/>
        <v>1.0387999999999999</v>
      </c>
      <c r="AR91" s="2">
        <f t="shared" si="70"/>
        <v>0.15523199999999998</v>
      </c>
      <c r="AU91" s="27" t="s">
        <v>92</v>
      </c>
      <c r="AV91" s="9">
        <f>5.22+2.72</f>
        <v>7.9399999999999995</v>
      </c>
      <c r="AW91" s="2">
        <f t="shared" si="47"/>
        <v>0.71380600000000005</v>
      </c>
      <c r="AX91" s="2">
        <f t="shared" si="48"/>
        <v>2.1358599999999996</v>
      </c>
      <c r="AY91" s="2">
        <f t="shared" si="49"/>
        <v>0.74080199999999996</v>
      </c>
    </row>
    <row r="92" spans="1:51" x14ac:dyDescent="0.3">
      <c r="A92" s="27" t="s">
        <v>93</v>
      </c>
      <c r="B92" s="8">
        <f>1.74+2.93</f>
        <v>4.67</v>
      </c>
      <c r="C92" s="8">
        <v>32.299999999999997</v>
      </c>
      <c r="D92" s="8">
        <v>12</v>
      </c>
      <c r="E92" s="9">
        <v>18.7</v>
      </c>
      <c r="F92" s="8">
        <f>2.93+21.1</f>
        <v>24.03</v>
      </c>
      <c r="G92" s="27" t="s">
        <v>93</v>
      </c>
      <c r="H92" s="8">
        <f>3.27+6.64</f>
        <v>9.91</v>
      </c>
      <c r="I92" s="8">
        <v>27.6</v>
      </c>
      <c r="J92" s="8">
        <v>22.8</v>
      </c>
      <c r="K92" s="8">
        <v>11.7</v>
      </c>
      <c r="L92" s="8">
        <f>6.64+36</f>
        <v>42.64</v>
      </c>
      <c r="M92" s="27" t="s">
        <v>93</v>
      </c>
      <c r="N92" s="11">
        <f>5.09+4.74</f>
        <v>9.83</v>
      </c>
      <c r="O92" s="9">
        <v>15.8</v>
      </c>
      <c r="P92" s="9">
        <v>35.5</v>
      </c>
      <c r="Q92" s="10">
        <v>5.83</v>
      </c>
      <c r="R92" s="10">
        <f>4.74+26.6</f>
        <v>31.340000000000003</v>
      </c>
      <c r="S92" s="9"/>
      <c r="T92" s="27" t="s">
        <v>93</v>
      </c>
      <c r="U92" s="9">
        <f>4.28+4.95</f>
        <v>9.23</v>
      </c>
      <c r="V92" s="9">
        <v>21.5</v>
      </c>
      <c r="W92" s="9">
        <v>26.8</v>
      </c>
      <c r="X92" s="10">
        <v>6.22</v>
      </c>
      <c r="Y92" s="10">
        <f>4.95+28.6</f>
        <v>33.550000000000004</v>
      </c>
      <c r="AB92" s="27" t="s">
        <v>93</v>
      </c>
      <c r="AC92" s="8">
        <f>1.74+2.93</f>
        <v>4.67</v>
      </c>
      <c r="AD92" s="2">
        <f t="shared" si="50"/>
        <v>1.5084099999999998</v>
      </c>
      <c r="AE92" s="2">
        <f t="shared" si="72"/>
        <v>0.56040000000000001</v>
      </c>
      <c r="AF92" s="2">
        <f t="shared" si="71"/>
        <v>0.8732899999999999</v>
      </c>
      <c r="AH92" s="27" t="s">
        <v>93</v>
      </c>
      <c r="AI92" s="8">
        <f>3.27+6.64</f>
        <v>9.91</v>
      </c>
      <c r="AJ92" s="2">
        <f t="shared" si="73"/>
        <v>2.73516</v>
      </c>
      <c r="AK92" s="2">
        <f t="shared" si="74"/>
        <v>2.2594799999999999</v>
      </c>
      <c r="AL92" s="2">
        <f t="shared" si="75"/>
        <v>1.1594699999999998</v>
      </c>
      <c r="AN92" s="27" t="s">
        <v>93</v>
      </c>
      <c r="AO92" s="11">
        <f>5.09+4.74</f>
        <v>9.83</v>
      </c>
      <c r="AP92" s="2">
        <f t="shared" si="64"/>
        <v>1.5531400000000002</v>
      </c>
      <c r="AQ92" s="2">
        <f t="shared" si="65"/>
        <v>3.4896499999999997</v>
      </c>
      <c r="AR92" s="2">
        <f t="shared" si="70"/>
        <v>0.57308899999999996</v>
      </c>
      <c r="AU92" s="27" t="s">
        <v>93</v>
      </c>
      <c r="AV92" s="9">
        <f>4.28+4.95</f>
        <v>9.23</v>
      </c>
      <c r="AW92" s="2">
        <f t="shared" si="47"/>
        <v>1.9844500000000003</v>
      </c>
      <c r="AX92" s="2">
        <f t="shared" si="48"/>
        <v>2.4736400000000001</v>
      </c>
      <c r="AY92" s="2">
        <f t="shared" si="49"/>
        <v>0.57410600000000001</v>
      </c>
    </row>
    <row r="93" spans="1:51" x14ac:dyDescent="0.3">
      <c r="A93" s="27" t="s">
        <v>94</v>
      </c>
      <c r="B93" s="8">
        <f>1.55+18.3</f>
        <v>19.850000000000001</v>
      </c>
      <c r="C93" s="8">
        <v>33.9</v>
      </c>
      <c r="D93" s="8">
        <v>4.3600000000000003</v>
      </c>
      <c r="E93" s="9">
        <v>49.3</v>
      </c>
      <c r="F93" s="8">
        <f>18.3+48.5</f>
        <v>66.8</v>
      </c>
      <c r="G93" s="27" t="s">
        <v>94</v>
      </c>
      <c r="H93" s="16"/>
      <c r="I93" s="16"/>
      <c r="J93" s="16"/>
      <c r="K93" s="16"/>
      <c r="L93" s="16"/>
      <c r="M93" s="27" t="s">
        <v>94</v>
      </c>
      <c r="N93" s="15"/>
      <c r="O93" s="17"/>
      <c r="P93" s="17"/>
      <c r="Q93" s="18"/>
      <c r="R93" s="18"/>
      <c r="S93" s="9"/>
      <c r="T93" s="27" t="s">
        <v>94</v>
      </c>
      <c r="U93" s="17"/>
      <c r="V93" s="17"/>
      <c r="W93" s="17"/>
      <c r="X93" s="18"/>
      <c r="Y93" s="18"/>
      <c r="AB93" s="27" t="s">
        <v>94</v>
      </c>
      <c r="AC93" s="8">
        <f>1.55+18.3</f>
        <v>19.850000000000001</v>
      </c>
      <c r="AD93" s="2">
        <f t="shared" si="50"/>
        <v>6.7291499999999997</v>
      </c>
      <c r="AE93" s="2">
        <f t="shared" si="72"/>
        <v>0.86546000000000012</v>
      </c>
      <c r="AF93" s="2">
        <f t="shared" si="71"/>
        <v>9.7860499999999995</v>
      </c>
      <c r="AH93" s="27" t="s">
        <v>94</v>
      </c>
      <c r="AI93" s="16"/>
      <c r="AJ93" s="16"/>
      <c r="AK93" s="16"/>
      <c r="AL93" s="16"/>
      <c r="AN93" s="27" t="s">
        <v>94</v>
      </c>
      <c r="AO93" s="15"/>
      <c r="AP93" s="15"/>
      <c r="AQ93" s="15"/>
      <c r="AR93" s="15"/>
      <c r="AU93" s="27" t="s">
        <v>94</v>
      </c>
      <c r="AV93" s="17"/>
      <c r="AW93" s="16"/>
      <c r="AX93" s="16"/>
      <c r="AY93" s="16"/>
    </row>
    <row r="94" spans="1:51" x14ac:dyDescent="0.3">
      <c r="A94" s="27" t="s">
        <v>95</v>
      </c>
      <c r="B94" s="16"/>
      <c r="C94" s="16"/>
      <c r="D94" s="16"/>
      <c r="E94" s="17"/>
      <c r="F94" s="16"/>
      <c r="G94" s="27" t="s">
        <v>95</v>
      </c>
      <c r="H94" s="17"/>
      <c r="I94" s="17"/>
      <c r="J94" s="17"/>
      <c r="K94" s="17"/>
      <c r="L94" s="16"/>
      <c r="M94" s="27" t="s">
        <v>95</v>
      </c>
      <c r="N94" s="17"/>
      <c r="O94" s="17"/>
      <c r="P94" s="17"/>
      <c r="Q94" s="17"/>
      <c r="R94" s="18"/>
      <c r="S94" s="9"/>
      <c r="T94" s="27" t="s">
        <v>95</v>
      </c>
      <c r="U94" s="17"/>
      <c r="V94" s="17"/>
      <c r="W94" s="17"/>
      <c r="X94" s="17"/>
      <c r="Y94" s="18"/>
      <c r="AB94" s="27" t="s">
        <v>95</v>
      </c>
      <c r="AC94" s="16"/>
      <c r="AD94" s="16"/>
      <c r="AE94" s="16"/>
      <c r="AF94" s="16"/>
      <c r="AH94" s="27" t="s">
        <v>95</v>
      </c>
      <c r="AI94" s="17"/>
      <c r="AJ94" s="16"/>
      <c r="AK94" s="16"/>
      <c r="AL94" s="16"/>
      <c r="AN94" s="27" t="s">
        <v>95</v>
      </c>
      <c r="AO94" s="17"/>
      <c r="AP94" s="15"/>
      <c r="AQ94" s="15"/>
      <c r="AR94" s="15"/>
      <c r="AU94" s="27" t="s">
        <v>95</v>
      </c>
      <c r="AV94" s="17"/>
      <c r="AW94" s="16"/>
      <c r="AX94" s="16"/>
      <c r="AY94" s="16"/>
    </row>
    <row r="95" spans="1:51" x14ac:dyDescent="0.3">
      <c r="A95" s="27" t="s">
        <v>96</v>
      </c>
      <c r="B95" s="17"/>
      <c r="C95" s="17"/>
      <c r="D95" s="17"/>
      <c r="E95" s="17"/>
      <c r="F95" s="16"/>
      <c r="G95" s="27" t="s">
        <v>96</v>
      </c>
      <c r="H95" s="8">
        <f>2.66+2.49</f>
        <v>5.15</v>
      </c>
      <c r="I95" s="8">
        <v>10.5</v>
      </c>
      <c r="J95" s="8">
        <v>20.3</v>
      </c>
      <c r="K95" s="8">
        <v>22.3</v>
      </c>
      <c r="L95" s="8">
        <f>2.49+5.68</f>
        <v>8.17</v>
      </c>
      <c r="M95" s="27" t="s">
        <v>96</v>
      </c>
      <c r="N95" s="11">
        <f>4.88+1.06</f>
        <v>5.9399999999999995</v>
      </c>
      <c r="O95" s="9">
        <v>18.8</v>
      </c>
      <c r="P95" s="9">
        <v>39.1</v>
      </c>
      <c r="Q95" s="10">
        <v>6.52</v>
      </c>
      <c r="R95" s="10">
        <f>1.06+2.01</f>
        <v>3.07</v>
      </c>
      <c r="S95" s="9"/>
      <c r="T95" s="27" t="s">
        <v>96</v>
      </c>
      <c r="U95" s="9">
        <f>2.14+1.98</f>
        <v>4.12</v>
      </c>
      <c r="V95" s="9">
        <v>10.9</v>
      </c>
      <c r="W95" s="9">
        <v>20</v>
      </c>
      <c r="X95" s="10">
        <v>22.5</v>
      </c>
      <c r="Y95" s="10">
        <f>1.98+6.57</f>
        <v>8.5500000000000007</v>
      </c>
      <c r="AB95" s="27" t="s">
        <v>96</v>
      </c>
      <c r="AC95" s="17"/>
      <c r="AD95" s="16"/>
      <c r="AE95" s="16"/>
      <c r="AF95" s="16"/>
      <c r="AH95" s="27" t="s">
        <v>96</v>
      </c>
      <c r="AI95" s="8">
        <f>2.66+2.49</f>
        <v>5.15</v>
      </c>
      <c r="AJ95" s="2">
        <f t="shared" ref="AJ95:AJ101" si="76">AI95*I95/100</f>
        <v>0.54075000000000006</v>
      </c>
      <c r="AK95" s="2">
        <f t="shared" ref="AK95:AK101" si="77">AI95*J95/100</f>
        <v>1.0454500000000002</v>
      </c>
      <c r="AL95" s="2">
        <f t="shared" ref="AL95:AL101" si="78">AI95*K95/100</f>
        <v>1.1484500000000002</v>
      </c>
      <c r="AN95" s="27" t="s">
        <v>96</v>
      </c>
      <c r="AO95" s="11">
        <f>4.88+1.06</f>
        <v>5.9399999999999995</v>
      </c>
      <c r="AP95" s="2">
        <f t="shared" ref="AP95:AP101" si="79">AO95*O95/100</f>
        <v>1.1167199999999999</v>
      </c>
      <c r="AQ95" s="2">
        <f t="shared" ref="AQ95:AQ101" si="80">AO95*P95/100</f>
        <v>2.32254</v>
      </c>
      <c r="AR95" s="2">
        <f t="shared" ref="AR95:AR101" si="81">AO95*Q95/100</f>
        <v>0.38728799999999991</v>
      </c>
      <c r="AU95" s="27" t="s">
        <v>96</v>
      </c>
      <c r="AV95" s="9">
        <f>2.14+1.98</f>
        <v>4.12</v>
      </c>
      <c r="AW95" s="2">
        <f t="shared" si="47"/>
        <v>0.44908000000000003</v>
      </c>
      <c r="AX95" s="2">
        <f t="shared" si="48"/>
        <v>0.82400000000000007</v>
      </c>
      <c r="AY95" s="2">
        <f t="shared" si="49"/>
        <v>0.92700000000000005</v>
      </c>
    </row>
    <row r="96" spans="1:51" x14ac:dyDescent="0.3">
      <c r="A96" s="27" t="s">
        <v>97</v>
      </c>
      <c r="B96" s="17"/>
      <c r="C96" s="17"/>
      <c r="D96" s="17"/>
      <c r="E96" s="17"/>
      <c r="F96" s="17"/>
      <c r="G96" s="28" t="s">
        <v>97</v>
      </c>
      <c r="H96" s="29">
        <f>0.48+0.66</f>
        <v>1.1400000000000001</v>
      </c>
      <c r="I96" s="29">
        <v>43.6</v>
      </c>
      <c r="J96" s="29">
        <v>20.3</v>
      </c>
      <c r="K96" s="29">
        <v>24.1</v>
      </c>
      <c r="L96" s="29">
        <f>0.66+1.72</f>
        <v>2.38</v>
      </c>
      <c r="M96" s="28" t="s">
        <v>97</v>
      </c>
      <c r="N96" s="30">
        <f>1.03+0.2</f>
        <v>1.23</v>
      </c>
      <c r="O96" s="62"/>
      <c r="P96" s="31">
        <v>48.6</v>
      </c>
      <c r="Q96" s="32">
        <v>5.35</v>
      </c>
      <c r="R96" s="32">
        <f>0.2+1.24</f>
        <v>1.44</v>
      </c>
      <c r="S96" s="31"/>
      <c r="T96" s="28" t="s">
        <v>97</v>
      </c>
      <c r="U96" s="17">
        <f>1.37+0.62</f>
        <v>1.9900000000000002</v>
      </c>
      <c r="V96" s="17">
        <v>44.8</v>
      </c>
      <c r="W96" s="17">
        <v>32.299999999999997</v>
      </c>
      <c r="X96" s="17">
        <v>4.2300000000000004</v>
      </c>
      <c r="Y96" s="17">
        <f>0.62+1.28</f>
        <v>1.9</v>
      </c>
      <c r="AB96" s="27" t="s">
        <v>97</v>
      </c>
      <c r="AC96" s="17"/>
      <c r="AD96" s="17"/>
      <c r="AE96" s="17"/>
      <c r="AF96" s="17"/>
      <c r="AH96" s="28" t="s">
        <v>97</v>
      </c>
      <c r="AI96" s="29">
        <v>1.1100000000000001</v>
      </c>
      <c r="AJ96" s="2">
        <f t="shared" si="76"/>
        <v>0.48396000000000006</v>
      </c>
      <c r="AK96" s="2">
        <f t="shared" si="77"/>
        <v>0.22533</v>
      </c>
      <c r="AL96" s="2">
        <f t="shared" si="78"/>
        <v>0.26751000000000003</v>
      </c>
      <c r="AN96" s="28" t="s">
        <v>97</v>
      </c>
      <c r="AO96" s="30">
        <v>1.51</v>
      </c>
      <c r="AP96" s="83"/>
      <c r="AQ96" s="2">
        <f t="shared" si="80"/>
        <v>0.73385999999999996</v>
      </c>
      <c r="AR96" s="2">
        <f t="shared" si="81"/>
        <v>8.0784999999999996E-2</v>
      </c>
      <c r="AU96" s="28" t="s">
        <v>97</v>
      </c>
      <c r="AV96" s="31">
        <v>1.47</v>
      </c>
      <c r="AW96" s="2">
        <f t="shared" si="47"/>
        <v>0.65855999999999992</v>
      </c>
      <c r="AX96" s="2">
        <f t="shared" si="48"/>
        <v>0.47480999999999995</v>
      </c>
      <c r="AY96" s="2">
        <f t="shared" si="49"/>
        <v>6.2181000000000007E-2</v>
      </c>
    </row>
    <row r="97" spans="1:51" x14ac:dyDescent="0.3">
      <c r="A97" s="27" t="s">
        <v>98</v>
      </c>
      <c r="B97" s="17"/>
      <c r="C97" s="17"/>
      <c r="D97" s="17"/>
      <c r="E97" s="17"/>
      <c r="F97" s="17"/>
      <c r="G97" s="28" t="s">
        <v>98</v>
      </c>
      <c r="H97" s="29">
        <f>0.9+0.23</f>
        <v>1.1300000000000001</v>
      </c>
      <c r="I97" s="29">
        <v>28.1</v>
      </c>
      <c r="J97" s="29">
        <v>43.2</v>
      </c>
      <c r="K97" s="29">
        <v>5.0199999999999996</v>
      </c>
      <c r="L97" s="29">
        <f>0.23+0.95</f>
        <v>1.18</v>
      </c>
      <c r="M97" s="28" t="s">
        <v>98</v>
      </c>
      <c r="N97" s="30">
        <f>1.03+0.16</f>
        <v>1.19</v>
      </c>
      <c r="O97" s="31">
        <v>13.5</v>
      </c>
      <c r="P97" s="31">
        <v>42.5</v>
      </c>
      <c r="Q97" s="32">
        <v>7</v>
      </c>
      <c r="R97" s="32">
        <f>0.16+1.67</f>
        <v>1.8299999999999998</v>
      </c>
      <c r="S97" s="31"/>
      <c r="T97" s="28" t="s">
        <v>98</v>
      </c>
      <c r="U97" s="31">
        <f>1.09+0.16</f>
        <v>1.25</v>
      </c>
      <c r="V97" s="31">
        <v>12.8</v>
      </c>
      <c r="W97" s="31">
        <v>32.299999999999997</v>
      </c>
      <c r="X97" s="32">
        <v>7.67</v>
      </c>
      <c r="Y97" s="2">
        <f>0.16+1.04</f>
        <v>1.2</v>
      </c>
      <c r="AB97" s="27" t="s">
        <v>98</v>
      </c>
      <c r="AC97" s="17"/>
      <c r="AD97" s="17"/>
      <c r="AE97" s="17"/>
      <c r="AF97" s="17"/>
      <c r="AH97" s="28" t="s">
        <v>98</v>
      </c>
      <c r="AI97" s="29">
        <v>1.43</v>
      </c>
      <c r="AJ97" s="2">
        <f t="shared" si="76"/>
        <v>0.40183000000000002</v>
      </c>
      <c r="AK97" s="2">
        <f t="shared" si="77"/>
        <v>0.61776000000000009</v>
      </c>
      <c r="AL97" s="2">
        <f t="shared" si="78"/>
        <v>7.1785999999999989E-2</v>
      </c>
      <c r="AN97" s="28" t="s">
        <v>98</v>
      </c>
      <c r="AO97" s="30">
        <v>0.88</v>
      </c>
      <c r="AP97" s="2">
        <f t="shared" si="79"/>
        <v>0.1188</v>
      </c>
      <c r="AQ97" s="2">
        <f t="shared" si="80"/>
        <v>0.374</v>
      </c>
      <c r="AR97" s="2">
        <f t="shared" si="81"/>
        <v>6.1600000000000002E-2</v>
      </c>
      <c r="AU97" s="28" t="s">
        <v>98</v>
      </c>
      <c r="AV97" s="31">
        <v>0.88</v>
      </c>
      <c r="AW97" s="2">
        <f t="shared" si="47"/>
        <v>0.11264000000000002</v>
      </c>
      <c r="AX97" s="2">
        <f t="shared" si="48"/>
        <v>0.28423999999999994</v>
      </c>
      <c r="AY97" s="2">
        <f t="shared" si="49"/>
        <v>6.7496E-2</v>
      </c>
    </row>
    <row r="98" spans="1:51" x14ac:dyDescent="0.3">
      <c r="A98" s="27" t="s">
        <v>99</v>
      </c>
      <c r="B98" s="17"/>
      <c r="C98" s="17"/>
      <c r="D98" s="17"/>
      <c r="E98" s="17"/>
      <c r="F98" s="17"/>
      <c r="G98" s="28" t="s">
        <v>99</v>
      </c>
      <c r="H98" s="29">
        <f>0.75+0.42</f>
        <v>1.17</v>
      </c>
      <c r="I98" s="17">
        <v>39.200000000000003</v>
      </c>
      <c r="J98" s="17">
        <v>36.1</v>
      </c>
      <c r="K98" s="17">
        <v>8.91</v>
      </c>
      <c r="L98" s="29">
        <f>0.42+1.72</f>
        <v>2.14</v>
      </c>
      <c r="M98" s="28" t="s">
        <v>99</v>
      </c>
      <c r="N98" s="30">
        <f>0.7+0.16</f>
        <v>0.86</v>
      </c>
      <c r="O98" s="31">
        <v>16.2</v>
      </c>
      <c r="P98" s="31">
        <v>38.799999999999997</v>
      </c>
      <c r="Q98" s="32">
        <v>7.14</v>
      </c>
      <c r="R98" s="32">
        <f>0.16+1.01</f>
        <v>1.17</v>
      </c>
      <c r="S98" s="31"/>
      <c r="T98" s="28" t="s">
        <v>99</v>
      </c>
      <c r="U98" s="31">
        <f>0.97+0.47</f>
        <v>1.44</v>
      </c>
      <c r="V98" s="18">
        <v>29</v>
      </c>
      <c r="W98" s="18">
        <v>35.200000000000003</v>
      </c>
      <c r="X98" s="18">
        <v>9.67</v>
      </c>
      <c r="Y98" s="2">
        <f>0.47+1.38</f>
        <v>1.8499999999999999</v>
      </c>
      <c r="AB98" s="27" t="s">
        <v>99</v>
      </c>
      <c r="AC98" s="17"/>
      <c r="AD98" s="17"/>
      <c r="AE98" s="17"/>
      <c r="AF98" s="17"/>
      <c r="AH98" s="28" t="s">
        <v>99</v>
      </c>
      <c r="AI98" s="29">
        <v>1.23</v>
      </c>
      <c r="AJ98" s="2">
        <f t="shared" si="76"/>
        <v>0.48216000000000003</v>
      </c>
      <c r="AK98" s="2">
        <f t="shared" si="77"/>
        <v>0.44402999999999998</v>
      </c>
      <c r="AL98" s="2">
        <f t="shared" si="78"/>
        <v>0.10959300000000001</v>
      </c>
      <c r="AN98" s="28" t="s">
        <v>99</v>
      </c>
      <c r="AO98" s="30">
        <v>0.83</v>
      </c>
      <c r="AP98" s="2">
        <f t="shared" si="79"/>
        <v>0.13445999999999997</v>
      </c>
      <c r="AQ98" s="2">
        <f t="shared" si="80"/>
        <v>0.32203999999999994</v>
      </c>
      <c r="AR98" s="2">
        <f t="shared" si="81"/>
        <v>5.9261999999999995E-2</v>
      </c>
      <c r="AU98" s="28" t="s">
        <v>99</v>
      </c>
      <c r="AV98" s="31">
        <v>1.47</v>
      </c>
      <c r="AW98" s="2">
        <f t="shared" si="47"/>
        <v>0.42630000000000001</v>
      </c>
      <c r="AX98" s="2">
        <f t="shared" si="48"/>
        <v>0.51744000000000001</v>
      </c>
      <c r="AY98" s="2">
        <f t="shared" si="49"/>
        <v>0.142149</v>
      </c>
    </row>
    <row r="99" spans="1:51" x14ac:dyDescent="0.3">
      <c r="A99" s="27" t="s">
        <v>100</v>
      </c>
      <c r="B99" s="17"/>
      <c r="C99" s="17"/>
      <c r="D99" s="17"/>
      <c r="E99" s="17"/>
      <c r="F99" s="17"/>
      <c r="G99" s="28" t="s">
        <v>100</v>
      </c>
      <c r="H99" s="29">
        <f>0.95+0.36</f>
        <v>1.31</v>
      </c>
      <c r="I99" s="29">
        <v>26.5</v>
      </c>
      <c r="J99" s="29">
        <v>29.1</v>
      </c>
      <c r="K99" s="29">
        <v>8.0299999999999994</v>
      </c>
      <c r="L99" s="29">
        <f>0.36+1.86</f>
        <v>2.2200000000000002</v>
      </c>
      <c r="M99" s="28" t="s">
        <v>100</v>
      </c>
      <c r="N99" s="30">
        <f>1.14+0.16</f>
        <v>1.2999999999999998</v>
      </c>
      <c r="O99" s="31">
        <v>15.3</v>
      </c>
      <c r="P99" s="31">
        <v>49.9</v>
      </c>
      <c r="Q99" s="32">
        <v>5.98</v>
      </c>
      <c r="R99" s="32">
        <f>0.16+1.52</f>
        <v>1.68</v>
      </c>
      <c r="S99" s="31"/>
      <c r="T99" s="28" t="s">
        <v>100</v>
      </c>
      <c r="U99" s="31">
        <f>1.48+0.26</f>
        <v>1.74</v>
      </c>
      <c r="V99" s="31">
        <v>15.2</v>
      </c>
      <c r="W99" s="31">
        <v>44.5</v>
      </c>
      <c r="X99" s="32">
        <v>4.25</v>
      </c>
      <c r="Y99" s="2">
        <f>0.26+2.21</f>
        <v>2.4699999999999998</v>
      </c>
      <c r="AB99" s="27" t="s">
        <v>100</v>
      </c>
      <c r="AC99" s="17"/>
      <c r="AD99" s="17"/>
      <c r="AE99" s="17"/>
      <c r="AF99" s="17"/>
      <c r="AH99" s="28" t="s">
        <v>100</v>
      </c>
      <c r="AI99" s="29">
        <v>1.23</v>
      </c>
      <c r="AJ99" s="2">
        <f t="shared" si="76"/>
        <v>0.32594999999999996</v>
      </c>
      <c r="AK99" s="2">
        <f t="shared" si="77"/>
        <v>0.35792999999999997</v>
      </c>
      <c r="AL99" s="2">
        <f t="shared" si="78"/>
        <v>9.8768999999999996E-2</v>
      </c>
      <c r="AN99" s="28" t="s">
        <v>100</v>
      </c>
      <c r="AO99" s="30">
        <v>1.39</v>
      </c>
      <c r="AP99" s="2">
        <f t="shared" si="79"/>
        <v>0.21267</v>
      </c>
      <c r="AQ99" s="2">
        <f t="shared" si="80"/>
        <v>0.69360999999999995</v>
      </c>
      <c r="AR99" s="2">
        <f t="shared" si="81"/>
        <v>8.3122000000000001E-2</v>
      </c>
      <c r="AU99" s="28" t="s">
        <v>100</v>
      </c>
      <c r="AV99" s="31">
        <v>1.23</v>
      </c>
      <c r="AW99" s="2">
        <f t="shared" si="47"/>
        <v>0.18695999999999999</v>
      </c>
      <c r="AX99" s="2">
        <f t="shared" si="48"/>
        <v>0.54735</v>
      </c>
      <c r="AY99" s="2">
        <f t="shared" si="49"/>
        <v>5.2275000000000002E-2</v>
      </c>
    </row>
    <row r="100" spans="1:51" x14ac:dyDescent="0.3">
      <c r="A100" s="27" t="s">
        <v>101</v>
      </c>
      <c r="B100" s="17"/>
      <c r="C100" s="17"/>
      <c r="D100" s="17"/>
      <c r="E100" s="17"/>
      <c r="F100" s="17"/>
      <c r="G100" s="28" t="s">
        <v>101</v>
      </c>
      <c r="H100" s="29">
        <f>0.38+0.38</f>
        <v>0.76</v>
      </c>
      <c r="I100" s="17">
        <v>25.4</v>
      </c>
      <c r="J100" s="17">
        <v>11.8</v>
      </c>
      <c r="K100" s="17">
        <v>31.4</v>
      </c>
      <c r="L100" s="29">
        <f>0.38+4.54</f>
        <v>4.92</v>
      </c>
      <c r="M100" s="28" t="s">
        <v>101</v>
      </c>
      <c r="N100" s="17">
        <f>0.8+0.45</f>
        <v>1.25</v>
      </c>
      <c r="O100" s="17">
        <v>14.3</v>
      </c>
      <c r="P100" s="17">
        <v>26.7</v>
      </c>
      <c r="Q100" s="17">
        <v>23.6</v>
      </c>
      <c r="R100" s="17">
        <f>0.45+8.51</f>
        <v>8.9599999999999991</v>
      </c>
      <c r="S100" s="31"/>
      <c r="T100" s="28" t="s">
        <v>101</v>
      </c>
      <c r="U100" s="31">
        <f>0.9+0.73</f>
        <v>1.63</v>
      </c>
      <c r="V100" s="18">
        <v>43</v>
      </c>
      <c r="W100" s="18">
        <v>24.6</v>
      </c>
      <c r="X100" s="18">
        <v>16.5</v>
      </c>
      <c r="Y100" s="2">
        <f>0.73+6.06</f>
        <v>6.7899999999999991</v>
      </c>
      <c r="AB100" s="27" t="s">
        <v>101</v>
      </c>
      <c r="AC100" s="17"/>
      <c r="AD100" s="17"/>
      <c r="AE100" s="17"/>
      <c r="AF100" s="17"/>
      <c r="AH100" s="28" t="s">
        <v>101</v>
      </c>
      <c r="AI100" s="29">
        <v>0.47</v>
      </c>
      <c r="AJ100" s="2">
        <f t="shared" si="76"/>
        <v>0.11937999999999999</v>
      </c>
      <c r="AK100" s="2">
        <f t="shared" si="77"/>
        <v>5.5460000000000002E-2</v>
      </c>
      <c r="AL100" s="2">
        <f t="shared" si="78"/>
        <v>0.14757999999999999</v>
      </c>
      <c r="AN100" s="28" t="s">
        <v>101</v>
      </c>
      <c r="AO100" s="30">
        <v>0.78</v>
      </c>
      <c r="AP100" s="2">
        <f t="shared" si="79"/>
        <v>0.11154000000000001</v>
      </c>
      <c r="AQ100" s="2">
        <f t="shared" si="80"/>
        <v>0.20826</v>
      </c>
      <c r="AR100" s="2">
        <f t="shared" si="81"/>
        <v>0.18408000000000002</v>
      </c>
      <c r="AU100" s="28" t="s">
        <v>101</v>
      </c>
      <c r="AV100" s="31">
        <v>0.61</v>
      </c>
      <c r="AW100" s="2">
        <f t="shared" si="47"/>
        <v>0.26229999999999998</v>
      </c>
      <c r="AX100" s="2">
        <f t="shared" si="48"/>
        <v>0.15006</v>
      </c>
      <c r="AY100" s="2">
        <f t="shared" si="49"/>
        <v>0.10064999999999999</v>
      </c>
    </row>
    <row r="101" spans="1:51" x14ac:dyDescent="0.3">
      <c r="A101" s="27" t="s">
        <v>102</v>
      </c>
      <c r="B101" s="17"/>
      <c r="C101" s="17"/>
      <c r="D101" s="17"/>
      <c r="E101" s="17"/>
      <c r="F101" s="17"/>
      <c r="G101" s="28" t="s">
        <v>102</v>
      </c>
      <c r="H101" s="29">
        <f>2.29+1.19</f>
        <v>3.48</v>
      </c>
      <c r="I101" s="29">
        <v>35.700000000000003</v>
      </c>
      <c r="J101" s="29">
        <v>30.9</v>
      </c>
      <c r="K101" s="29">
        <v>11.1</v>
      </c>
      <c r="L101" s="29">
        <f>1.19+2.5</f>
        <v>3.69</v>
      </c>
      <c r="M101" s="28" t="s">
        <v>102</v>
      </c>
      <c r="N101" s="30">
        <f>1.32+0.32</f>
        <v>1.6400000000000001</v>
      </c>
      <c r="O101" s="31">
        <v>18.8</v>
      </c>
      <c r="P101" s="31">
        <v>39.1</v>
      </c>
      <c r="Q101" s="32">
        <v>6.52</v>
      </c>
      <c r="R101" s="32">
        <f>0.32+0.98</f>
        <v>1.3</v>
      </c>
      <c r="S101" s="31">
        <f>0.32+0.98</f>
        <v>1.3</v>
      </c>
      <c r="T101" s="28" t="s">
        <v>102</v>
      </c>
      <c r="U101" s="31">
        <f>2.7+1.53</f>
        <v>4.2300000000000004</v>
      </c>
      <c r="V101" s="18">
        <v>38.200000000000003</v>
      </c>
      <c r="W101" s="18">
        <v>25.7</v>
      </c>
      <c r="X101" s="18">
        <v>13.3</v>
      </c>
      <c r="Y101" s="2">
        <f>1.53+2.55</f>
        <v>4.08</v>
      </c>
      <c r="AB101" s="7" t="s">
        <v>13</v>
      </c>
      <c r="AC101" s="8">
        <f>0.32+2.05</f>
        <v>2.3699999999999997</v>
      </c>
      <c r="AD101" s="2">
        <f>AC101*C101/100</f>
        <v>0</v>
      </c>
      <c r="AE101" s="2">
        <f>AC101*D101/100</f>
        <v>0</v>
      </c>
      <c r="AF101" s="2">
        <f>E101*B101/100</f>
        <v>0</v>
      </c>
      <c r="AH101" s="7" t="s">
        <v>13</v>
      </c>
      <c r="AI101" s="8">
        <f>2.04+0.66</f>
        <v>2.7</v>
      </c>
      <c r="AJ101" s="2">
        <f>AI101*I101/100</f>
        <v>0.9639000000000002</v>
      </c>
      <c r="AK101" s="2">
        <f>AI101*J101/100</f>
        <v>0.83430000000000004</v>
      </c>
      <c r="AL101" s="2">
        <f>AI101*K101/100</f>
        <v>0.29970000000000002</v>
      </c>
      <c r="AN101" s="7" t="s">
        <v>13</v>
      </c>
      <c r="AO101" s="11">
        <v>7.8015502793296099</v>
      </c>
      <c r="AP101" s="2">
        <f>AO101*O101/100</f>
        <v>1.4666914525139669</v>
      </c>
      <c r="AQ101" s="2">
        <f>AO101*P101/100</f>
        <v>3.0504061592178777</v>
      </c>
      <c r="AR101" s="2">
        <f>AO101*Q101/100</f>
        <v>0.50866107821229045</v>
      </c>
      <c r="AU101" s="7" t="s">
        <v>13</v>
      </c>
      <c r="AV101" s="9">
        <f>2.64+0.59</f>
        <v>3.23</v>
      </c>
      <c r="AW101" s="2">
        <f>AV101*V101/100</f>
        <v>1.2338600000000002</v>
      </c>
      <c r="AX101" s="2">
        <f>AV101*W101/100</f>
        <v>0.8301099999999999</v>
      </c>
      <c r="AY101" s="2">
        <f>AV101*X101/100</f>
        <v>0.42959000000000003</v>
      </c>
    </row>
    <row r="102" spans="1:51" x14ac:dyDescent="0.3">
      <c r="A102" s="27" t="s">
        <v>95</v>
      </c>
      <c r="B102" s="17"/>
      <c r="C102" s="17"/>
      <c r="D102" s="17"/>
      <c r="E102" s="17"/>
      <c r="F102" s="17"/>
      <c r="AB102" s="7" t="s">
        <v>14</v>
      </c>
      <c r="AC102" s="8">
        <f>4.53+0.49</f>
        <v>5.0200000000000005</v>
      </c>
      <c r="AD102" s="2">
        <f t="shared" ref="AD102:AD106" si="82">AC102*C102/100</f>
        <v>0</v>
      </c>
      <c r="AE102" s="2">
        <f t="shared" ref="AE102:AE106" si="83">AC102*D102/100</f>
        <v>0</v>
      </c>
      <c r="AF102" s="2">
        <f t="shared" ref="AF102:AF106" si="84">E102*B102/100</f>
        <v>0</v>
      </c>
      <c r="AH102" s="7" t="s">
        <v>14</v>
      </c>
      <c r="AI102" s="8">
        <f>3.02+0.33</f>
        <v>3.35</v>
      </c>
      <c r="AJ102" s="2">
        <f t="shared" ref="AJ102:AJ106" si="85">AI102*I102/100</f>
        <v>0</v>
      </c>
      <c r="AK102" s="2">
        <f t="shared" ref="AK102:AK106" si="86">AI102*J102/100</f>
        <v>0</v>
      </c>
      <c r="AL102" s="2">
        <f t="shared" ref="AL102:AL106" si="87">AI102*K102/100</f>
        <v>0</v>
      </c>
      <c r="AN102" s="7" t="s">
        <v>14</v>
      </c>
      <c r="AO102" s="11">
        <v>7.9501396648044702</v>
      </c>
      <c r="AP102" s="2">
        <f t="shared" ref="AP102:AP106" si="88">AO102*O102/100</f>
        <v>0</v>
      </c>
      <c r="AQ102" s="2">
        <f t="shared" ref="AQ102:AQ106" si="89">AO102*P102/100</f>
        <v>0</v>
      </c>
      <c r="AR102" s="2">
        <f t="shared" ref="AR102:AR106" si="90">AO102*Q102/100</f>
        <v>0</v>
      </c>
      <c r="AU102" s="7" t="s">
        <v>14</v>
      </c>
      <c r="AV102" s="9">
        <f>1.2+0.2</f>
        <v>1.4</v>
      </c>
      <c r="AW102" s="2">
        <f t="shared" ref="AW102:AW106" si="91">AV102*V102/100</f>
        <v>0</v>
      </c>
      <c r="AX102" s="2">
        <f t="shared" ref="AX102:AX106" si="92">AV102*W102/100</f>
        <v>0</v>
      </c>
      <c r="AY102" s="2">
        <f t="shared" ref="AY102:AY106" si="93">AV102*X102/100</f>
        <v>0</v>
      </c>
    </row>
    <row r="103" spans="1:51" x14ac:dyDescent="0.3">
      <c r="AB103" s="7" t="s">
        <v>15</v>
      </c>
      <c r="AC103" s="8">
        <f>2.61+0.27</f>
        <v>2.88</v>
      </c>
      <c r="AD103" s="2">
        <f t="shared" si="82"/>
        <v>0</v>
      </c>
      <c r="AE103" s="2">
        <f t="shared" si="83"/>
        <v>0</v>
      </c>
      <c r="AF103" s="2">
        <f t="shared" si="84"/>
        <v>0</v>
      </c>
      <c r="AH103" s="7" t="s">
        <v>15</v>
      </c>
      <c r="AI103" s="8">
        <f>1.61+0.33</f>
        <v>1.9400000000000002</v>
      </c>
      <c r="AJ103" s="2">
        <f t="shared" si="85"/>
        <v>0</v>
      </c>
      <c r="AK103" s="2">
        <f t="shared" si="86"/>
        <v>0</v>
      </c>
      <c r="AL103" s="2">
        <f t="shared" si="87"/>
        <v>0</v>
      </c>
      <c r="AN103" s="7" t="s">
        <v>15</v>
      </c>
      <c r="AO103" s="11">
        <v>8.0987290502793297</v>
      </c>
      <c r="AP103" s="2">
        <f t="shared" si="88"/>
        <v>0</v>
      </c>
      <c r="AQ103" s="2">
        <f t="shared" si="89"/>
        <v>0</v>
      </c>
      <c r="AR103" s="2">
        <f t="shared" si="90"/>
        <v>0</v>
      </c>
      <c r="AU103" s="7" t="s">
        <v>15</v>
      </c>
      <c r="AV103" s="9">
        <f>2.99+0.35</f>
        <v>3.3400000000000003</v>
      </c>
      <c r="AW103" s="2">
        <f t="shared" si="91"/>
        <v>0</v>
      </c>
      <c r="AX103" s="2">
        <f t="shared" si="92"/>
        <v>0</v>
      </c>
      <c r="AY103" s="2">
        <f t="shared" si="93"/>
        <v>0</v>
      </c>
    </row>
    <row r="104" spans="1:51" x14ac:dyDescent="0.3">
      <c r="AB104" s="7" t="s">
        <v>16</v>
      </c>
      <c r="AC104" s="8">
        <f>4.58+0.59</f>
        <v>5.17</v>
      </c>
      <c r="AD104" s="2">
        <f t="shared" si="82"/>
        <v>0</v>
      </c>
      <c r="AE104" s="2">
        <f t="shared" si="83"/>
        <v>0</v>
      </c>
      <c r="AF104" s="2">
        <f t="shared" si="84"/>
        <v>0</v>
      </c>
      <c r="AH104" s="7" t="s">
        <v>16</v>
      </c>
      <c r="AI104" s="8">
        <f>1.65+0.81</f>
        <v>2.46</v>
      </c>
      <c r="AJ104" s="2">
        <f t="shared" si="85"/>
        <v>0</v>
      </c>
      <c r="AK104" s="2">
        <f t="shared" si="86"/>
        <v>0</v>
      </c>
      <c r="AL104" s="83"/>
      <c r="AN104" s="7" t="s">
        <v>16</v>
      </c>
      <c r="AO104" s="13">
        <v>8.2473184357542006</v>
      </c>
      <c r="AP104" s="2">
        <f t="shared" si="88"/>
        <v>0</v>
      </c>
      <c r="AQ104" s="2">
        <f t="shared" si="89"/>
        <v>0</v>
      </c>
      <c r="AR104" s="2">
        <f t="shared" si="90"/>
        <v>0</v>
      </c>
      <c r="AU104" s="7" t="s">
        <v>16</v>
      </c>
      <c r="AV104" s="8">
        <f>4.72+0.78</f>
        <v>5.5</v>
      </c>
      <c r="AW104" s="2">
        <f t="shared" si="91"/>
        <v>0</v>
      </c>
      <c r="AX104" s="2">
        <f t="shared" si="92"/>
        <v>0</v>
      </c>
      <c r="AY104" s="2">
        <f t="shared" si="93"/>
        <v>0</v>
      </c>
    </row>
    <row r="105" spans="1:51" x14ac:dyDescent="0.3">
      <c r="A105" s="33" t="s">
        <v>103</v>
      </c>
      <c r="B105" s="8">
        <f>4.61+9.34</f>
        <v>13.95</v>
      </c>
      <c r="C105" s="8">
        <v>0.89</v>
      </c>
      <c r="D105" s="8">
        <v>0.17</v>
      </c>
      <c r="E105" s="10">
        <v>39</v>
      </c>
      <c r="F105" s="8">
        <f>9.34+24.6</f>
        <v>33.94</v>
      </c>
      <c r="G105" s="33" t="s">
        <v>103</v>
      </c>
      <c r="H105" s="9">
        <f>4.84+8.89</f>
        <v>13.73</v>
      </c>
      <c r="I105" s="9">
        <v>0.46</v>
      </c>
      <c r="J105" s="9">
        <v>1.2E-2</v>
      </c>
      <c r="K105" s="10">
        <v>40</v>
      </c>
      <c r="L105" s="9">
        <f>8.89+27.7</f>
        <v>36.590000000000003</v>
      </c>
      <c r="M105" s="33" t="s">
        <v>103</v>
      </c>
      <c r="N105" s="11">
        <f>5.35+11.4</f>
        <v>16.75</v>
      </c>
      <c r="O105" s="9">
        <v>0.26</v>
      </c>
      <c r="P105" s="9">
        <v>5.7000000000000002E-2</v>
      </c>
      <c r="Q105" s="10">
        <v>42.2</v>
      </c>
      <c r="R105" s="10">
        <f>11.4+28.7</f>
        <v>40.1</v>
      </c>
      <c r="S105" s="9"/>
      <c r="T105" s="33" t="s">
        <v>103</v>
      </c>
      <c r="U105" s="9">
        <f>3.86+9.8</f>
        <v>13.66</v>
      </c>
      <c r="V105" s="9">
        <v>0.45</v>
      </c>
      <c r="W105" s="9">
        <v>0.04</v>
      </c>
      <c r="X105" s="10">
        <v>46.3</v>
      </c>
      <c r="Y105" s="10">
        <f>9.8+31.6</f>
        <v>41.400000000000006</v>
      </c>
      <c r="AB105" s="7" t="s">
        <v>17</v>
      </c>
      <c r="AC105" s="8">
        <f>0.53+0.23</f>
        <v>0.76</v>
      </c>
      <c r="AD105" s="2">
        <f t="shared" si="82"/>
        <v>6.764E-3</v>
      </c>
      <c r="AE105" s="2">
        <f t="shared" si="83"/>
        <v>1.2920000000000002E-3</v>
      </c>
      <c r="AF105" s="83"/>
      <c r="AH105" s="7" t="s">
        <v>17</v>
      </c>
      <c r="AI105" s="8">
        <f>0.99+0.32</f>
        <v>1.31</v>
      </c>
      <c r="AJ105" s="2">
        <f t="shared" si="85"/>
        <v>6.0260000000000001E-3</v>
      </c>
      <c r="AK105" s="2">
        <f t="shared" si="86"/>
        <v>1.5720000000000003E-4</v>
      </c>
      <c r="AL105" s="2">
        <f t="shared" ref="AL105:AL106" si="94">AI105*K105/100</f>
        <v>0.52400000000000002</v>
      </c>
      <c r="AN105" s="7" t="s">
        <v>17</v>
      </c>
      <c r="AO105" s="11">
        <v>8.3959078212290592</v>
      </c>
      <c r="AP105" s="2">
        <f t="shared" si="88"/>
        <v>2.1829360335195554E-2</v>
      </c>
      <c r="AQ105" s="2">
        <f t="shared" si="89"/>
        <v>4.785667458100564E-3</v>
      </c>
      <c r="AR105" s="2">
        <f t="shared" si="90"/>
        <v>3.5430731005586633</v>
      </c>
      <c r="AU105" s="7" t="s">
        <v>17</v>
      </c>
      <c r="AV105" s="9">
        <f>2.33+0.56</f>
        <v>2.89</v>
      </c>
      <c r="AW105" s="2">
        <f t="shared" si="91"/>
        <v>1.3004999999999999E-2</v>
      </c>
      <c r="AX105" s="2">
        <f t="shared" si="92"/>
        <v>1.1560000000000001E-3</v>
      </c>
      <c r="AY105" s="2">
        <f t="shared" si="93"/>
        <v>1.3380699999999999</v>
      </c>
    </row>
    <row r="106" spans="1:51" x14ac:dyDescent="0.3">
      <c r="A106" s="33" t="s">
        <v>104</v>
      </c>
      <c r="B106" s="8">
        <f>4.3+10.2</f>
        <v>14.5</v>
      </c>
      <c r="C106" s="8">
        <v>0.2</v>
      </c>
      <c r="D106" s="8">
        <v>0</v>
      </c>
      <c r="E106" s="9">
        <v>52</v>
      </c>
      <c r="F106" s="8">
        <f>10.2+26.3</f>
        <v>36.5</v>
      </c>
      <c r="G106" s="33" t="s">
        <v>104</v>
      </c>
      <c r="H106" s="9">
        <f>4.63+13.2</f>
        <v>17.829999999999998</v>
      </c>
      <c r="I106" s="9">
        <v>0.28999999999999998</v>
      </c>
      <c r="J106" s="9">
        <v>0</v>
      </c>
      <c r="K106" s="10">
        <v>52.4</v>
      </c>
      <c r="L106" s="9">
        <f>13.2+24.9</f>
        <v>38.099999999999994</v>
      </c>
      <c r="M106" s="33" t="s">
        <v>104</v>
      </c>
      <c r="N106" s="11">
        <f>4.03+5.07</f>
        <v>9.1000000000000014</v>
      </c>
      <c r="O106" s="9">
        <v>0.82</v>
      </c>
      <c r="P106" s="9">
        <v>0.16</v>
      </c>
      <c r="Q106" s="12">
        <v>37.9</v>
      </c>
      <c r="R106" s="10">
        <f>5.07+19.8</f>
        <v>24.87</v>
      </c>
      <c r="S106" s="9"/>
      <c r="T106" s="33" t="s">
        <v>104</v>
      </c>
      <c r="U106" s="9">
        <f>3.59+6.52</f>
        <v>10.11</v>
      </c>
      <c r="V106" s="9">
        <v>0.66</v>
      </c>
      <c r="W106" s="9">
        <v>6.2E-2</v>
      </c>
      <c r="X106" s="12">
        <v>47.9</v>
      </c>
      <c r="Y106" s="10">
        <f>6.52+26.4</f>
        <v>32.92</v>
      </c>
      <c r="AB106" s="7" t="s">
        <v>18</v>
      </c>
      <c r="AC106" s="8">
        <f>4.47+0.52</f>
        <v>4.99</v>
      </c>
      <c r="AD106" s="2">
        <f t="shared" si="82"/>
        <v>9.980000000000001E-3</v>
      </c>
      <c r="AE106" s="2">
        <f t="shared" si="83"/>
        <v>0</v>
      </c>
      <c r="AF106" s="2">
        <f t="shared" ref="AF106" si="95">E106*B106/100</f>
        <v>7.54</v>
      </c>
      <c r="AH106" s="7" t="s">
        <v>18</v>
      </c>
      <c r="AI106" s="8">
        <f>3.31+0.57</f>
        <v>3.88</v>
      </c>
      <c r="AJ106" s="2">
        <f t="shared" si="85"/>
        <v>1.1252E-2</v>
      </c>
      <c r="AK106" s="2">
        <f t="shared" si="86"/>
        <v>0</v>
      </c>
      <c r="AL106" s="2">
        <f t="shared" si="94"/>
        <v>2.0331199999999998</v>
      </c>
      <c r="AN106" s="7" t="s">
        <v>18</v>
      </c>
      <c r="AO106" s="11">
        <v>8.5444972067039195</v>
      </c>
      <c r="AP106" s="2">
        <f t="shared" si="88"/>
        <v>7.0064877094972139E-2</v>
      </c>
      <c r="AQ106" s="2">
        <f t="shared" si="89"/>
        <v>1.3671195530726273E-2</v>
      </c>
      <c r="AR106" s="2">
        <f t="shared" si="90"/>
        <v>3.2383644413407855</v>
      </c>
      <c r="AU106" s="7" t="s">
        <v>18</v>
      </c>
      <c r="AV106" s="9">
        <f>4.67+0.43</f>
        <v>5.0999999999999996</v>
      </c>
      <c r="AW106" s="2">
        <f t="shared" si="91"/>
        <v>3.3660000000000002E-2</v>
      </c>
      <c r="AX106" s="2">
        <f t="shared" si="92"/>
        <v>3.1619999999999999E-3</v>
      </c>
      <c r="AY106" s="2">
        <f t="shared" si="93"/>
        <v>2.4428999999999998</v>
      </c>
    </row>
    <row r="107" spans="1:51" x14ac:dyDescent="0.3">
      <c r="A107" s="33" t="s">
        <v>105</v>
      </c>
      <c r="B107" s="8">
        <f>5.59+15.3</f>
        <v>20.89</v>
      </c>
      <c r="C107" s="8">
        <v>0.38</v>
      </c>
      <c r="D107" s="8">
        <v>7.6999999999999999E-2</v>
      </c>
      <c r="E107" s="10">
        <v>39.1</v>
      </c>
      <c r="F107" s="8">
        <f>15.3+25.6</f>
        <v>40.900000000000006</v>
      </c>
      <c r="G107" s="33" t="s">
        <v>105</v>
      </c>
      <c r="H107" s="9">
        <f>5.39+14.6</f>
        <v>19.989999999999998</v>
      </c>
      <c r="I107" s="9">
        <v>0.3</v>
      </c>
      <c r="J107" s="9">
        <v>0</v>
      </c>
      <c r="K107" s="12">
        <v>43</v>
      </c>
      <c r="L107" s="9">
        <f>14.6+25.9</f>
        <v>40.5</v>
      </c>
      <c r="M107" s="33" t="s">
        <v>105</v>
      </c>
      <c r="N107" s="63"/>
      <c r="O107" s="9">
        <v>0.36</v>
      </c>
      <c r="P107" s="9">
        <v>5.7000000000000002E-2</v>
      </c>
      <c r="Q107" s="12">
        <v>45.3</v>
      </c>
      <c r="R107" s="65"/>
      <c r="S107" s="9"/>
      <c r="T107" s="33" t="s">
        <v>105</v>
      </c>
      <c r="U107" s="9">
        <f>4.78+12</f>
        <v>16.78</v>
      </c>
      <c r="V107" s="9">
        <v>0.71</v>
      </c>
      <c r="W107" s="9">
        <v>4.7E-2</v>
      </c>
      <c r="X107" s="12">
        <v>48.3</v>
      </c>
      <c r="Y107" s="10">
        <f>12+30.8</f>
        <v>42.8</v>
      </c>
      <c r="AB107" s="33" t="s">
        <v>105</v>
      </c>
      <c r="AC107" s="8">
        <f>5.59+15.3</f>
        <v>20.89</v>
      </c>
      <c r="AD107" s="2">
        <f t="shared" ref="AD106:AD111" si="96">AC107*C107/100</f>
        <v>7.9382000000000008E-2</v>
      </c>
      <c r="AE107" s="2">
        <f t="shared" ref="AE106:AE111" si="97">AC107*D107/100</f>
        <v>1.60853E-2</v>
      </c>
      <c r="AF107" s="2">
        <f t="shared" ref="AF106:AF111" si="98">E107*B107/100</f>
        <v>8.1679900000000014</v>
      </c>
      <c r="AH107" s="33" t="s">
        <v>105</v>
      </c>
      <c r="AI107" s="9">
        <f>5.39+14.6</f>
        <v>19.989999999999998</v>
      </c>
      <c r="AJ107" s="2">
        <f t="shared" ref="AJ106:AJ126" si="99">AI107*I107/100</f>
        <v>5.9969999999999989E-2</v>
      </c>
      <c r="AK107" s="2">
        <f t="shared" ref="AK106:AK134" si="100">AI107*J107/100</f>
        <v>0</v>
      </c>
      <c r="AL107" s="2">
        <f t="shared" ref="AL106:AL134" si="101">AI107*K107/100</f>
        <v>8.595699999999999</v>
      </c>
      <c r="AN107" s="33" t="s">
        <v>105</v>
      </c>
      <c r="AO107" s="11">
        <v>28.8</v>
      </c>
      <c r="AP107" s="2">
        <f t="shared" ref="AP106:AP111" si="102">AO107*O107/100</f>
        <v>0.10368000000000001</v>
      </c>
      <c r="AQ107" s="2">
        <f t="shared" ref="AQ106:AQ111" si="103">AO107*P107/100</f>
        <v>1.6416E-2</v>
      </c>
      <c r="AR107" s="2">
        <f t="shared" ref="AR106:AR111" si="104">AO107*Q107/100</f>
        <v>13.046399999999998</v>
      </c>
      <c r="AU107" s="33" t="s">
        <v>105</v>
      </c>
      <c r="AV107" s="9">
        <f>4.78+12</f>
        <v>16.78</v>
      </c>
      <c r="AW107" s="2">
        <f t="shared" ref="AW106:AW123" si="105">AV107*V107/100</f>
        <v>0.11913800000000001</v>
      </c>
      <c r="AX107" s="2">
        <f t="shared" ref="AX106:AX123" si="106">AV107*W107/100</f>
        <v>7.8866000000000006E-3</v>
      </c>
      <c r="AY107" s="2">
        <f t="shared" ref="AY106:AY123" si="107">AV107*X107/100</f>
        <v>8.1047399999999996</v>
      </c>
    </row>
    <row r="108" spans="1:51" x14ac:dyDescent="0.3">
      <c r="A108" s="33" t="s">
        <v>106</v>
      </c>
      <c r="B108" s="8">
        <f>4.02+7.73</f>
        <v>11.75</v>
      </c>
      <c r="C108" s="8">
        <v>0.85</v>
      </c>
      <c r="D108" s="8">
        <v>0.24</v>
      </c>
      <c r="E108" s="10">
        <v>49.4</v>
      </c>
      <c r="F108" s="8">
        <f>7.73+24.7</f>
        <v>32.43</v>
      </c>
      <c r="G108" s="33" t="s">
        <v>106</v>
      </c>
      <c r="H108" s="9">
        <f>0.17+0.47</f>
        <v>0.64</v>
      </c>
      <c r="I108" s="9">
        <v>0.79</v>
      </c>
      <c r="J108" s="9">
        <v>9.0999999999999998E-2</v>
      </c>
      <c r="K108" s="10">
        <v>49.1</v>
      </c>
      <c r="L108" s="9">
        <f>0.47+11.4</f>
        <v>11.870000000000001</v>
      </c>
      <c r="M108" s="33" t="s">
        <v>106</v>
      </c>
      <c r="N108" s="11">
        <f>0.2+0.5</f>
        <v>0.7</v>
      </c>
      <c r="O108" s="9">
        <v>0.47</v>
      </c>
      <c r="P108" s="9">
        <v>4.4999999999999998E-2</v>
      </c>
      <c r="Q108" s="65"/>
      <c r="R108" s="10">
        <f>0.5+19.4</f>
        <v>19.899999999999999</v>
      </c>
      <c r="S108" s="9"/>
      <c r="T108" s="33" t="s">
        <v>106</v>
      </c>
      <c r="U108" s="9">
        <f>4.64+6.48</f>
        <v>11.120000000000001</v>
      </c>
      <c r="V108" s="9">
        <v>0.66</v>
      </c>
      <c r="W108" s="9">
        <v>7.0000000000000007E-2</v>
      </c>
      <c r="X108" s="10">
        <v>34.700000000000003</v>
      </c>
      <c r="Y108" s="10">
        <f>6.48+23.5</f>
        <v>29.98</v>
      </c>
      <c r="AB108" s="33" t="s">
        <v>106</v>
      </c>
      <c r="AC108" s="8">
        <f>4.02+7.73</f>
        <v>11.75</v>
      </c>
      <c r="AD108" s="2">
        <f t="shared" si="96"/>
        <v>9.9874999999999992E-2</v>
      </c>
      <c r="AE108" s="2">
        <f t="shared" si="97"/>
        <v>2.8199999999999999E-2</v>
      </c>
      <c r="AF108" s="2">
        <f t="shared" si="98"/>
        <v>5.8044999999999991</v>
      </c>
      <c r="AH108" s="33" t="s">
        <v>106</v>
      </c>
      <c r="AI108" s="9">
        <f>0.17+0.47</f>
        <v>0.64</v>
      </c>
      <c r="AJ108" s="2">
        <f t="shared" si="99"/>
        <v>5.0560000000000006E-3</v>
      </c>
      <c r="AK108" s="2">
        <f t="shared" si="100"/>
        <v>5.8239999999999995E-4</v>
      </c>
      <c r="AL108" s="2">
        <f t="shared" si="101"/>
        <v>0.31424000000000002</v>
      </c>
      <c r="AN108" s="33" t="s">
        <v>106</v>
      </c>
      <c r="AO108" s="11">
        <v>19.399999999999999</v>
      </c>
      <c r="AP108" s="2">
        <f t="shared" si="102"/>
        <v>9.1179999999999983E-2</v>
      </c>
      <c r="AQ108" s="2">
        <f t="shared" si="103"/>
        <v>8.7299999999999982E-3</v>
      </c>
      <c r="AR108" s="83"/>
      <c r="AU108" s="33" t="s">
        <v>106</v>
      </c>
      <c r="AV108" s="9">
        <f>4.64+6.48</f>
        <v>11.120000000000001</v>
      </c>
      <c r="AW108" s="2">
        <f t="shared" si="105"/>
        <v>7.3392000000000013E-2</v>
      </c>
      <c r="AX108" s="2">
        <f t="shared" si="106"/>
        <v>7.784000000000001E-3</v>
      </c>
      <c r="AY108" s="2">
        <f t="shared" si="107"/>
        <v>3.8586400000000007</v>
      </c>
    </row>
    <row r="109" spans="1:51" x14ac:dyDescent="0.3">
      <c r="A109" s="33" t="s">
        <v>107</v>
      </c>
      <c r="B109" s="8">
        <f>4.12+6.32</f>
        <v>10.440000000000001</v>
      </c>
      <c r="C109" s="8">
        <v>1.22</v>
      </c>
      <c r="D109" s="8">
        <v>0.35</v>
      </c>
      <c r="E109" s="10">
        <v>31.8</v>
      </c>
      <c r="F109" s="8">
        <f>6.32+25</f>
        <v>31.32</v>
      </c>
      <c r="G109" s="33" t="s">
        <v>107</v>
      </c>
      <c r="H109" s="9">
        <f>3.56+6.57</f>
        <v>10.130000000000001</v>
      </c>
      <c r="I109" s="9">
        <v>1.1200000000000001</v>
      </c>
      <c r="J109" s="9">
        <v>9.8000000000000004E-2</v>
      </c>
      <c r="K109" s="10">
        <v>42.6</v>
      </c>
      <c r="L109" s="9">
        <f>6.57+24.1</f>
        <v>30.67</v>
      </c>
      <c r="M109" s="33" t="s">
        <v>107</v>
      </c>
      <c r="N109" s="11">
        <f>2.08+8.02</f>
        <v>10.1</v>
      </c>
      <c r="O109" s="9">
        <v>0.51</v>
      </c>
      <c r="P109" s="9">
        <v>8.7999999999999995E-2</v>
      </c>
      <c r="Q109" s="10">
        <v>36.700000000000003</v>
      </c>
      <c r="R109" s="10">
        <f>8.02+19.7</f>
        <v>27.72</v>
      </c>
      <c r="S109" s="9"/>
      <c r="T109" s="33" t="s">
        <v>107</v>
      </c>
      <c r="U109" s="9">
        <f>4.68+8.81</f>
        <v>13.49</v>
      </c>
      <c r="V109" s="9">
        <v>0.52</v>
      </c>
      <c r="W109" s="9">
        <v>0.1</v>
      </c>
      <c r="X109" s="10">
        <v>43.6</v>
      </c>
      <c r="Y109" s="10">
        <f>8.81+23.9</f>
        <v>32.71</v>
      </c>
      <c r="AB109" s="33" t="s">
        <v>107</v>
      </c>
      <c r="AC109" s="8">
        <f>4.12+6.32</f>
        <v>10.440000000000001</v>
      </c>
      <c r="AD109" s="2">
        <f t="shared" si="96"/>
        <v>0.12736800000000001</v>
      </c>
      <c r="AE109" s="2">
        <f t="shared" si="97"/>
        <v>3.6540000000000003E-2</v>
      </c>
      <c r="AF109" s="2">
        <f t="shared" si="98"/>
        <v>3.3199200000000006</v>
      </c>
      <c r="AH109" s="33" t="s">
        <v>107</v>
      </c>
      <c r="AI109" s="9">
        <f>3.56+6.57</f>
        <v>10.130000000000001</v>
      </c>
      <c r="AJ109" s="2">
        <f t="shared" si="99"/>
        <v>0.11345600000000003</v>
      </c>
      <c r="AK109" s="2">
        <f t="shared" si="100"/>
        <v>9.9274000000000012E-3</v>
      </c>
      <c r="AL109" s="2">
        <f t="shared" si="101"/>
        <v>4.3153800000000011</v>
      </c>
      <c r="AN109" s="33" t="s">
        <v>107</v>
      </c>
      <c r="AO109" s="11">
        <v>19.7</v>
      </c>
      <c r="AP109" s="2">
        <f t="shared" si="102"/>
        <v>0.10047</v>
      </c>
      <c r="AQ109" s="2">
        <f t="shared" si="103"/>
        <v>1.7335999999999997E-2</v>
      </c>
      <c r="AR109" s="2">
        <f t="shared" si="104"/>
        <v>7.2298999999999998</v>
      </c>
      <c r="AU109" s="33" t="s">
        <v>107</v>
      </c>
      <c r="AV109" s="9">
        <f>4.68+8.81</f>
        <v>13.49</v>
      </c>
      <c r="AW109" s="2">
        <f t="shared" si="105"/>
        <v>7.0148000000000002E-2</v>
      </c>
      <c r="AX109" s="2">
        <f t="shared" si="106"/>
        <v>1.3490000000000002E-2</v>
      </c>
      <c r="AY109" s="2">
        <f t="shared" si="107"/>
        <v>5.88164</v>
      </c>
    </row>
    <row r="110" spans="1:51" x14ac:dyDescent="0.3">
      <c r="A110" s="33" t="s">
        <v>108</v>
      </c>
      <c r="B110" s="8">
        <f>4.15+6.08</f>
        <v>10.23</v>
      </c>
      <c r="C110" s="8">
        <v>1.46</v>
      </c>
      <c r="D110" s="8">
        <v>0.26</v>
      </c>
      <c r="E110" s="10">
        <v>40.1</v>
      </c>
      <c r="F110" s="8">
        <f>6.08+20</f>
        <v>26.08</v>
      </c>
      <c r="G110" s="33" t="s">
        <v>108</v>
      </c>
      <c r="H110" s="9">
        <f>4.87+7.19</f>
        <v>12.06</v>
      </c>
      <c r="I110" s="9">
        <v>0.43</v>
      </c>
      <c r="J110" s="9">
        <v>0.02</v>
      </c>
      <c r="K110" s="10">
        <v>36</v>
      </c>
      <c r="L110" s="9">
        <f>7.19+25.8</f>
        <v>32.99</v>
      </c>
      <c r="M110" s="33" t="s">
        <v>108</v>
      </c>
      <c r="N110" s="11">
        <f>5.64+7.84</f>
        <v>13.48</v>
      </c>
      <c r="O110" s="9">
        <v>0.62</v>
      </c>
      <c r="P110" s="9">
        <v>7.2999999999999995E-2</v>
      </c>
      <c r="Q110" s="10">
        <v>32.700000000000003</v>
      </c>
      <c r="R110" s="10">
        <f>7.84+22.8</f>
        <v>30.64</v>
      </c>
      <c r="S110" s="9"/>
      <c r="T110" s="33" t="s">
        <v>108</v>
      </c>
      <c r="U110" s="9">
        <f>5.22+6.87</f>
        <v>12.09</v>
      </c>
      <c r="V110" s="9">
        <v>0.65</v>
      </c>
      <c r="W110" s="9">
        <v>3.1E-2</v>
      </c>
      <c r="X110" s="10">
        <v>31.7</v>
      </c>
      <c r="Y110" s="10">
        <f>6.87+24.6</f>
        <v>31.470000000000002</v>
      </c>
      <c r="AB110" s="33" t="s">
        <v>108</v>
      </c>
      <c r="AC110" s="8">
        <f>4.15+6.08</f>
        <v>10.23</v>
      </c>
      <c r="AD110" s="2">
        <f t="shared" si="96"/>
        <v>0.14935799999999999</v>
      </c>
      <c r="AE110" s="2">
        <f t="shared" si="97"/>
        <v>2.6598E-2</v>
      </c>
      <c r="AF110" s="2">
        <f t="shared" si="98"/>
        <v>4.1022300000000005</v>
      </c>
      <c r="AH110" s="33" t="s">
        <v>108</v>
      </c>
      <c r="AI110" s="9">
        <f>4.87+7.19</f>
        <v>12.06</v>
      </c>
      <c r="AJ110" s="2">
        <f t="shared" si="99"/>
        <v>5.1858000000000001E-2</v>
      </c>
      <c r="AK110" s="2">
        <f t="shared" si="100"/>
        <v>2.4120000000000001E-3</v>
      </c>
      <c r="AL110" s="2">
        <f t="shared" si="101"/>
        <v>4.3416000000000006</v>
      </c>
      <c r="AN110" s="33" t="s">
        <v>108</v>
      </c>
      <c r="AO110" s="11">
        <v>22.8</v>
      </c>
      <c r="AP110" s="2">
        <f t="shared" si="102"/>
        <v>0.14136000000000001</v>
      </c>
      <c r="AQ110" s="2">
        <f t="shared" si="103"/>
        <v>1.6643999999999999E-2</v>
      </c>
      <c r="AR110" s="2">
        <f t="shared" si="104"/>
        <v>7.4556000000000004</v>
      </c>
      <c r="AU110" s="33" t="s">
        <v>108</v>
      </c>
      <c r="AV110" s="9">
        <f>5.22+6.87</f>
        <v>12.09</v>
      </c>
      <c r="AW110" s="2">
        <f t="shared" si="105"/>
        <v>7.8585000000000002E-2</v>
      </c>
      <c r="AX110" s="2">
        <f t="shared" si="106"/>
        <v>3.7479000000000002E-3</v>
      </c>
      <c r="AY110" s="2">
        <f t="shared" si="107"/>
        <v>3.8325299999999998</v>
      </c>
    </row>
    <row r="111" spans="1:51" x14ac:dyDescent="0.3">
      <c r="A111" s="33" t="s">
        <v>109</v>
      </c>
      <c r="B111" s="9">
        <f>1.29+0.84</f>
        <v>2.13</v>
      </c>
      <c r="C111" s="9">
        <v>4.01</v>
      </c>
      <c r="D111" s="9">
        <v>0.42</v>
      </c>
      <c r="E111" s="10">
        <v>31.3</v>
      </c>
      <c r="F111" s="8">
        <f>0.84+18.7</f>
        <v>19.54</v>
      </c>
      <c r="G111" s="33" t="s">
        <v>109</v>
      </c>
      <c r="H111" s="9">
        <f>1.27+1.03</f>
        <v>2.2999999999999998</v>
      </c>
      <c r="I111" s="9">
        <v>0.31</v>
      </c>
      <c r="J111" s="9">
        <v>8.6999999999999994E-2</v>
      </c>
      <c r="K111" s="10">
        <v>44.8</v>
      </c>
      <c r="L111" s="9">
        <f>1.03+19.4</f>
        <v>20.43</v>
      </c>
      <c r="M111" s="33" t="s">
        <v>109</v>
      </c>
      <c r="N111" s="11">
        <f>0.96+0.61</f>
        <v>1.5699999999999998</v>
      </c>
      <c r="O111" s="9">
        <v>4.01</v>
      </c>
      <c r="P111" s="9">
        <v>0.44</v>
      </c>
      <c r="Q111" s="10">
        <v>33.4</v>
      </c>
      <c r="R111" s="9">
        <f>0.61+18.6</f>
        <v>19.21</v>
      </c>
      <c r="S111" s="9"/>
      <c r="T111" s="33" t="s">
        <v>109</v>
      </c>
      <c r="U111" s="9">
        <f>1.38+1.08</f>
        <v>2.46</v>
      </c>
      <c r="V111" s="9">
        <v>1.77</v>
      </c>
      <c r="W111" s="9">
        <v>0.18</v>
      </c>
      <c r="X111" s="10">
        <v>37.200000000000003</v>
      </c>
      <c r="Y111" s="9">
        <f>1.08+24.3</f>
        <v>25.380000000000003</v>
      </c>
      <c r="AB111" s="33" t="s">
        <v>109</v>
      </c>
      <c r="AC111" s="9">
        <f>1.29+0.84</f>
        <v>2.13</v>
      </c>
      <c r="AD111" s="2">
        <f t="shared" si="96"/>
        <v>8.5413000000000003E-2</v>
      </c>
      <c r="AE111" s="2">
        <f t="shared" si="97"/>
        <v>8.9459999999999991E-3</v>
      </c>
      <c r="AF111" s="2">
        <f t="shared" si="98"/>
        <v>0.66669</v>
      </c>
      <c r="AH111" s="33" t="s">
        <v>109</v>
      </c>
      <c r="AI111" s="9">
        <f>1.27+1.03</f>
        <v>2.2999999999999998</v>
      </c>
      <c r="AJ111" s="2">
        <f t="shared" si="99"/>
        <v>7.1300000000000001E-3</v>
      </c>
      <c r="AK111" s="2">
        <f t="shared" si="100"/>
        <v>2.0009999999999997E-3</v>
      </c>
      <c r="AL111" s="2">
        <f t="shared" si="101"/>
        <v>1.0304</v>
      </c>
      <c r="AN111" s="33" t="s">
        <v>109</v>
      </c>
      <c r="AO111" s="11">
        <v>18.600000000000001</v>
      </c>
      <c r="AP111" s="2">
        <f t="shared" si="102"/>
        <v>0.74585999999999997</v>
      </c>
      <c r="AQ111" s="2">
        <f t="shared" si="103"/>
        <v>8.184000000000001E-2</v>
      </c>
      <c r="AR111" s="2">
        <f t="shared" si="104"/>
        <v>6.2123999999999997</v>
      </c>
      <c r="AU111" s="33" t="s">
        <v>109</v>
      </c>
      <c r="AV111" s="9">
        <f>1.38+1.08</f>
        <v>2.46</v>
      </c>
      <c r="AW111" s="2">
        <f t="shared" si="105"/>
        <v>4.3541999999999997E-2</v>
      </c>
      <c r="AX111" s="2">
        <f t="shared" si="106"/>
        <v>4.4279999999999996E-3</v>
      </c>
      <c r="AY111" s="2">
        <f t="shared" si="107"/>
        <v>0.91512000000000004</v>
      </c>
    </row>
    <row r="112" spans="1:51" x14ac:dyDescent="0.3">
      <c r="A112" s="33" t="s">
        <v>110</v>
      </c>
      <c r="B112" s="17"/>
      <c r="C112" s="9">
        <v>2.71</v>
      </c>
      <c r="D112" s="9">
        <v>0.28000000000000003</v>
      </c>
      <c r="E112" s="10">
        <v>37.299999999999997</v>
      </c>
      <c r="F112" s="17"/>
      <c r="G112" s="33" t="s">
        <v>110</v>
      </c>
      <c r="H112" s="9">
        <f>1.44+1.37</f>
        <v>2.81</v>
      </c>
      <c r="I112" s="9">
        <v>0.66</v>
      </c>
      <c r="J112" s="9">
        <v>8.7999999999999995E-2</v>
      </c>
      <c r="K112" s="10">
        <v>52.8</v>
      </c>
      <c r="L112" s="9">
        <f>1.37+15.2</f>
        <v>16.57</v>
      </c>
      <c r="M112" s="33" t="s">
        <v>110</v>
      </c>
      <c r="N112" s="15"/>
      <c r="O112" s="17"/>
      <c r="P112" s="17"/>
      <c r="Q112" s="18"/>
      <c r="R112" s="15"/>
      <c r="S112" s="9"/>
      <c r="T112" s="33" t="s">
        <v>110</v>
      </c>
      <c r="U112" s="9">
        <f>0.63+0.75</f>
        <v>1.38</v>
      </c>
      <c r="V112" s="9">
        <v>1.1399999999999999</v>
      </c>
      <c r="W112" s="9">
        <v>0.15</v>
      </c>
      <c r="X112" s="10">
        <v>41.9</v>
      </c>
      <c r="Y112" s="9">
        <f>0.75+20.5</f>
        <v>21.25</v>
      </c>
      <c r="AB112" s="33" t="s">
        <v>110</v>
      </c>
      <c r="AC112" s="17"/>
      <c r="AD112" s="17"/>
      <c r="AE112" s="17"/>
      <c r="AF112" s="17"/>
      <c r="AH112" s="33" t="s">
        <v>110</v>
      </c>
      <c r="AI112" s="9">
        <f>1.44+1.37</f>
        <v>2.81</v>
      </c>
      <c r="AJ112" s="2">
        <f t="shared" si="99"/>
        <v>1.8546E-2</v>
      </c>
      <c r="AK112" s="2">
        <f t="shared" si="100"/>
        <v>2.4727999999999998E-3</v>
      </c>
      <c r="AL112" s="2">
        <f t="shared" si="101"/>
        <v>1.4836799999999999</v>
      </c>
      <c r="AN112" s="33" t="s">
        <v>110</v>
      </c>
      <c r="AO112" s="15"/>
      <c r="AP112" s="17"/>
      <c r="AQ112" s="17"/>
      <c r="AR112" s="17"/>
      <c r="AU112" s="33" t="s">
        <v>110</v>
      </c>
      <c r="AV112" s="9">
        <f>0.63+0.75</f>
        <v>1.38</v>
      </c>
      <c r="AW112" s="2">
        <f t="shared" si="105"/>
        <v>1.5731999999999996E-2</v>
      </c>
      <c r="AX112" s="2">
        <f t="shared" si="106"/>
        <v>2.0699999999999998E-3</v>
      </c>
      <c r="AY112" s="2">
        <f t="shared" si="107"/>
        <v>0.57821999999999996</v>
      </c>
    </row>
    <row r="113" spans="1:51" x14ac:dyDescent="0.3">
      <c r="A113" s="33" t="s">
        <v>111</v>
      </c>
      <c r="B113" s="9">
        <f>1.25+1.74</f>
        <v>2.99</v>
      </c>
      <c r="C113" s="9">
        <v>2</v>
      </c>
      <c r="D113" s="9">
        <v>0.44</v>
      </c>
      <c r="E113" s="10">
        <v>45.2</v>
      </c>
      <c r="F113" s="8">
        <f>1.74+22</f>
        <v>23.74</v>
      </c>
      <c r="G113" s="33" t="s">
        <v>111</v>
      </c>
      <c r="H113" s="9">
        <f>1.24+2.51</f>
        <v>3.75</v>
      </c>
      <c r="I113" s="9">
        <v>0.53</v>
      </c>
      <c r="J113" s="9">
        <v>0</v>
      </c>
      <c r="K113" s="65"/>
      <c r="L113" s="9">
        <f>2.51+26.7</f>
        <v>29.21</v>
      </c>
      <c r="M113" s="33" t="s">
        <v>111</v>
      </c>
      <c r="N113" s="11">
        <f>1.44+1.08</f>
        <v>2.52</v>
      </c>
      <c r="O113" s="9">
        <v>4.09</v>
      </c>
      <c r="P113" s="9">
        <v>1.02</v>
      </c>
      <c r="Q113" s="10">
        <v>31.3</v>
      </c>
      <c r="R113" s="9">
        <f>1.08+24</f>
        <v>25.08</v>
      </c>
      <c r="S113" s="9"/>
      <c r="T113" s="33" t="s">
        <v>111</v>
      </c>
      <c r="U113" s="9">
        <f>0.27+0.65</f>
        <v>0.92</v>
      </c>
      <c r="V113" s="9">
        <v>4.42</v>
      </c>
      <c r="W113" s="9">
        <v>0.26</v>
      </c>
      <c r="X113" s="65"/>
      <c r="Y113" s="9">
        <f>0.65+20.8</f>
        <v>21.45</v>
      </c>
      <c r="AB113" s="33" t="s">
        <v>111</v>
      </c>
      <c r="AC113" s="9">
        <f>1.25+1.74</f>
        <v>2.99</v>
      </c>
      <c r="AD113" s="2">
        <f t="shared" ref="AD113:AD126" si="108">AC113*C113/100</f>
        <v>5.9800000000000006E-2</v>
      </c>
      <c r="AE113" s="2">
        <f t="shared" ref="AE113:AE125" si="109">AC113*D113/100</f>
        <v>1.3156000000000001E-2</v>
      </c>
      <c r="AF113" s="2">
        <f>E113*B113/100</f>
        <v>1.3514800000000002</v>
      </c>
      <c r="AH113" s="33" t="s">
        <v>111</v>
      </c>
      <c r="AI113" s="9">
        <f>1.24+2.51</f>
        <v>3.75</v>
      </c>
      <c r="AJ113" s="2">
        <f t="shared" si="99"/>
        <v>1.9875E-2</v>
      </c>
      <c r="AK113" s="2">
        <f t="shared" si="100"/>
        <v>0</v>
      </c>
      <c r="AL113" s="83"/>
      <c r="AN113" s="33" t="s">
        <v>111</v>
      </c>
      <c r="AO113" s="11">
        <v>24</v>
      </c>
      <c r="AP113" s="2">
        <f t="shared" ref="AP113:AP114" si="110">AO113*O113/100</f>
        <v>0.98159999999999992</v>
      </c>
      <c r="AQ113" s="2">
        <f t="shared" ref="AQ113:AQ114" si="111">AO113*P113/100</f>
        <v>0.24480000000000002</v>
      </c>
      <c r="AR113" s="2">
        <f t="shared" ref="AR113:AR114" si="112">AO113*Q113/100</f>
        <v>7.5120000000000005</v>
      </c>
      <c r="AU113" s="33" t="s">
        <v>111</v>
      </c>
      <c r="AV113" s="9">
        <f>0.27+0.65</f>
        <v>0.92</v>
      </c>
      <c r="AW113" s="2">
        <f t="shared" si="105"/>
        <v>4.0663999999999999E-2</v>
      </c>
      <c r="AX113" s="2">
        <f t="shared" si="106"/>
        <v>2.392E-3</v>
      </c>
      <c r="AY113" s="83"/>
    </row>
    <row r="114" spans="1:51" x14ac:dyDescent="0.3">
      <c r="A114" s="33" t="s">
        <v>112</v>
      </c>
      <c r="B114" s="9">
        <f>1+1.33</f>
        <v>2.33</v>
      </c>
      <c r="C114" s="9">
        <v>4.24</v>
      </c>
      <c r="D114" s="9">
        <v>0.15</v>
      </c>
      <c r="E114" s="10">
        <v>37.4</v>
      </c>
      <c r="F114" s="8">
        <f>1.33+17.7</f>
        <v>19.03</v>
      </c>
      <c r="G114" s="33" t="s">
        <v>112</v>
      </c>
      <c r="H114" s="9">
        <f>2.27+3.69</f>
        <v>5.96</v>
      </c>
      <c r="I114" s="9">
        <v>0.82</v>
      </c>
      <c r="J114" s="9">
        <v>2.1999999999999999E-2</v>
      </c>
      <c r="K114" s="10">
        <v>54.1</v>
      </c>
      <c r="L114" s="9">
        <f>3.69+24.4</f>
        <v>28.09</v>
      </c>
      <c r="M114" s="33" t="s">
        <v>112</v>
      </c>
      <c r="N114" s="11">
        <f>1.97+2.18</f>
        <v>4.1500000000000004</v>
      </c>
      <c r="O114" s="9">
        <v>0.77</v>
      </c>
      <c r="P114" s="9">
        <v>0.27</v>
      </c>
      <c r="Q114" s="10">
        <v>24.8</v>
      </c>
      <c r="R114" s="9">
        <f>2.18+27.8</f>
        <v>29.98</v>
      </c>
      <c r="S114" s="9"/>
      <c r="T114" s="33" t="s">
        <v>112</v>
      </c>
      <c r="U114" s="9">
        <f>1.04+2.19</f>
        <v>3.23</v>
      </c>
      <c r="V114" s="9">
        <v>3.08</v>
      </c>
      <c r="W114" s="9">
        <v>7.6999999999999999E-2</v>
      </c>
      <c r="X114" s="65"/>
      <c r="Y114" s="9">
        <f>2.19+30.3</f>
        <v>32.49</v>
      </c>
      <c r="AB114" s="33" t="s">
        <v>112</v>
      </c>
      <c r="AC114" s="9">
        <f>1+1.33</f>
        <v>2.33</v>
      </c>
      <c r="AD114" s="2">
        <f t="shared" si="108"/>
        <v>9.8792000000000005E-2</v>
      </c>
      <c r="AE114" s="2">
        <f t="shared" si="109"/>
        <v>3.4949999999999998E-3</v>
      </c>
      <c r="AF114" s="2">
        <f t="shared" ref="AF114:AF126" si="113">E114*B114/100</f>
        <v>0.87141999999999997</v>
      </c>
      <c r="AH114" s="33" t="s">
        <v>112</v>
      </c>
      <c r="AI114" s="9">
        <f>2.27+3.69</f>
        <v>5.96</v>
      </c>
      <c r="AJ114" s="2">
        <f t="shared" si="99"/>
        <v>4.8871999999999999E-2</v>
      </c>
      <c r="AK114" s="2">
        <f t="shared" si="100"/>
        <v>1.3111999999999998E-3</v>
      </c>
      <c r="AL114" s="2">
        <f t="shared" si="101"/>
        <v>3.2243599999999999</v>
      </c>
      <c r="AN114" s="33" t="s">
        <v>112</v>
      </c>
      <c r="AO114" s="11">
        <v>21.8</v>
      </c>
      <c r="AP114" s="2">
        <f t="shared" si="110"/>
        <v>0.16786000000000001</v>
      </c>
      <c r="AQ114" s="2">
        <f t="shared" si="111"/>
        <v>5.886000000000001E-2</v>
      </c>
      <c r="AR114" s="2">
        <f t="shared" si="112"/>
        <v>5.4063999999999997</v>
      </c>
      <c r="AU114" s="33" t="s">
        <v>112</v>
      </c>
      <c r="AV114" s="9">
        <f>1.04+2.19</f>
        <v>3.23</v>
      </c>
      <c r="AW114" s="2">
        <f t="shared" si="105"/>
        <v>9.9483999999999989E-2</v>
      </c>
      <c r="AX114" s="2">
        <f t="shared" si="106"/>
        <v>2.4870999999999999E-3</v>
      </c>
      <c r="AY114" s="83"/>
    </row>
    <row r="115" spans="1:51" x14ac:dyDescent="0.3">
      <c r="A115" s="33" t="s">
        <v>113</v>
      </c>
      <c r="B115" s="9">
        <f>2.58+2.31</f>
        <v>4.8900000000000006</v>
      </c>
      <c r="C115" s="9">
        <v>1</v>
      </c>
      <c r="D115" s="9">
        <v>0</v>
      </c>
      <c r="E115" s="10">
        <v>52.3</v>
      </c>
      <c r="F115" s="8">
        <f>2.31+22.5</f>
        <v>24.81</v>
      </c>
      <c r="G115" s="33" t="s">
        <v>113</v>
      </c>
      <c r="H115" s="9">
        <f>2.04+3.32</f>
        <v>5.3599999999999994</v>
      </c>
      <c r="I115" s="9">
        <v>0.3</v>
      </c>
      <c r="J115" s="9">
        <v>0.04</v>
      </c>
      <c r="K115" s="10">
        <v>20.399999999999999</v>
      </c>
      <c r="L115" s="9">
        <f>3.32+30.9</f>
        <v>34.22</v>
      </c>
      <c r="M115" s="33" t="s">
        <v>113</v>
      </c>
      <c r="N115" s="11">
        <f>4.08+2.85</f>
        <v>6.93</v>
      </c>
      <c r="O115" s="17"/>
      <c r="P115" s="17"/>
      <c r="Q115" s="18"/>
      <c r="R115" s="9">
        <f>2.85+29.4</f>
        <v>32.25</v>
      </c>
      <c r="S115" s="9"/>
      <c r="T115" s="33" t="s">
        <v>113</v>
      </c>
      <c r="U115" s="9">
        <f>1.76+1.7</f>
        <v>3.46</v>
      </c>
      <c r="V115" s="9">
        <v>1.2</v>
      </c>
      <c r="W115" s="9">
        <v>4.1000000000000002E-2</v>
      </c>
      <c r="X115" s="10">
        <v>40.200000000000003</v>
      </c>
      <c r="Y115" s="9">
        <f>1.7+22</f>
        <v>23.7</v>
      </c>
      <c r="AB115" s="33" t="s">
        <v>113</v>
      </c>
      <c r="AC115" s="9">
        <f>2.58+2.31</f>
        <v>4.8900000000000006</v>
      </c>
      <c r="AD115" s="2">
        <f t="shared" si="108"/>
        <v>4.8900000000000006E-2</v>
      </c>
      <c r="AE115" s="2">
        <f t="shared" si="109"/>
        <v>0</v>
      </c>
      <c r="AF115" s="2">
        <f t="shared" si="113"/>
        <v>2.5574700000000004</v>
      </c>
      <c r="AH115" s="33" t="s">
        <v>113</v>
      </c>
      <c r="AI115" s="9">
        <f>2.04+3.32</f>
        <v>5.3599999999999994</v>
      </c>
      <c r="AJ115" s="2">
        <f t="shared" si="99"/>
        <v>1.6079999999999997E-2</v>
      </c>
      <c r="AK115" s="2">
        <f t="shared" si="100"/>
        <v>2.1439999999999996E-3</v>
      </c>
      <c r="AL115" s="2">
        <f t="shared" si="101"/>
        <v>1.0934399999999997</v>
      </c>
      <c r="AN115" s="33" t="s">
        <v>113</v>
      </c>
      <c r="AO115" s="11">
        <v>29.4</v>
      </c>
      <c r="AP115" s="17"/>
      <c r="AQ115" s="17"/>
      <c r="AR115" s="17"/>
      <c r="AU115" s="33" t="s">
        <v>113</v>
      </c>
      <c r="AV115" s="9">
        <f>1.76+1.7</f>
        <v>3.46</v>
      </c>
      <c r="AW115" s="2">
        <f t="shared" si="105"/>
        <v>4.1520000000000001E-2</v>
      </c>
      <c r="AX115" s="2">
        <f t="shared" si="106"/>
        <v>1.4186000000000001E-3</v>
      </c>
      <c r="AY115" s="2">
        <f t="shared" si="107"/>
        <v>1.3909200000000002</v>
      </c>
    </row>
    <row r="116" spans="1:51" x14ac:dyDescent="0.3">
      <c r="A116" s="33" t="s">
        <v>114</v>
      </c>
      <c r="B116" s="9">
        <f>2.98+4.78</f>
        <v>7.76</v>
      </c>
      <c r="C116" s="9">
        <v>1.43</v>
      </c>
      <c r="D116" s="9">
        <v>1.01</v>
      </c>
      <c r="E116" s="10">
        <v>27.7</v>
      </c>
      <c r="F116" s="8">
        <f>4.78+28.9</f>
        <v>33.68</v>
      </c>
      <c r="G116" s="33" t="s">
        <v>114</v>
      </c>
      <c r="H116" s="9">
        <f>5.29+6.91</f>
        <v>12.2</v>
      </c>
      <c r="I116" s="9">
        <v>1.39</v>
      </c>
      <c r="J116" s="9">
        <v>0.62</v>
      </c>
      <c r="K116" s="10">
        <v>28.8</v>
      </c>
      <c r="L116" s="9">
        <f>6.91+21.8</f>
        <v>28.71</v>
      </c>
      <c r="M116" s="33" t="s">
        <v>114</v>
      </c>
      <c r="N116" s="11">
        <f>5.52+6.7</f>
        <v>12.219999999999999</v>
      </c>
      <c r="O116" s="9">
        <v>1.96</v>
      </c>
      <c r="P116" s="9">
        <v>0.81</v>
      </c>
      <c r="Q116" s="10">
        <v>23.1</v>
      </c>
      <c r="R116" s="9">
        <f>6.7+22.9</f>
        <v>29.599999999999998</v>
      </c>
      <c r="S116" s="9"/>
      <c r="T116" s="33" t="s">
        <v>114</v>
      </c>
      <c r="U116" s="9">
        <f>3.89+7.19</f>
        <v>11.08</v>
      </c>
      <c r="V116" s="9">
        <v>1.24</v>
      </c>
      <c r="W116" s="9">
        <v>0.6</v>
      </c>
      <c r="X116" s="10">
        <v>32.1</v>
      </c>
      <c r="Y116" s="9">
        <f>7.19+28.3</f>
        <v>35.49</v>
      </c>
      <c r="AB116" s="33" t="s">
        <v>114</v>
      </c>
      <c r="AC116" s="9">
        <f>2.98+4.78</f>
        <v>7.76</v>
      </c>
      <c r="AD116" s="2">
        <f t="shared" si="108"/>
        <v>0.110968</v>
      </c>
      <c r="AE116" s="2">
        <f t="shared" si="109"/>
        <v>7.8376000000000001E-2</v>
      </c>
      <c r="AF116" s="2">
        <f t="shared" si="113"/>
        <v>2.1495199999999999</v>
      </c>
      <c r="AH116" s="33" t="s">
        <v>114</v>
      </c>
      <c r="AI116" s="9">
        <f>5.29+6.91</f>
        <v>12.2</v>
      </c>
      <c r="AJ116" s="2">
        <f t="shared" si="99"/>
        <v>0.16957999999999998</v>
      </c>
      <c r="AK116" s="2">
        <f t="shared" si="100"/>
        <v>7.5639999999999985E-2</v>
      </c>
      <c r="AL116" s="2">
        <f t="shared" si="101"/>
        <v>3.5136000000000003</v>
      </c>
      <c r="AN116" s="33" t="s">
        <v>114</v>
      </c>
      <c r="AO116" s="11">
        <f>5.52+6.7</f>
        <v>12.219999999999999</v>
      </c>
      <c r="AP116" s="2">
        <f t="shared" ref="AP116:AP126" si="114">AO116*O116/100</f>
        <v>0.23951199999999997</v>
      </c>
      <c r="AQ116" s="2">
        <f t="shared" ref="AQ116:AQ125" si="115">AO116*P116/100</f>
        <v>9.8981999999999987E-2</v>
      </c>
      <c r="AR116" s="2">
        <f t="shared" ref="AR116:AR126" si="116">AO116*Q116/100</f>
        <v>2.8228199999999997</v>
      </c>
      <c r="AU116" s="33" t="s">
        <v>114</v>
      </c>
      <c r="AV116" s="9">
        <f>3.89+7.19</f>
        <v>11.08</v>
      </c>
      <c r="AW116" s="2">
        <f t="shared" si="105"/>
        <v>0.13739200000000001</v>
      </c>
      <c r="AX116" s="2">
        <f t="shared" si="106"/>
        <v>6.6479999999999997E-2</v>
      </c>
      <c r="AY116" s="2">
        <f t="shared" si="107"/>
        <v>3.5566800000000001</v>
      </c>
    </row>
    <row r="117" spans="1:51" x14ac:dyDescent="0.3">
      <c r="A117" s="33" t="s">
        <v>115</v>
      </c>
      <c r="B117" s="9">
        <f>5.27+6.77</f>
        <v>12.04</v>
      </c>
      <c r="C117" s="9">
        <v>3.38</v>
      </c>
      <c r="D117" s="9">
        <v>3.09</v>
      </c>
      <c r="E117" s="10">
        <v>23.5</v>
      </c>
      <c r="F117" s="8">
        <f>6.77+20.5</f>
        <v>27.27</v>
      </c>
      <c r="G117" s="33" t="s">
        <v>115</v>
      </c>
      <c r="H117" s="9">
        <f>6.29+8.51</f>
        <v>14.8</v>
      </c>
      <c r="I117" s="9">
        <v>2.66</v>
      </c>
      <c r="J117" s="9">
        <v>1.17</v>
      </c>
      <c r="K117" s="10">
        <v>22.2</v>
      </c>
      <c r="L117" s="9">
        <f>8.51+18.7</f>
        <v>27.21</v>
      </c>
      <c r="M117" s="33" t="s">
        <v>115</v>
      </c>
      <c r="N117" s="11">
        <f>4.66+9.43</f>
        <v>14.09</v>
      </c>
      <c r="O117" s="9">
        <v>5.2</v>
      </c>
      <c r="P117" s="9">
        <v>1.44</v>
      </c>
      <c r="Q117" s="10">
        <v>30.1</v>
      </c>
      <c r="R117" s="9">
        <f>9.43+24.8</f>
        <v>34.230000000000004</v>
      </c>
      <c r="S117" s="9"/>
      <c r="T117" s="33" t="s">
        <v>115</v>
      </c>
      <c r="U117" s="9">
        <f>5.53+5.86</f>
        <v>11.39</v>
      </c>
      <c r="V117" s="9">
        <v>1.35</v>
      </c>
      <c r="W117" s="9">
        <v>0.94</v>
      </c>
      <c r="X117" s="10">
        <v>18.600000000000001</v>
      </c>
      <c r="Y117" s="9">
        <f>5.86+20.2</f>
        <v>26.06</v>
      </c>
      <c r="AB117" s="33" t="s">
        <v>115</v>
      </c>
      <c r="AC117" s="9">
        <f>5.27+6.77</f>
        <v>12.04</v>
      </c>
      <c r="AD117" s="2">
        <f t="shared" si="108"/>
        <v>0.40695199999999992</v>
      </c>
      <c r="AE117" s="2">
        <f t="shared" si="109"/>
        <v>0.37203599999999992</v>
      </c>
      <c r="AF117" s="2">
        <f t="shared" si="113"/>
        <v>2.8294000000000001</v>
      </c>
      <c r="AH117" s="33" t="s">
        <v>115</v>
      </c>
      <c r="AI117" s="9">
        <f>6.29+8.51</f>
        <v>14.8</v>
      </c>
      <c r="AJ117" s="2">
        <f t="shared" si="99"/>
        <v>0.39368000000000003</v>
      </c>
      <c r="AK117" s="2">
        <f t="shared" si="100"/>
        <v>0.17315999999999998</v>
      </c>
      <c r="AL117" s="2">
        <f t="shared" si="101"/>
        <v>3.2856000000000001</v>
      </c>
      <c r="AN117" s="33" t="s">
        <v>115</v>
      </c>
      <c r="AO117" s="11">
        <f>4.66+9.43</f>
        <v>14.09</v>
      </c>
      <c r="AP117" s="2">
        <f t="shared" si="114"/>
        <v>0.73268</v>
      </c>
      <c r="AQ117" s="2">
        <f t="shared" si="115"/>
        <v>0.20289599999999999</v>
      </c>
      <c r="AR117" s="2">
        <f t="shared" si="116"/>
        <v>4.2410900000000007</v>
      </c>
      <c r="AU117" s="33" t="s">
        <v>115</v>
      </c>
      <c r="AV117" s="9">
        <f>5.53+5.86</f>
        <v>11.39</v>
      </c>
      <c r="AW117" s="2">
        <f t="shared" si="105"/>
        <v>0.15376500000000001</v>
      </c>
      <c r="AX117" s="2">
        <f t="shared" si="106"/>
        <v>0.10706599999999999</v>
      </c>
      <c r="AY117" s="2">
        <f t="shared" si="107"/>
        <v>2.1185400000000003</v>
      </c>
    </row>
    <row r="118" spans="1:51" x14ac:dyDescent="0.3">
      <c r="A118" s="33" t="s">
        <v>116</v>
      </c>
      <c r="B118" s="9">
        <f>4.66+11.9</f>
        <v>16.560000000000002</v>
      </c>
      <c r="C118" s="9">
        <v>4.3499999999999996</v>
      </c>
      <c r="D118" s="9">
        <v>2.37</v>
      </c>
      <c r="E118" s="10">
        <v>32.299999999999997</v>
      </c>
      <c r="F118" s="60"/>
      <c r="G118" s="33" t="s">
        <v>116</v>
      </c>
      <c r="H118" s="9">
        <f>4.48+15.7</f>
        <v>20.18</v>
      </c>
      <c r="I118" s="9">
        <v>3.07</v>
      </c>
      <c r="J118" s="9">
        <v>0.87</v>
      </c>
      <c r="K118" s="10">
        <v>41.8</v>
      </c>
      <c r="L118" s="62"/>
      <c r="M118" s="33" t="s">
        <v>116</v>
      </c>
      <c r="N118" s="11">
        <f>5.76+8.99</f>
        <v>14.75</v>
      </c>
      <c r="O118" s="9">
        <v>1.6</v>
      </c>
      <c r="P118" s="9">
        <v>0.72</v>
      </c>
      <c r="Q118" s="10">
        <v>20.5</v>
      </c>
      <c r="R118" s="9">
        <f>8.99+21.2</f>
        <v>30.189999999999998</v>
      </c>
      <c r="S118" s="9"/>
      <c r="T118" s="33" t="s">
        <v>116</v>
      </c>
      <c r="U118" s="9">
        <f>3.55+8.35</f>
        <v>11.899999999999999</v>
      </c>
      <c r="V118" s="9">
        <v>1.85</v>
      </c>
      <c r="W118" s="9">
        <v>0.66</v>
      </c>
      <c r="X118" s="10">
        <v>30.4</v>
      </c>
      <c r="Y118" s="9">
        <f>8.35+25.3</f>
        <v>33.65</v>
      </c>
      <c r="AB118" s="33" t="s">
        <v>116</v>
      </c>
      <c r="AC118" s="9">
        <f>4.66+11.9</f>
        <v>16.560000000000002</v>
      </c>
      <c r="AD118" s="2">
        <f t="shared" si="108"/>
        <v>0.72036</v>
      </c>
      <c r="AE118" s="2">
        <f t="shared" si="109"/>
        <v>0.39247200000000004</v>
      </c>
      <c r="AF118" s="2">
        <f t="shared" si="113"/>
        <v>5.3488800000000003</v>
      </c>
      <c r="AH118" s="33" t="s">
        <v>116</v>
      </c>
      <c r="AI118" s="9">
        <f>4.48+15.7</f>
        <v>20.18</v>
      </c>
      <c r="AJ118" s="2">
        <f t="shared" si="99"/>
        <v>0.61952600000000002</v>
      </c>
      <c r="AK118" s="2">
        <f t="shared" si="100"/>
        <v>0.175566</v>
      </c>
      <c r="AL118" s="2">
        <f t="shared" si="101"/>
        <v>8.4352399999999985</v>
      </c>
      <c r="AN118" s="33" t="s">
        <v>116</v>
      </c>
      <c r="AO118" s="11">
        <f>5.76+8.99</f>
        <v>14.75</v>
      </c>
      <c r="AP118" s="2">
        <f t="shared" si="114"/>
        <v>0.23600000000000002</v>
      </c>
      <c r="AQ118" s="2">
        <f t="shared" si="115"/>
        <v>0.10619999999999999</v>
      </c>
      <c r="AR118" s="2">
        <f t="shared" si="116"/>
        <v>3.0237500000000002</v>
      </c>
      <c r="AU118" s="33" t="s">
        <v>116</v>
      </c>
      <c r="AV118" s="9">
        <f>3.55+8.35</f>
        <v>11.899999999999999</v>
      </c>
      <c r="AW118" s="2">
        <f t="shared" si="105"/>
        <v>0.22014999999999996</v>
      </c>
      <c r="AX118" s="2">
        <f t="shared" si="106"/>
        <v>7.8539999999999999E-2</v>
      </c>
      <c r="AY118" s="2">
        <f t="shared" si="107"/>
        <v>3.6175999999999995</v>
      </c>
    </row>
    <row r="119" spans="1:51" x14ac:dyDescent="0.3">
      <c r="A119" s="33" t="s">
        <v>117</v>
      </c>
      <c r="B119" s="9">
        <f>4.23+18.3</f>
        <v>22.53</v>
      </c>
      <c r="C119" s="9">
        <v>5.84</v>
      </c>
      <c r="D119" s="9">
        <v>1.6</v>
      </c>
      <c r="E119" s="10">
        <v>44</v>
      </c>
      <c r="F119" s="8">
        <f>18.3+31.6</f>
        <v>49.900000000000006</v>
      </c>
      <c r="G119" s="33" t="s">
        <v>117</v>
      </c>
      <c r="H119" s="9">
        <f>4.99+12.1</f>
        <v>17.09</v>
      </c>
      <c r="I119" s="9">
        <v>3.61</v>
      </c>
      <c r="J119" s="9">
        <v>1.07</v>
      </c>
      <c r="K119" s="10">
        <v>32.1</v>
      </c>
      <c r="L119" s="9">
        <f>12.1+25.2</f>
        <v>37.299999999999997</v>
      </c>
      <c r="M119" s="33" t="s">
        <v>117</v>
      </c>
      <c r="N119" s="11">
        <f>5.28+13.5</f>
        <v>18.78</v>
      </c>
      <c r="O119" s="9">
        <v>2.5</v>
      </c>
      <c r="P119" s="9">
        <v>0.56999999999999995</v>
      </c>
      <c r="Q119" s="10">
        <v>32.4</v>
      </c>
      <c r="R119" s="9">
        <f>13.5+26</f>
        <v>39.5</v>
      </c>
      <c r="S119" s="9"/>
      <c r="T119" s="33" t="s">
        <v>117</v>
      </c>
      <c r="U119" s="9">
        <f>3.95+12.4</f>
        <v>16.350000000000001</v>
      </c>
      <c r="V119" s="9">
        <v>3.5</v>
      </c>
      <c r="W119" s="9">
        <v>0.88</v>
      </c>
      <c r="X119" s="10">
        <v>38.200000000000003</v>
      </c>
      <c r="Y119" s="9">
        <f>12.4+29.9</f>
        <v>42.3</v>
      </c>
      <c r="AB119" s="33" t="s">
        <v>117</v>
      </c>
      <c r="AC119" s="9">
        <f>4.23+18.3</f>
        <v>22.53</v>
      </c>
      <c r="AD119" s="2">
        <f t="shared" si="108"/>
        <v>1.315752</v>
      </c>
      <c r="AE119" s="2">
        <f t="shared" si="109"/>
        <v>0.36048000000000002</v>
      </c>
      <c r="AF119" s="2">
        <f t="shared" si="113"/>
        <v>9.9131999999999998</v>
      </c>
      <c r="AH119" s="33" t="s">
        <v>117</v>
      </c>
      <c r="AI119" s="9">
        <f>4.99+12.1</f>
        <v>17.09</v>
      </c>
      <c r="AJ119" s="2">
        <f t="shared" si="99"/>
        <v>0.61694899999999997</v>
      </c>
      <c r="AK119" s="2">
        <f t="shared" si="100"/>
        <v>0.182863</v>
      </c>
      <c r="AL119" s="2">
        <f t="shared" si="101"/>
        <v>5.4858900000000004</v>
      </c>
      <c r="AN119" s="33" t="s">
        <v>117</v>
      </c>
      <c r="AO119" s="11">
        <f>5.28+13.5</f>
        <v>18.78</v>
      </c>
      <c r="AP119" s="2">
        <f t="shared" si="114"/>
        <v>0.46950000000000003</v>
      </c>
      <c r="AQ119" s="2">
        <f t="shared" si="115"/>
        <v>0.10704599999999999</v>
      </c>
      <c r="AR119" s="2">
        <f t="shared" si="116"/>
        <v>6.0847199999999999</v>
      </c>
      <c r="AU119" s="33" t="s">
        <v>117</v>
      </c>
      <c r="AV119" s="9">
        <f>3.95+12.4</f>
        <v>16.350000000000001</v>
      </c>
      <c r="AW119" s="2">
        <f t="shared" si="105"/>
        <v>0.57225000000000004</v>
      </c>
      <c r="AX119" s="2">
        <f t="shared" si="106"/>
        <v>0.14388000000000001</v>
      </c>
      <c r="AY119" s="2">
        <f t="shared" si="107"/>
        <v>6.2457000000000003</v>
      </c>
    </row>
    <row r="120" spans="1:51" x14ac:dyDescent="0.3">
      <c r="A120" s="33" t="s">
        <v>118</v>
      </c>
      <c r="B120" s="9">
        <f>4.79+12.4</f>
        <v>17.190000000000001</v>
      </c>
      <c r="C120" s="9">
        <v>4.41</v>
      </c>
      <c r="D120" s="9">
        <v>1.6</v>
      </c>
      <c r="E120" s="10">
        <v>30.8</v>
      </c>
      <c r="F120" s="8">
        <f>12.4+26.4</f>
        <v>38.799999999999997</v>
      </c>
      <c r="G120" s="33" t="s">
        <v>118</v>
      </c>
      <c r="H120" s="9">
        <f>4.86+8.49</f>
        <v>13.350000000000001</v>
      </c>
      <c r="I120" s="9">
        <v>2.96</v>
      </c>
      <c r="J120" s="9">
        <v>0.63</v>
      </c>
      <c r="K120" s="10">
        <v>30</v>
      </c>
      <c r="L120" s="9">
        <f>8.49+25.5</f>
        <v>33.99</v>
      </c>
      <c r="M120" s="33" t="s">
        <v>118</v>
      </c>
      <c r="N120" s="11">
        <f>3.29+10.5</f>
        <v>13.79</v>
      </c>
      <c r="O120" s="9">
        <v>4.5999999999999996</v>
      </c>
      <c r="P120" s="9">
        <v>0.54</v>
      </c>
      <c r="Q120" s="10">
        <v>45</v>
      </c>
      <c r="R120" s="9">
        <f>10.5+32.4</f>
        <v>42.9</v>
      </c>
      <c r="S120" s="9"/>
      <c r="T120" s="33" t="s">
        <v>118</v>
      </c>
      <c r="U120" s="9">
        <f>4.27+14.3</f>
        <v>18.57</v>
      </c>
      <c r="V120" s="9">
        <v>4.03</v>
      </c>
      <c r="W120" s="9">
        <v>0.63</v>
      </c>
      <c r="X120" s="10">
        <v>42.3</v>
      </c>
      <c r="Y120" s="9">
        <f>14.3+30.6</f>
        <v>44.900000000000006</v>
      </c>
      <c r="AB120" s="33" t="s">
        <v>118</v>
      </c>
      <c r="AC120" s="9">
        <f>4.79+12.4</f>
        <v>17.190000000000001</v>
      </c>
      <c r="AD120" s="2">
        <f t="shared" si="108"/>
        <v>0.75807900000000006</v>
      </c>
      <c r="AE120" s="2">
        <f t="shared" si="109"/>
        <v>0.27504000000000006</v>
      </c>
      <c r="AF120" s="2">
        <f t="shared" si="113"/>
        <v>5.2945200000000003</v>
      </c>
      <c r="AH120" s="33" t="s">
        <v>118</v>
      </c>
      <c r="AI120" s="9">
        <f>4.86+8.49</f>
        <v>13.350000000000001</v>
      </c>
      <c r="AJ120" s="2">
        <f t="shared" si="99"/>
        <v>0.39516000000000007</v>
      </c>
      <c r="AK120" s="2">
        <f t="shared" si="100"/>
        <v>8.4105000000000013E-2</v>
      </c>
      <c r="AL120" s="2">
        <f t="shared" si="101"/>
        <v>4.0050000000000008</v>
      </c>
      <c r="AN120" s="33" t="s">
        <v>118</v>
      </c>
      <c r="AO120" s="11">
        <f>3.29+10.5</f>
        <v>13.79</v>
      </c>
      <c r="AP120" s="2">
        <f t="shared" si="114"/>
        <v>0.6343399999999999</v>
      </c>
      <c r="AQ120" s="2">
        <f t="shared" si="115"/>
        <v>7.4466000000000004E-2</v>
      </c>
      <c r="AR120" s="2">
        <f t="shared" si="116"/>
        <v>6.2054999999999998</v>
      </c>
      <c r="AU120" s="33" t="s">
        <v>118</v>
      </c>
      <c r="AV120" s="9">
        <f>4.27+14.3</f>
        <v>18.57</v>
      </c>
      <c r="AW120" s="2">
        <f t="shared" si="105"/>
        <v>0.74837100000000012</v>
      </c>
      <c r="AX120" s="2">
        <f t="shared" si="106"/>
        <v>0.116991</v>
      </c>
      <c r="AY120" s="2">
        <f t="shared" si="107"/>
        <v>7.8551099999999998</v>
      </c>
    </row>
    <row r="121" spans="1:51" x14ac:dyDescent="0.3">
      <c r="A121" s="33" t="s">
        <v>119</v>
      </c>
      <c r="B121" s="9">
        <f>1.92+1.72</f>
        <v>3.6399999999999997</v>
      </c>
      <c r="C121" s="9">
        <v>4.03</v>
      </c>
      <c r="D121" s="9">
        <v>3.12</v>
      </c>
      <c r="E121" s="10">
        <v>22.5</v>
      </c>
      <c r="F121" s="8">
        <f>1.72+21.4</f>
        <v>23.119999999999997</v>
      </c>
      <c r="G121" s="33" t="s">
        <v>119</v>
      </c>
      <c r="H121" s="9">
        <f>2.33+4.24</f>
        <v>6.57</v>
      </c>
      <c r="I121" s="9">
        <v>3.72</v>
      </c>
      <c r="J121" s="9">
        <v>1.21</v>
      </c>
      <c r="K121" s="10">
        <v>36.6</v>
      </c>
      <c r="L121" s="9">
        <f>4.24+26.4</f>
        <v>30.64</v>
      </c>
      <c r="M121" s="33" t="s">
        <v>119</v>
      </c>
      <c r="N121" s="11">
        <f>2.42+2.04</f>
        <v>4.46</v>
      </c>
      <c r="O121" s="9">
        <v>1.86</v>
      </c>
      <c r="P121" s="9">
        <v>0.64</v>
      </c>
      <c r="Q121" s="10">
        <v>24</v>
      </c>
      <c r="R121" s="9">
        <f>2.04+26.8</f>
        <v>28.84</v>
      </c>
      <c r="S121" s="9"/>
      <c r="T121" s="33" t="s">
        <v>119</v>
      </c>
      <c r="U121" s="9">
        <f>1.65+1.56</f>
        <v>3.21</v>
      </c>
      <c r="V121" s="9">
        <v>5.38</v>
      </c>
      <c r="W121" s="9">
        <v>1.54</v>
      </c>
      <c r="X121" s="10">
        <v>20.8</v>
      </c>
      <c r="Y121" s="9">
        <f>1.56+23.7</f>
        <v>25.259999999999998</v>
      </c>
      <c r="AB121" s="33" t="s">
        <v>119</v>
      </c>
      <c r="AC121" s="9">
        <f>1.92+1.79</f>
        <v>3.71</v>
      </c>
      <c r="AD121" s="2">
        <f t="shared" si="108"/>
        <v>0.14951300000000001</v>
      </c>
      <c r="AE121" s="2">
        <f t="shared" si="109"/>
        <v>0.11575200000000001</v>
      </c>
      <c r="AF121" s="2">
        <f t="shared" si="113"/>
        <v>0.81899999999999995</v>
      </c>
      <c r="AH121" s="33" t="s">
        <v>119</v>
      </c>
      <c r="AI121" s="9">
        <f>2.33+4.24</f>
        <v>6.57</v>
      </c>
      <c r="AJ121" s="2">
        <f t="shared" si="99"/>
        <v>0.24440400000000004</v>
      </c>
      <c r="AK121" s="2">
        <f t="shared" si="100"/>
        <v>7.9496999999999998E-2</v>
      </c>
      <c r="AL121" s="2">
        <f t="shared" si="101"/>
        <v>2.40462</v>
      </c>
      <c r="AN121" s="33" t="s">
        <v>119</v>
      </c>
      <c r="AO121" s="11">
        <f>2.42+2.04</f>
        <v>4.46</v>
      </c>
      <c r="AP121" s="2">
        <f t="shared" si="114"/>
        <v>8.2956000000000002E-2</v>
      </c>
      <c r="AQ121" s="2">
        <f t="shared" si="115"/>
        <v>2.8544E-2</v>
      </c>
      <c r="AR121" s="2">
        <f t="shared" si="116"/>
        <v>1.0704</v>
      </c>
      <c r="AU121" s="33" t="s">
        <v>119</v>
      </c>
      <c r="AV121" s="9">
        <f>1.65+1.56</f>
        <v>3.21</v>
      </c>
      <c r="AW121" s="2">
        <f t="shared" si="105"/>
        <v>0.17269799999999999</v>
      </c>
      <c r="AX121" s="2">
        <f t="shared" si="106"/>
        <v>4.9434000000000006E-2</v>
      </c>
      <c r="AY121" s="2">
        <f t="shared" si="107"/>
        <v>0.66768000000000005</v>
      </c>
    </row>
    <row r="122" spans="1:51" x14ac:dyDescent="0.3">
      <c r="A122" s="33" t="s">
        <v>120</v>
      </c>
      <c r="B122" s="9">
        <f>1.47+1.87</f>
        <v>3.34</v>
      </c>
      <c r="C122" s="9">
        <v>4.45</v>
      </c>
      <c r="D122" s="9">
        <v>4.5199999999999996</v>
      </c>
      <c r="E122" s="10">
        <v>21.5</v>
      </c>
      <c r="F122" s="8">
        <f>1.87+18</f>
        <v>19.87</v>
      </c>
      <c r="G122" s="33" t="s">
        <v>120</v>
      </c>
      <c r="H122" s="9">
        <f>1.77+4.4</f>
        <v>6.17</v>
      </c>
      <c r="I122" s="9">
        <v>0.82</v>
      </c>
      <c r="J122" s="9">
        <v>0.28000000000000003</v>
      </c>
      <c r="K122" s="10">
        <v>48.6</v>
      </c>
      <c r="L122" s="9">
        <f>4.4+26.7</f>
        <v>31.1</v>
      </c>
      <c r="M122" s="33" t="s">
        <v>120</v>
      </c>
      <c r="N122" s="11">
        <f>1.25+1.4</f>
        <v>2.65</v>
      </c>
      <c r="O122" s="9">
        <v>0.71</v>
      </c>
      <c r="P122" s="9">
        <v>0.51</v>
      </c>
      <c r="Q122" s="10">
        <v>25.8</v>
      </c>
      <c r="R122" s="9">
        <f>1.4+21.7</f>
        <v>23.099999999999998</v>
      </c>
      <c r="S122" s="9"/>
      <c r="T122" s="33" t="s">
        <v>120</v>
      </c>
      <c r="U122" s="9">
        <f>1.06+1.22</f>
        <v>2.2800000000000002</v>
      </c>
      <c r="V122" s="9">
        <v>2.99</v>
      </c>
      <c r="W122" s="9">
        <v>0.99</v>
      </c>
      <c r="X122" s="10">
        <v>31.4</v>
      </c>
      <c r="Y122" s="9">
        <f>1.22+24</f>
        <v>25.22</v>
      </c>
      <c r="AB122" s="33" t="s">
        <v>120</v>
      </c>
      <c r="AC122" s="9">
        <f>1.47+1.87</f>
        <v>3.34</v>
      </c>
      <c r="AD122" s="2">
        <f t="shared" si="108"/>
        <v>0.14862999999999998</v>
      </c>
      <c r="AE122" s="2">
        <f t="shared" si="109"/>
        <v>0.15096799999999999</v>
      </c>
      <c r="AF122" s="2">
        <f t="shared" si="113"/>
        <v>0.71810000000000007</v>
      </c>
      <c r="AH122" s="33" t="s">
        <v>120</v>
      </c>
      <c r="AI122" s="9">
        <f>1.77+4.4</f>
        <v>6.17</v>
      </c>
      <c r="AJ122" s="2">
        <f t="shared" si="99"/>
        <v>5.0593999999999993E-2</v>
      </c>
      <c r="AK122" s="2">
        <f t="shared" si="100"/>
        <v>1.7276000000000003E-2</v>
      </c>
      <c r="AL122" s="2">
        <f t="shared" si="101"/>
        <v>2.9986200000000003</v>
      </c>
      <c r="AN122" s="33" t="s">
        <v>120</v>
      </c>
      <c r="AO122" s="11">
        <f>1.25+1.4</f>
        <v>2.65</v>
      </c>
      <c r="AP122" s="2">
        <f t="shared" si="114"/>
        <v>1.8814999999999998E-2</v>
      </c>
      <c r="AQ122" s="2">
        <f t="shared" si="115"/>
        <v>1.3514999999999999E-2</v>
      </c>
      <c r="AR122" s="2">
        <f t="shared" si="116"/>
        <v>0.68370000000000009</v>
      </c>
      <c r="AU122" s="33" t="s">
        <v>120</v>
      </c>
      <c r="AV122" s="9">
        <f>1.06+1.22</f>
        <v>2.2800000000000002</v>
      </c>
      <c r="AW122" s="2">
        <f t="shared" si="105"/>
        <v>6.817200000000001E-2</v>
      </c>
      <c r="AX122" s="2">
        <f t="shared" si="106"/>
        <v>2.2572000000000002E-2</v>
      </c>
      <c r="AY122" s="2">
        <f t="shared" si="107"/>
        <v>0.71592</v>
      </c>
    </row>
    <row r="123" spans="1:51" x14ac:dyDescent="0.3">
      <c r="A123" s="33" t="s">
        <v>121</v>
      </c>
      <c r="B123" s="9">
        <f>0.13+0.87</f>
        <v>1</v>
      </c>
      <c r="C123" s="9">
        <v>4.24</v>
      </c>
      <c r="D123" s="9">
        <v>3.04</v>
      </c>
      <c r="E123" s="10">
        <v>78.7</v>
      </c>
      <c r="F123" s="8">
        <f>0.87+17.2</f>
        <v>18.07</v>
      </c>
      <c r="G123" s="33" t="s">
        <v>121</v>
      </c>
      <c r="H123" s="9">
        <f>0.22+0.91</f>
        <v>1.1300000000000001</v>
      </c>
      <c r="I123" s="9">
        <v>12.7</v>
      </c>
      <c r="J123" s="9">
        <v>4.24</v>
      </c>
      <c r="K123" s="10">
        <v>44.3</v>
      </c>
      <c r="L123" s="9">
        <f>0.91+20.6</f>
        <v>21.51</v>
      </c>
      <c r="M123" s="33" t="s">
        <v>121</v>
      </c>
      <c r="N123" s="11">
        <f>0.42+0.71</f>
        <v>1.1299999999999999</v>
      </c>
      <c r="O123" s="9">
        <v>1.4</v>
      </c>
      <c r="P123" s="9">
        <v>2.44</v>
      </c>
      <c r="Q123" s="10">
        <v>28.6</v>
      </c>
      <c r="R123" s="9">
        <f>0.71+15.5</f>
        <v>16.21</v>
      </c>
      <c r="S123" s="9"/>
      <c r="T123" s="33" t="s">
        <v>121</v>
      </c>
      <c r="U123" s="9">
        <f>0.17+0.47</f>
        <v>0.64</v>
      </c>
      <c r="V123" s="9">
        <v>10.1</v>
      </c>
      <c r="W123" s="9">
        <v>4.1500000000000004</v>
      </c>
      <c r="X123" s="10">
        <v>40.6</v>
      </c>
      <c r="Y123" s="9">
        <f>0.47+18</f>
        <v>18.47</v>
      </c>
      <c r="AB123" s="33" t="s">
        <v>121</v>
      </c>
      <c r="AC123" s="9">
        <f>0.13+0.87</f>
        <v>1</v>
      </c>
      <c r="AD123" s="2">
        <f t="shared" si="108"/>
        <v>4.24E-2</v>
      </c>
      <c r="AE123" s="2">
        <f t="shared" si="109"/>
        <v>3.04E-2</v>
      </c>
      <c r="AF123" s="2">
        <f t="shared" si="113"/>
        <v>0.78700000000000003</v>
      </c>
      <c r="AH123" s="33" t="s">
        <v>121</v>
      </c>
      <c r="AI123" s="9">
        <f>0.22+0.91</f>
        <v>1.1300000000000001</v>
      </c>
      <c r="AJ123" s="2">
        <f t="shared" si="99"/>
        <v>0.14351</v>
      </c>
      <c r="AK123" s="2">
        <f t="shared" si="100"/>
        <v>4.791200000000001E-2</v>
      </c>
      <c r="AL123" s="2">
        <f t="shared" si="101"/>
        <v>0.50059000000000009</v>
      </c>
      <c r="AN123" s="33" t="s">
        <v>121</v>
      </c>
      <c r="AO123" s="11">
        <f>0.42+0.71</f>
        <v>1.1299999999999999</v>
      </c>
      <c r="AP123" s="2">
        <f t="shared" si="114"/>
        <v>1.5819999999999997E-2</v>
      </c>
      <c r="AQ123" s="2">
        <f t="shared" si="115"/>
        <v>2.7571999999999996E-2</v>
      </c>
      <c r="AR123" s="2">
        <f t="shared" si="116"/>
        <v>0.32317999999999997</v>
      </c>
      <c r="AU123" s="33" t="s">
        <v>121</v>
      </c>
      <c r="AV123" s="9">
        <f>0.17+0.47</f>
        <v>0.64</v>
      </c>
      <c r="AW123" s="2">
        <f t="shared" si="105"/>
        <v>6.4639999999999989E-2</v>
      </c>
      <c r="AX123" s="2">
        <f t="shared" si="106"/>
        <v>2.656E-2</v>
      </c>
      <c r="AY123" s="2">
        <f t="shared" si="107"/>
        <v>0.25984000000000002</v>
      </c>
    </row>
    <row r="124" spans="1:51" x14ac:dyDescent="0.3">
      <c r="A124" s="33" t="s">
        <v>122</v>
      </c>
      <c r="B124" s="9">
        <f>1.78+2.34</f>
        <v>4.12</v>
      </c>
      <c r="C124" s="9">
        <v>3.47</v>
      </c>
      <c r="D124" s="9">
        <v>2.75</v>
      </c>
      <c r="E124" s="10">
        <v>29</v>
      </c>
      <c r="F124" s="8">
        <f>2.34+21.9</f>
        <v>24.24</v>
      </c>
      <c r="G124" s="33" t="s">
        <v>122</v>
      </c>
      <c r="H124" s="9">
        <f>1.18+4.57</f>
        <v>5.75</v>
      </c>
      <c r="I124" s="9">
        <v>4.45</v>
      </c>
      <c r="J124" s="9">
        <v>1.1200000000000001</v>
      </c>
      <c r="K124" s="10">
        <v>56.9</v>
      </c>
      <c r="L124" s="9">
        <f>4.57+18.8</f>
        <v>23.37</v>
      </c>
      <c r="M124" s="33" t="s">
        <v>122</v>
      </c>
      <c r="N124" s="11">
        <f>2.4+2.58</f>
        <v>4.9800000000000004</v>
      </c>
      <c r="O124" s="9">
        <v>1.45</v>
      </c>
      <c r="P124" s="9">
        <v>0.71</v>
      </c>
      <c r="Q124" s="10">
        <v>30.7</v>
      </c>
      <c r="R124" s="9">
        <f>2.58+34.7</f>
        <v>37.28</v>
      </c>
      <c r="S124" s="9"/>
      <c r="T124" s="33" t="s">
        <v>122</v>
      </c>
      <c r="U124" s="17"/>
      <c r="V124" s="17"/>
      <c r="W124" s="17"/>
      <c r="X124" s="18"/>
      <c r="Y124" s="18"/>
      <c r="AB124" s="33" t="s">
        <v>122</v>
      </c>
      <c r="AC124" s="9">
        <f>1.78+2.34</f>
        <v>4.12</v>
      </c>
      <c r="AD124" s="2">
        <f t="shared" si="108"/>
        <v>0.14296400000000001</v>
      </c>
      <c r="AE124" s="2">
        <f t="shared" si="109"/>
        <v>0.1133</v>
      </c>
      <c r="AF124" s="2">
        <f t="shared" si="113"/>
        <v>1.1948000000000001</v>
      </c>
      <c r="AH124" s="33" t="s">
        <v>122</v>
      </c>
      <c r="AI124" s="9">
        <f>1.18+4.57</f>
        <v>5.75</v>
      </c>
      <c r="AJ124" s="2">
        <f t="shared" si="99"/>
        <v>0.25587500000000002</v>
      </c>
      <c r="AK124" s="2">
        <f t="shared" si="100"/>
        <v>6.4399999999999999E-2</v>
      </c>
      <c r="AL124" s="2">
        <f t="shared" si="101"/>
        <v>3.2717499999999999</v>
      </c>
      <c r="AN124" s="33" t="s">
        <v>122</v>
      </c>
      <c r="AO124" s="11">
        <f>2.4+2.58</f>
        <v>4.9800000000000004</v>
      </c>
      <c r="AP124" s="2">
        <f t="shared" si="114"/>
        <v>7.2209999999999996E-2</v>
      </c>
      <c r="AQ124" s="2">
        <f t="shared" si="115"/>
        <v>3.5358000000000001E-2</v>
      </c>
      <c r="AR124" s="2">
        <f t="shared" si="116"/>
        <v>1.5288599999999999</v>
      </c>
      <c r="AU124" s="33" t="s">
        <v>122</v>
      </c>
      <c r="AV124" s="17"/>
      <c r="AW124" s="17"/>
      <c r="AX124" s="17"/>
      <c r="AY124" s="17"/>
    </row>
    <row r="125" spans="1:51" x14ac:dyDescent="0.3">
      <c r="A125" s="33" t="s">
        <v>123</v>
      </c>
      <c r="B125" s="9">
        <f>0.22+0.52</f>
        <v>0.74</v>
      </c>
      <c r="C125" s="9">
        <v>10.8</v>
      </c>
      <c r="D125" s="9">
        <v>8.8699999999999992</v>
      </c>
      <c r="E125" s="10">
        <v>47.4</v>
      </c>
      <c r="F125" s="8">
        <f>0.52+17.1</f>
        <v>17.62</v>
      </c>
      <c r="G125" s="33" t="s">
        <v>123</v>
      </c>
      <c r="H125" s="9">
        <f>0.36+2.11</f>
        <v>2.4699999999999998</v>
      </c>
      <c r="I125" s="62"/>
      <c r="J125" s="62"/>
      <c r="K125" s="10">
        <v>42.6</v>
      </c>
      <c r="L125" s="9">
        <f>2.11+24.6</f>
        <v>26.71</v>
      </c>
      <c r="M125" s="33" t="s">
        <v>123</v>
      </c>
      <c r="N125" s="11">
        <f>0.25+0.45</f>
        <v>0.7</v>
      </c>
      <c r="O125" s="9">
        <v>6.42</v>
      </c>
      <c r="P125" s="9">
        <v>2.96</v>
      </c>
      <c r="Q125" s="10">
        <v>32.1</v>
      </c>
      <c r="R125" s="9">
        <f>0.45+11.6</f>
        <v>12.049999999999999</v>
      </c>
      <c r="S125" s="9"/>
      <c r="T125" s="33" t="s">
        <v>123</v>
      </c>
      <c r="U125" s="9">
        <f>0.18+0.4</f>
        <v>0.58000000000000007</v>
      </c>
      <c r="V125" s="9">
        <v>14.5</v>
      </c>
      <c r="W125" s="9">
        <v>4.82</v>
      </c>
      <c r="X125" s="10">
        <v>28</v>
      </c>
      <c r="Y125" s="2">
        <f>0.4+11</f>
        <v>11.4</v>
      </c>
      <c r="AB125" s="33" t="s">
        <v>123</v>
      </c>
      <c r="AC125" s="9">
        <f>0.22+0.52</f>
        <v>0.74</v>
      </c>
      <c r="AD125" s="2">
        <f t="shared" si="108"/>
        <v>7.9920000000000005E-2</v>
      </c>
      <c r="AE125" s="2">
        <f t="shared" si="109"/>
        <v>6.5638000000000002E-2</v>
      </c>
      <c r="AF125" s="2">
        <f t="shared" si="113"/>
        <v>0.35076000000000002</v>
      </c>
      <c r="AH125" s="33" t="s">
        <v>123</v>
      </c>
      <c r="AI125" s="9">
        <f>0.36+2.11</f>
        <v>2.4699999999999998</v>
      </c>
      <c r="AJ125" s="83"/>
      <c r="AK125" s="83"/>
      <c r="AL125" s="2">
        <f t="shared" si="101"/>
        <v>1.0522199999999999</v>
      </c>
      <c r="AN125" s="33" t="s">
        <v>123</v>
      </c>
      <c r="AO125" s="11">
        <f>0.25+0.45</f>
        <v>0.7</v>
      </c>
      <c r="AP125" s="2">
        <f t="shared" si="114"/>
        <v>4.4940000000000001E-2</v>
      </c>
      <c r="AQ125" s="2">
        <f t="shared" si="115"/>
        <v>2.0720000000000002E-2</v>
      </c>
      <c r="AR125" s="2">
        <f t="shared" si="116"/>
        <v>0.22469999999999998</v>
      </c>
      <c r="AU125" s="33" t="s">
        <v>123</v>
      </c>
      <c r="AV125" s="9">
        <f>0.18+0.4</f>
        <v>0.58000000000000007</v>
      </c>
      <c r="AW125" s="2">
        <f t="shared" ref="AW125:AW126" si="117">AV125*V125/100</f>
        <v>8.4100000000000008E-2</v>
      </c>
      <c r="AX125" s="2">
        <f t="shared" ref="AX125:AX126" si="118">AV125*W125/100</f>
        <v>2.7956000000000002E-2</v>
      </c>
      <c r="AY125" s="2">
        <f t="shared" ref="AY125:AY126" si="119">AV125*X125/100</f>
        <v>0.16240000000000002</v>
      </c>
    </row>
    <row r="126" spans="1:51" x14ac:dyDescent="0.3">
      <c r="A126" s="33" t="s">
        <v>124</v>
      </c>
      <c r="B126" s="9">
        <f>0.27+0.52</f>
        <v>0.79</v>
      </c>
      <c r="C126" s="9">
        <v>11.9</v>
      </c>
      <c r="D126" s="62"/>
      <c r="E126" s="10">
        <v>29.4</v>
      </c>
      <c r="F126" s="8">
        <f>0.52+11.6</f>
        <v>12.12</v>
      </c>
      <c r="G126" s="33" t="s">
        <v>124</v>
      </c>
      <c r="H126" s="9">
        <f>0.33+1.17</f>
        <v>1.5</v>
      </c>
      <c r="I126" s="9">
        <v>8.18</v>
      </c>
      <c r="J126" s="9">
        <v>4.07</v>
      </c>
      <c r="K126" s="10">
        <v>48</v>
      </c>
      <c r="L126" s="9">
        <f>1.17+25</f>
        <v>26.17</v>
      </c>
      <c r="M126" s="33" t="s">
        <v>124</v>
      </c>
      <c r="N126" s="11">
        <f>0.59+0.78</f>
        <v>1.37</v>
      </c>
      <c r="O126" s="9">
        <v>2.63</v>
      </c>
      <c r="P126" s="9">
        <v>2.89</v>
      </c>
      <c r="Q126" s="10">
        <v>22.5</v>
      </c>
      <c r="R126" s="9">
        <f>0.78+15.5</f>
        <v>16.28</v>
      </c>
      <c r="S126" s="9"/>
      <c r="T126" s="33" t="s">
        <v>124</v>
      </c>
      <c r="U126" s="9">
        <f>0.24+0.73</f>
        <v>0.97</v>
      </c>
      <c r="V126" s="9">
        <v>14.5</v>
      </c>
      <c r="W126" s="9">
        <v>6.45</v>
      </c>
      <c r="X126" s="10">
        <v>36.1</v>
      </c>
      <c r="Y126" s="2">
        <f>0.73+19.6</f>
        <v>20.330000000000002</v>
      </c>
      <c r="AB126" s="33" t="s">
        <v>124</v>
      </c>
      <c r="AC126" s="9">
        <f>0.27+0.52</f>
        <v>0.79</v>
      </c>
      <c r="AD126" s="2">
        <f t="shared" si="108"/>
        <v>9.401000000000001E-2</v>
      </c>
      <c r="AE126" s="83"/>
      <c r="AF126" s="2">
        <f t="shared" si="113"/>
        <v>0.23225999999999999</v>
      </c>
      <c r="AH126" s="33" t="s">
        <v>124</v>
      </c>
      <c r="AI126" s="9">
        <f>0.33+1.17</f>
        <v>1.5</v>
      </c>
      <c r="AJ126" s="2">
        <f t="shared" si="99"/>
        <v>0.12269999999999999</v>
      </c>
      <c r="AK126" s="2">
        <f t="shared" si="100"/>
        <v>6.1050000000000007E-2</v>
      </c>
      <c r="AL126" s="2">
        <f t="shared" si="101"/>
        <v>0.72</v>
      </c>
      <c r="AN126" s="33" t="s">
        <v>124</v>
      </c>
      <c r="AO126" s="11">
        <f>0.59+0.78</f>
        <v>1.37</v>
      </c>
      <c r="AP126" s="2">
        <f t="shared" si="114"/>
        <v>3.6031000000000001E-2</v>
      </c>
      <c r="AQ126" s="2">
        <f>AO126*P126/100</f>
        <v>3.9593000000000003E-2</v>
      </c>
      <c r="AR126" s="2">
        <f t="shared" si="116"/>
        <v>0.30825000000000002</v>
      </c>
      <c r="AU126" s="33" t="s">
        <v>124</v>
      </c>
      <c r="AV126" s="9">
        <f>0.24+0.73</f>
        <v>0.97</v>
      </c>
      <c r="AW126" s="2">
        <f t="shared" si="117"/>
        <v>0.14065</v>
      </c>
      <c r="AX126" s="2">
        <f t="shared" si="118"/>
        <v>6.2564999999999996E-2</v>
      </c>
      <c r="AY126" s="2">
        <f t="shared" si="119"/>
        <v>0.35017000000000004</v>
      </c>
    </row>
    <row r="127" spans="1:51" x14ac:dyDescent="0.3">
      <c r="A127" s="33" t="s">
        <v>125</v>
      </c>
      <c r="B127" s="17"/>
      <c r="C127" s="17"/>
      <c r="D127" s="17"/>
      <c r="E127" s="18"/>
      <c r="F127" s="18"/>
      <c r="G127" s="33" t="s">
        <v>125</v>
      </c>
      <c r="H127" s="17"/>
      <c r="I127" s="17"/>
      <c r="J127" s="17"/>
      <c r="K127" s="17"/>
      <c r="L127" s="18"/>
      <c r="M127" s="33" t="s">
        <v>125</v>
      </c>
      <c r="N127" s="17"/>
      <c r="O127" s="17"/>
      <c r="P127" s="17"/>
      <c r="Q127" s="17"/>
      <c r="R127" s="17"/>
      <c r="S127" s="9"/>
      <c r="T127" s="33" t="s">
        <v>125</v>
      </c>
      <c r="U127" s="17"/>
      <c r="V127" s="17"/>
      <c r="W127" s="17"/>
      <c r="X127" s="17"/>
      <c r="Y127" s="17"/>
      <c r="AB127" s="33" t="s">
        <v>125</v>
      </c>
      <c r="AC127" s="17"/>
      <c r="AD127" s="17"/>
      <c r="AE127" s="17"/>
      <c r="AF127" s="17"/>
      <c r="AH127" s="33" t="s">
        <v>125</v>
      </c>
      <c r="AI127" s="17"/>
      <c r="AJ127" s="17"/>
      <c r="AK127" s="17"/>
      <c r="AL127" s="17"/>
      <c r="AN127" s="33" t="s">
        <v>125</v>
      </c>
      <c r="AO127" s="17"/>
      <c r="AP127" s="17"/>
      <c r="AQ127" s="17"/>
      <c r="AR127" s="17"/>
      <c r="AU127" s="33" t="s">
        <v>125</v>
      </c>
      <c r="AV127" s="17"/>
      <c r="AW127" s="17"/>
      <c r="AX127" s="17"/>
      <c r="AY127" s="17"/>
    </row>
    <row r="128" spans="1:51" x14ac:dyDescent="0.3">
      <c r="A128" s="33" t="s">
        <v>126</v>
      </c>
      <c r="B128" s="17"/>
      <c r="C128" s="17"/>
      <c r="D128" s="17"/>
      <c r="E128" s="18"/>
      <c r="F128" s="18"/>
      <c r="G128" s="33" t="s">
        <v>126</v>
      </c>
      <c r="H128" s="17"/>
      <c r="I128" s="17"/>
      <c r="J128" s="17"/>
      <c r="K128" s="17"/>
      <c r="L128" s="18"/>
      <c r="M128" s="33" t="s">
        <v>126</v>
      </c>
      <c r="N128" s="17"/>
      <c r="O128" s="17"/>
      <c r="P128" s="17"/>
      <c r="Q128" s="17"/>
      <c r="R128" s="17"/>
      <c r="S128" s="9"/>
      <c r="T128" s="33" t="s">
        <v>126</v>
      </c>
      <c r="U128" s="17"/>
      <c r="V128" s="17"/>
      <c r="W128" s="17"/>
      <c r="X128" s="17"/>
      <c r="Y128" s="17"/>
      <c r="AB128" s="33" t="s">
        <v>126</v>
      </c>
      <c r="AC128" s="17"/>
      <c r="AD128" s="17"/>
      <c r="AE128" s="17"/>
      <c r="AF128" s="17"/>
      <c r="AH128" s="33" t="s">
        <v>126</v>
      </c>
      <c r="AI128" s="17"/>
      <c r="AJ128" s="17"/>
      <c r="AK128" s="17"/>
      <c r="AL128" s="17"/>
      <c r="AN128" s="33" t="s">
        <v>126</v>
      </c>
      <c r="AO128" s="17"/>
      <c r="AP128" s="17"/>
      <c r="AQ128" s="17"/>
      <c r="AR128" s="17"/>
      <c r="AU128" s="33" t="s">
        <v>126</v>
      </c>
      <c r="AV128" s="17"/>
      <c r="AW128" s="17"/>
      <c r="AX128" s="17"/>
      <c r="AY128" s="17"/>
    </row>
    <row r="129" spans="1:69" x14ac:dyDescent="0.3">
      <c r="A129" s="33" t="s">
        <v>127</v>
      </c>
      <c r="B129" s="9">
        <f>4.42+3.9</f>
        <v>8.32</v>
      </c>
      <c r="C129" s="9">
        <v>19.7</v>
      </c>
      <c r="D129" s="9">
        <v>4.76</v>
      </c>
      <c r="E129" s="10">
        <v>38.799999999999997</v>
      </c>
      <c r="F129" s="8">
        <f>4.42+19.6</f>
        <v>24.020000000000003</v>
      </c>
      <c r="G129" s="33" t="s">
        <v>127</v>
      </c>
      <c r="H129" s="9">
        <f>5.52+6.04</f>
        <v>11.559999999999999</v>
      </c>
      <c r="I129" s="62"/>
      <c r="J129" s="9">
        <v>7.8</v>
      </c>
      <c r="K129" s="10">
        <v>25.5</v>
      </c>
      <c r="L129" s="9">
        <f>6.04+17</f>
        <v>23.04</v>
      </c>
      <c r="M129" s="33" t="s">
        <v>127</v>
      </c>
      <c r="N129" s="11">
        <f>5.01+5.49</f>
        <v>10.5</v>
      </c>
      <c r="O129" s="62"/>
      <c r="P129" s="9">
        <v>4.93</v>
      </c>
      <c r="Q129" s="10">
        <v>33.700000000000003</v>
      </c>
      <c r="R129" s="9">
        <f>20.3+5.49</f>
        <v>25.79</v>
      </c>
      <c r="S129" s="9"/>
      <c r="T129" s="33" t="s">
        <v>127</v>
      </c>
      <c r="U129" s="9">
        <f>5.4+4.63</f>
        <v>10.030000000000001</v>
      </c>
      <c r="V129" s="62"/>
      <c r="W129" s="9">
        <v>8.5</v>
      </c>
      <c r="X129" s="10">
        <v>25.8</v>
      </c>
      <c r="Y129" s="2">
        <f>4.63+16</f>
        <v>20.63</v>
      </c>
      <c r="AB129" s="33" t="s">
        <v>127</v>
      </c>
      <c r="AC129" s="9">
        <v>4.59</v>
      </c>
      <c r="AD129" s="2">
        <f t="shared" ref="AD129:AD134" si="120">AC129*C129/100</f>
        <v>0.90422999999999987</v>
      </c>
      <c r="AE129" s="2">
        <f t="shared" ref="AE129:AE134" si="121">AC129*D129/100</f>
        <v>0.21848399999999998</v>
      </c>
      <c r="AF129" s="2">
        <f t="shared" ref="AF129:AF134" si="122">E129*B129/100</f>
        <v>3.2281599999999999</v>
      </c>
      <c r="AH129" s="33" t="s">
        <v>127</v>
      </c>
      <c r="AI129" s="9">
        <v>2.14</v>
      </c>
      <c r="AJ129" s="83"/>
      <c r="AK129" s="2">
        <f t="shared" si="100"/>
        <v>0.16692000000000001</v>
      </c>
      <c r="AL129" s="2">
        <f t="shared" si="101"/>
        <v>0.54569999999999996</v>
      </c>
      <c r="AN129" s="33" t="s">
        <v>127</v>
      </c>
      <c r="AO129" s="11">
        <v>1.26</v>
      </c>
      <c r="AP129" s="83"/>
      <c r="AQ129" s="2">
        <f t="shared" ref="AQ129:AQ134" si="123">AO129*P129/100</f>
        <v>6.2117999999999993E-2</v>
      </c>
      <c r="AR129" s="2">
        <f t="shared" ref="AR129:AR134" si="124">AO129*Q129/100</f>
        <v>0.42462000000000005</v>
      </c>
      <c r="AU129" s="33" t="s">
        <v>127</v>
      </c>
      <c r="AV129" s="9">
        <v>1.66</v>
      </c>
      <c r="AW129" s="83"/>
      <c r="AX129" s="2">
        <f t="shared" ref="AX129:AX134" si="125">AV129*W129/100</f>
        <v>0.1411</v>
      </c>
      <c r="AY129" s="2">
        <f t="shared" ref="AY129:AY134" si="126">AV129*X129/100</f>
        <v>0.42827999999999994</v>
      </c>
    </row>
    <row r="130" spans="1:69" x14ac:dyDescent="0.3">
      <c r="A130" s="33" t="s">
        <v>128</v>
      </c>
      <c r="B130" s="9">
        <f>4.4+5.11</f>
        <v>9.5100000000000016</v>
      </c>
      <c r="C130" s="62"/>
      <c r="D130" s="9">
        <v>5.73</v>
      </c>
      <c r="E130" s="10">
        <v>42.5</v>
      </c>
      <c r="F130" s="8">
        <f>5.11+23.7</f>
        <v>28.81</v>
      </c>
      <c r="G130" s="33" t="s">
        <v>128</v>
      </c>
      <c r="H130" s="9">
        <f>4.99+5.39</f>
        <v>10.379999999999999</v>
      </c>
      <c r="I130" s="62"/>
      <c r="J130" s="62"/>
      <c r="K130" s="10">
        <v>29.8</v>
      </c>
      <c r="L130" s="9">
        <f>5.39+17</f>
        <v>22.39</v>
      </c>
      <c r="M130" s="33" t="s">
        <v>128</v>
      </c>
      <c r="N130" s="11">
        <f>5.44+6.59</f>
        <v>12.030000000000001</v>
      </c>
      <c r="O130" s="62"/>
      <c r="P130" s="9">
        <v>3.01</v>
      </c>
      <c r="Q130" s="10">
        <v>31.9</v>
      </c>
      <c r="R130" s="9">
        <f>6.59+23.1</f>
        <v>29.69</v>
      </c>
      <c r="S130" s="9"/>
      <c r="T130" s="33" t="s">
        <v>128</v>
      </c>
      <c r="U130" s="9">
        <f>4.48+3.83</f>
        <v>8.31</v>
      </c>
      <c r="V130" s="62"/>
      <c r="W130" s="9">
        <v>7.31</v>
      </c>
      <c r="X130" s="10">
        <v>32.799999999999997</v>
      </c>
      <c r="Y130" s="2">
        <f>3.83+17.8</f>
        <v>21.630000000000003</v>
      </c>
      <c r="AB130" s="33" t="s">
        <v>128</v>
      </c>
      <c r="AC130" s="9">
        <v>1.46</v>
      </c>
      <c r="AD130" s="83"/>
      <c r="AE130" s="2">
        <f t="shared" si="121"/>
        <v>8.3657999999999996E-2</v>
      </c>
      <c r="AF130" s="2">
        <f t="shared" si="122"/>
        <v>4.0417500000000004</v>
      </c>
      <c r="AH130" s="33" t="s">
        <v>128</v>
      </c>
      <c r="AI130" s="9">
        <v>2.1800000000000002</v>
      </c>
      <c r="AJ130" s="83"/>
      <c r="AK130" s="83"/>
      <c r="AL130" s="2">
        <f t="shared" si="101"/>
        <v>0.64964000000000011</v>
      </c>
      <c r="AN130" s="33" t="s">
        <v>128</v>
      </c>
      <c r="AO130" s="11">
        <v>1.71</v>
      </c>
      <c r="AP130" s="83"/>
      <c r="AQ130" s="2">
        <f t="shared" si="123"/>
        <v>5.1470999999999989E-2</v>
      </c>
      <c r="AR130" s="2">
        <f t="shared" si="124"/>
        <v>0.54549000000000003</v>
      </c>
      <c r="AU130" s="33" t="s">
        <v>128</v>
      </c>
      <c r="AV130" s="9">
        <v>1.04</v>
      </c>
      <c r="AW130" s="83"/>
      <c r="AX130" s="2">
        <f t="shared" si="125"/>
        <v>7.6024000000000008E-2</v>
      </c>
      <c r="AY130" s="2">
        <f t="shared" si="126"/>
        <v>0.34111999999999992</v>
      </c>
    </row>
    <row r="131" spans="1:69" x14ac:dyDescent="0.3">
      <c r="A131" s="33" t="s">
        <v>129</v>
      </c>
      <c r="B131" s="9">
        <f>0.21+0.29</f>
        <v>0.5</v>
      </c>
      <c r="C131" s="62"/>
      <c r="D131" s="9">
        <v>9.35</v>
      </c>
      <c r="E131" s="10">
        <v>32.299999999999997</v>
      </c>
      <c r="F131" s="8">
        <f>0.29+5.09</f>
        <v>5.38</v>
      </c>
      <c r="G131" s="33" t="s">
        <v>129</v>
      </c>
      <c r="H131" s="17">
        <f>0.24+0.59</f>
        <v>0.83</v>
      </c>
      <c r="I131" s="17">
        <v>27.2</v>
      </c>
      <c r="J131" s="17">
        <v>4.66</v>
      </c>
      <c r="K131" s="17">
        <v>43.6</v>
      </c>
      <c r="L131" s="17">
        <f>0.59+7.23</f>
        <v>7.82</v>
      </c>
      <c r="M131" s="33" t="s">
        <v>129</v>
      </c>
      <c r="N131" s="17">
        <f>0.39+0.39</f>
        <v>0.78</v>
      </c>
      <c r="O131" s="17">
        <v>11.4</v>
      </c>
      <c r="P131" s="17">
        <v>4.28</v>
      </c>
      <c r="Q131" s="17">
        <v>40.299999999999997</v>
      </c>
      <c r="R131" s="17">
        <f>0.39+5.58</f>
        <v>5.97</v>
      </c>
      <c r="S131" s="9"/>
      <c r="T131" s="33" t="s">
        <v>129</v>
      </c>
      <c r="U131" s="17">
        <f>0.12+0.23</f>
        <v>0.35</v>
      </c>
      <c r="V131" s="17">
        <v>18.2</v>
      </c>
      <c r="W131" s="17">
        <v>5.64</v>
      </c>
      <c r="X131" s="17">
        <v>48.8</v>
      </c>
      <c r="Y131" s="17">
        <f>0.23+8.23</f>
        <v>8.4600000000000009</v>
      </c>
      <c r="AB131" s="33" t="s">
        <v>129</v>
      </c>
      <c r="AC131" s="9">
        <v>0.46</v>
      </c>
      <c r="AD131" s="83"/>
      <c r="AE131" s="2">
        <f t="shared" si="121"/>
        <v>4.301E-2</v>
      </c>
      <c r="AF131" s="2">
        <f t="shared" si="122"/>
        <v>0.16149999999999998</v>
      </c>
      <c r="AH131" s="33" t="s">
        <v>129</v>
      </c>
      <c r="AI131" s="17">
        <v>0.75</v>
      </c>
      <c r="AJ131" s="17">
        <f t="shared" ref="AJ131:AJ134" si="127">AI131*I131/100</f>
        <v>0.20399999999999999</v>
      </c>
      <c r="AK131" s="17">
        <f t="shared" si="100"/>
        <v>3.4950000000000002E-2</v>
      </c>
      <c r="AL131" s="17">
        <f t="shared" si="101"/>
        <v>0.32700000000000001</v>
      </c>
      <c r="AN131" s="33" t="s">
        <v>129</v>
      </c>
      <c r="AO131" s="17">
        <v>0.69</v>
      </c>
      <c r="AP131" s="17">
        <f t="shared" ref="AP131:AP134" si="128">AO131*O131/100</f>
        <v>7.8659999999999994E-2</v>
      </c>
      <c r="AQ131" s="17">
        <f t="shared" si="123"/>
        <v>2.9531999999999999E-2</v>
      </c>
      <c r="AR131" s="17">
        <f t="shared" si="124"/>
        <v>0.27806999999999993</v>
      </c>
      <c r="AU131" s="33" t="s">
        <v>129</v>
      </c>
      <c r="AV131" s="17">
        <v>0.32</v>
      </c>
      <c r="AW131" s="17">
        <f t="shared" ref="AW131:AW134" si="129">AV131*V131/100</f>
        <v>5.824E-2</v>
      </c>
      <c r="AX131" s="17">
        <f t="shared" si="125"/>
        <v>1.8047999999999998E-2</v>
      </c>
      <c r="AY131" s="17">
        <f t="shared" si="126"/>
        <v>0.15615999999999999</v>
      </c>
    </row>
    <row r="132" spans="1:69" x14ac:dyDescent="0.3">
      <c r="A132" s="33" t="s">
        <v>130</v>
      </c>
      <c r="B132" s="9">
        <f>0.35+0.48</f>
        <v>0.83</v>
      </c>
      <c r="C132" s="62"/>
      <c r="D132" s="9">
        <v>7.94</v>
      </c>
      <c r="E132" s="10">
        <v>27.9</v>
      </c>
      <c r="F132" s="8">
        <f>0.48+5.08</f>
        <v>5.5600000000000005</v>
      </c>
      <c r="G132" s="33" t="s">
        <v>130</v>
      </c>
      <c r="H132" s="9">
        <f>0.36+1.03</f>
        <v>1.3900000000000001</v>
      </c>
      <c r="I132" s="62"/>
      <c r="J132" s="9">
        <v>7.32</v>
      </c>
      <c r="K132" s="10">
        <v>32.200000000000003</v>
      </c>
      <c r="L132" s="62"/>
      <c r="M132" s="33" t="s">
        <v>130</v>
      </c>
      <c r="N132" s="11">
        <f>0.41+0.43</f>
        <v>0.84</v>
      </c>
      <c r="O132" s="9">
        <v>15.1</v>
      </c>
      <c r="P132" s="9">
        <v>4.88</v>
      </c>
      <c r="Q132" s="10">
        <v>36.799999999999997</v>
      </c>
      <c r="R132" s="62"/>
      <c r="S132" s="9"/>
      <c r="T132" s="33" t="s">
        <v>130</v>
      </c>
      <c r="U132" s="9">
        <f>0.13+0.33</f>
        <v>0.46</v>
      </c>
      <c r="V132" s="9">
        <v>14.8</v>
      </c>
      <c r="W132" s="9">
        <v>8.14</v>
      </c>
      <c r="X132" s="65"/>
      <c r="Y132" s="2">
        <f>0.33+7.84</f>
        <v>8.17</v>
      </c>
      <c r="AB132" s="33" t="s">
        <v>130</v>
      </c>
      <c r="AC132" s="9">
        <v>0.75</v>
      </c>
      <c r="AD132" s="83"/>
      <c r="AE132" s="2">
        <f t="shared" si="121"/>
        <v>5.9549999999999999E-2</v>
      </c>
      <c r="AF132" s="2">
        <f t="shared" si="122"/>
        <v>0.23156999999999997</v>
      </c>
      <c r="AH132" s="33" t="s">
        <v>130</v>
      </c>
      <c r="AI132" s="9">
        <v>1.29</v>
      </c>
      <c r="AJ132" s="83"/>
      <c r="AK132" s="2">
        <f t="shared" si="100"/>
        <v>9.4427999999999998E-2</v>
      </c>
      <c r="AL132" s="2">
        <f t="shared" si="101"/>
        <v>0.41538000000000003</v>
      </c>
      <c r="AN132" s="33" t="s">
        <v>130</v>
      </c>
      <c r="AO132" s="11">
        <v>0.78</v>
      </c>
      <c r="AP132" s="2">
        <f t="shared" si="128"/>
        <v>0.11778000000000001</v>
      </c>
      <c r="AQ132" s="2">
        <f t="shared" si="123"/>
        <v>3.8064000000000001E-2</v>
      </c>
      <c r="AR132" s="2">
        <f t="shared" si="124"/>
        <v>0.28703999999999996</v>
      </c>
      <c r="AU132" s="33" t="s">
        <v>130</v>
      </c>
      <c r="AV132" s="9">
        <v>0.42</v>
      </c>
      <c r="AW132" s="2">
        <f t="shared" si="129"/>
        <v>6.216E-2</v>
      </c>
      <c r="AX132" s="2">
        <f t="shared" si="125"/>
        <v>3.4188000000000003E-2</v>
      </c>
      <c r="AY132" s="83"/>
    </row>
    <row r="133" spans="1:69" x14ac:dyDescent="0.3">
      <c r="A133" s="33" t="s">
        <v>131</v>
      </c>
      <c r="B133" s="9">
        <f>0.15+0.33</f>
        <v>0.48</v>
      </c>
      <c r="C133" s="62"/>
      <c r="D133" s="9">
        <v>5.74</v>
      </c>
      <c r="E133" s="10">
        <v>26.1</v>
      </c>
      <c r="F133" s="8">
        <f>0.33+4.29</f>
        <v>4.62</v>
      </c>
      <c r="G133" s="33" t="s">
        <v>131</v>
      </c>
      <c r="H133" s="17">
        <f>0.18+0.4</f>
        <v>0.58000000000000007</v>
      </c>
      <c r="I133" s="17">
        <v>13.1</v>
      </c>
      <c r="J133" s="17">
        <v>1.55</v>
      </c>
      <c r="K133" s="17">
        <v>55.2</v>
      </c>
      <c r="L133" s="17">
        <f>0.4+6.77</f>
        <v>7.17</v>
      </c>
      <c r="M133" s="33" t="s">
        <v>131</v>
      </c>
      <c r="N133" s="17">
        <f>0.12+0.25</f>
        <v>0.37</v>
      </c>
      <c r="O133" s="17">
        <v>14.4</v>
      </c>
      <c r="P133" s="17">
        <v>3.48</v>
      </c>
      <c r="Q133" s="17">
        <v>55.6</v>
      </c>
      <c r="R133" s="17">
        <f>0.25+6.9</f>
        <v>7.15</v>
      </c>
      <c r="S133" s="9"/>
      <c r="T133" s="33" t="s">
        <v>131</v>
      </c>
      <c r="U133" s="9">
        <f>0.092+0.22</f>
        <v>0.312</v>
      </c>
      <c r="V133" s="62"/>
      <c r="W133" s="9">
        <v>5.03</v>
      </c>
      <c r="X133" s="10">
        <v>45.9</v>
      </c>
      <c r="Y133" s="2">
        <f>0.22+5.15</f>
        <v>5.37</v>
      </c>
      <c r="AB133" s="33" t="s">
        <v>131</v>
      </c>
      <c r="AC133" s="9">
        <v>0.44</v>
      </c>
      <c r="AD133" s="83"/>
      <c r="AE133" s="2">
        <f t="shared" si="121"/>
        <v>2.5256000000000004E-2</v>
      </c>
      <c r="AF133" s="2">
        <f t="shared" si="122"/>
        <v>0.12528</v>
      </c>
      <c r="AH133" s="33" t="s">
        <v>131</v>
      </c>
      <c r="AI133" s="17">
        <v>0.53</v>
      </c>
      <c r="AJ133" s="17">
        <f t="shared" si="127"/>
        <v>6.9430000000000006E-2</v>
      </c>
      <c r="AK133" s="17">
        <f t="shared" si="100"/>
        <v>8.2150000000000018E-3</v>
      </c>
      <c r="AL133" s="17">
        <f t="shared" si="101"/>
        <v>0.29256000000000004</v>
      </c>
      <c r="AN133" s="33" t="s">
        <v>131</v>
      </c>
      <c r="AO133" s="17">
        <v>0.32</v>
      </c>
      <c r="AP133" s="17">
        <f t="shared" si="128"/>
        <v>4.6080000000000003E-2</v>
      </c>
      <c r="AQ133" s="17">
        <f t="shared" si="123"/>
        <v>1.1136E-2</v>
      </c>
      <c r="AR133" s="17">
        <f t="shared" si="124"/>
        <v>0.17792000000000002</v>
      </c>
      <c r="AU133" s="33" t="s">
        <v>131</v>
      </c>
      <c r="AV133" s="9">
        <v>0.28000000000000003</v>
      </c>
      <c r="AW133" s="83"/>
      <c r="AX133" s="2">
        <f t="shared" si="125"/>
        <v>1.4084000000000001E-2</v>
      </c>
      <c r="AY133" s="2">
        <f t="shared" si="126"/>
        <v>0.12852</v>
      </c>
    </row>
    <row r="134" spans="1:69" x14ac:dyDescent="0.3">
      <c r="A134" s="33" t="s">
        <v>132</v>
      </c>
      <c r="B134" s="9">
        <f>0.97+1.11</f>
        <v>2.08</v>
      </c>
      <c r="C134" s="9">
        <v>18.100000000000001</v>
      </c>
      <c r="D134" s="9">
        <v>4.34</v>
      </c>
      <c r="E134" s="10">
        <v>39.6</v>
      </c>
      <c r="F134" s="8">
        <f>1.11+17.8</f>
        <v>18.91</v>
      </c>
      <c r="G134" s="33" t="s">
        <v>132</v>
      </c>
      <c r="H134" s="9">
        <f>2.45+2.64</f>
        <v>5.09</v>
      </c>
      <c r="I134" s="9">
        <v>5.84</v>
      </c>
      <c r="J134" s="9">
        <v>1.2</v>
      </c>
      <c r="K134" s="10">
        <v>48.1</v>
      </c>
      <c r="L134" s="9">
        <f>2.64+24.7</f>
        <v>27.34</v>
      </c>
      <c r="M134" s="33" t="s">
        <v>132</v>
      </c>
      <c r="N134" s="11">
        <f>1.04+0.89</f>
        <v>1.9300000000000002</v>
      </c>
      <c r="O134" s="9">
        <v>10</v>
      </c>
      <c r="P134" s="9">
        <v>1.51</v>
      </c>
      <c r="Q134" s="10">
        <v>39.299999999999997</v>
      </c>
      <c r="R134" s="9">
        <f>0.89+20</f>
        <v>20.89</v>
      </c>
      <c r="S134" s="9"/>
      <c r="T134" s="33" t="s">
        <v>132</v>
      </c>
      <c r="U134" s="9">
        <f>0.67+0.68</f>
        <v>1.35</v>
      </c>
      <c r="V134" s="9">
        <v>7.95</v>
      </c>
      <c r="W134" s="9">
        <v>1.1200000000000001</v>
      </c>
      <c r="X134" s="10">
        <v>47</v>
      </c>
      <c r="Y134" s="2">
        <f>0.68+18.9</f>
        <v>19.579999999999998</v>
      </c>
      <c r="AB134" s="33" t="s">
        <v>132</v>
      </c>
      <c r="AC134" s="9">
        <v>1.63</v>
      </c>
      <c r="AD134" s="2">
        <f t="shared" si="120"/>
        <v>0.29503000000000001</v>
      </c>
      <c r="AE134" s="2">
        <f t="shared" si="121"/>
        <v>7.0741999999999999E-2</v>
      </c>
      <c r="AF134" s="2">
        <f t="shared" si="122"/>
        <v>0.82368000000000008</v>
      </c>
      <c r="AH134" s="33" t="s">
        <v>132</v>
      </c>
      <c r="AI134" s="9">
        <v>3.97</v>
      </c>
      <c r="AJ134" s="2">
        <f t="shared" si="127"/>
        <v>0.231848</v>
      </c>
      <c r="AK134" s="2">
        <f t="shared" si="100"/>
        <v>4.7640000000000002E-2</v>
      </c>
      <c r="AL134" s="2">
        <f t="shared" si="101"/>
        <v>1.9095700000000002</v>
      </c>
      <c r="AN134" s="33" t="s">
        <v>132</v>
      </c>
      <c r="AO134" s="11">
        <v>1.4</v>
      </c>
      <c r="AP134" s="2">
        <f t="shared" si="128"/>
        <v>0.14000000000000001</v>
      </c>
      <c r="AQ134" s="2">
        <f t="shared" si="123"/>
        <v>2.1139999999999999E-2</v>
      </c>
      <c r="AR134" s="2">
        <f t="shared" si="124"/>
        <v>0.55019999999999991</v>
      </c>
      <c r="AU134" s="33" t="s">
        <v>132</v>
      </c>
      <c r="AV134" s="9">
        <v>0.94</v>
      </c>
      <c r="AW134" s="2">
        <f t="shared" si="129"/>
        <v>7.4730000000000005E-2</v>
      </c>
      <c r="AX134" s="2">
        <f t="shared" si="125"/>
        <v>1.0527999999999999E-2</v>
      </c>
      <c r="AY134" s="2">
        <f t="shared" si="126"/>
        <v>0.44179999999999997</v>
      </c>
    </row>
    <row r="137" spans="1:69" ht="14.4" x14ac:dyDescent="0.3">
      <c r="A137" s="34" t="s">
        <v>133</v>
      </c>
      <c r="B137" s="34"/>
      <c r="C137" s="34"/>
      <c r="D137" s="34"/>
      <c r="E137" s="34"/>
      <c r="F137" s="34"/>
      <c r="G137" s="34"/>
      <c r="H137" s="34"/>
      <c r="I137" s="34"/>
      <c r="J137" s="35"/>
      <c r="K137" s="35"/>
      <c r="L137" s="35"/>
      <c r="M137" s="34"/>
      <c r="N137" s="34"/>
      <c r="O137" s="34"/>
      <c r="P137" s="34"/>
      <c r="Q137" s="34"/>
      <c r="R137" s="34"/>
      <c r="S137" s="34"/>
      <c r="T137" s="36"/>
      <c r="U137" s="37"/>
      <c r="V137" s="37"/>
      <c r="W137" s="37"/>
      <c r="X137" s="37"/>
      <c r="Y137" s="38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8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8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</row>
    <row r="138" spans="1:69" ht="14.4" x14ac:dyDescent="0.3">
      <c r="A138" s="34" t="s">
        <v>3</v>
      </c>
      <c r="B138" s="34"/>
      <c r="C138" s="34"/>
      <c r="D138" s="34"/>
      <c r="E138" s="34"/>
      <c r="F138" s="34"/>
      <c r="G138" s="34"/>
      <c r="H138" s="34"/>
      <c r="I138" s="34"/>
      <c r="J138" s="35"/>
      <c r="K138" s="35"/>
      <c r="L138" s="35"/>
      <c r="M138" s="34"/>
      <c r="N138" s="34"/>
      <c r="O138" s="34"/>
      <c r="P138" s="34"/>
      <c r="Q138" s="34"/>
      <c r="R138" s="34"/>
      <c r="S138" s="34"/>
      <c r="T138" s="34" t="s">
        <v>4</v>
      </c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 t="s">
        <v>5</v>
      </c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 t="s">
        <v>6</v>
      </c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</row>
    <row r="139" spans="1:69" ht="28.8" x14ac:dyDescent="0.3">
      <c r="A139" s="34"/>
      <c r="B139" s="34" t="s">
        <v>134</v>
      </c>
      <c r="C139" s="34" t="s">
        <v>135</v>
      </c>
      <c r="D139" s="34" t="s">
        <v>136</v>
      </c>
      <c r="E139" s="34" t="s">
        <v>137</v>
      </c>
      <c r="F139" s="39" t="s">
        <v>138</v>
      </c>
      <c r="G139" s="34" t="s">
        <v>139</v>
      </c>
      <c r="H139" s="34" t="s">
        <v>140</v>
      </c>
      <c r="I139" s="34" t="s">
        <v>141</v>
      </c>
      <c r="J139" s="35" t="s">
        <v>142</v>
      </c>
      <c r="K139" s="35" t="s">
        <v>143</v>
      </c>
      <c r="L139" s="35" t="s">
        <v>144</v>
      </c>
      <c r="M139" s="34" t="s">
        <v>145</v>
      </c>
      <c r="N139" s="34" t="s">
        <v>146</v>
      </c>
      <c r="O139" s="34" t="s">
        <v>147</v>
      </c>
      <c r="P139" s="34" t="s">
        <v>148</v>
      </c>
      <c r="Q139" s="34" t="s">
        <v>149</v>
      </c>
      <c r="R139" s="34" t="s">
        <v>150</v>
      </c>
      <c r="S139" s="35" t="s">
        <v>151</v>
      </c>
      <c r="T139" s="34"/>
      <c r="U139" s="34" t="s">
        <v>134</v>
      </c>
      <c r="V139" s="34" t="s">
        <v>135</v>
      </c>
      <c r="W139" s="34" t="s">
        <v>136</v>
      </c>
      <c r="X139" s="34" t="s">
        <v>137</v>
      </c>
      <c r="Y139" s="39" t="s">
        <v>138</v>
      </c>
      <c r="Z139" s="34" t="s">
        <v>139</v>
      </c>
      <c r="AA139" s="34" t="s">
        <v>140</v>
      </c>
      <c r="AB139" s="34" t="s">
        <v>141</v>
      </c>
      <c r="AC139" s="34" t="s">
        <v>145</v>
      </c>
      <c r="AD139" s="34" t="s">
        <v>146</v>
      </c>
      <c r="AE139" s="34" t="s">
        <v>147</v>
      </c>
      <c r="AF139" s="34" t="s">
        <v>148</v>
      </c>
      <c r="AG139" s="34" t="s">
        <v>149</v>
      </c>
      <c r="AH139" s="34" t="s">
        <v>150</v>
      </c>
      <c r="AI139" s="35" t="s">
        <v>151</v>
      </c>
      <c r="AJ139" s="34"/>
      <c r="AK139" s="34" t="s">
        <v>134</v>
      </c>
      <c r="AL139" s="34" t="s">
        <v>135</v>
      </c>
      <c r="AM139" s="34" t="s">
        <v>136</v>
      </c>
      <c r="AN139" s="34" t="s">
        <v>137</v>
      </c>
      <c r="AO139" s="39" t="s">
        <v>138</v>
      </c>
      <c r="AP139" s="34" t="s">
        <v>139</v>
      </c>
      <c r="AQ139" s="34" t="s">
        <v>140</v>
      </c>
      <c r="AR139" s="34" t="s">
        <v>141</v>
      </c>
      <c r="AS139" s="34" t="s">
        <v>145</v>
      </c>
      <c r="AT139" s="34" t="s">
        <v>146</v>
      </c>
      <c r="AU139" s="34" t="s">
        <v>147</v>
      </c>
      <c r="AV139" s="34"/>
      <c r="AW139" s="34" t="s">
        <v>148</v>
      </c>
      <c r="AX139" s="34" t="s">
        <v>149</v>
      </c>
      <c r="AY139" s="34" t="s">
        <v>150</v>
      </c>
      <c r="AZ139" s="35" t="s">
        <v>151</v>
      </c>
      <c r="BA139" s="34"/>
      <c r="BB139" s="34" t="s">
        <v>134</v>
      </c>
      <c r="BC139" s="34" t="s">
        <v>135</v>
      </c>
      <c r="BD139" s="34" t="s">
        <v>136</v>
      </c>
      <c r="BE139" s="34" t="s">
        <v>137</v>
      </c>
      <c r="BF139" s="39" t="s">
        <v>138</v>
      </c>
      <c r="BG139" s="34" t="s">
        <v>139</v>
      </c>
      <c r="BH139" s="34" t="s">
        <v>140</v>
      </c>
      <c r="BI139" s="34" t="s">
        <v>141</v>
      </c>
      <c r="BJ139" s="34" t="s">
        <v>145</v>
      </c>
      <c r="BK139" s="34" t="s">
        <v>146</v>
      </c>
      <c r="BL139" s="34" t="s">
        <v>147</v>
      </c>
      <c r="BM139" s="34"/>
      <c r="BN139" s="34" t="s">
        <v>148</v>
      </c>
      <c r="BO139" s="34" t="s">
        <v>149</v>
      </c>
      <c r="BP139" s="34" t="s">
        <v>150</v>
      </c>
      <c r="BQ139" s="35" t="s">
        <v>151</v>
      </c>
    </row>
    <row r="140" spans="1:69" ht="14.4" x14ac:dyDescent="0.3">
      <c r="A140" s="40" t="s">
        <v>152</v>
      </c>
      <c r="B140" s="40">
        <v>20.100000000000001</v>
      </c>
      <c r="C140" s="41"/>
      <c r="D140" s="41"/>
      <c r="E140" s="41"/>
      <c r="F140" s="42"/>
      <c r="G140" s="41">
        <v>2.17</v>
      </c>
      <c r="H140" s="41">
        <v>0.61</v>
      </c>
      <c r="I140" s="41">
        <v>0.46</v>
      </c>
      <c r="J140" s="43">
        <f>G140*B140/100</f>
        <v>0.43617000000000006</v>
      </c>
      <c r="K140" s="43">
        <f>H140*B140/100</f>
        <v>0.12261000000000001</v>
      </c>
      <c r="L140" s="43">
        <f>I140*B140/100</f>
        <v>9.2460000000000001E-2</v>
      </c>
      <c r="M140" s="44"/>
      <c r="N140" s="41"/>
      <c r="O140" s="41"/>
      <c r="P140" s="41"/>
      <c r="Q140" s="41"/>
      <c r="R140" s="41"/>
      <c r="S140" s="41"/>
      <c r="T140" s="40"/>
      <c r="U140" s="40"/>
      <c r="V140" s="41"/>
      <c r="W140" s="41"/>
      <c r="X140" s="41"/>
      <c r="Y140" s="42"/>
      <c r="Z140" s="41"/>
      <c r="AA140" s="41"/>
      <c r="AB140" s="41"/>
      <c r="AC140" s="45"/>
      <c r="AD140" s="45"/>
      <c r="AE140" s="45"/>
      <c r="AF140" s="41"/>
      <c r="AG140" s="41"/>
      <c r="AH140" s="41"/>
      <c r="AI140" s="41"/>
      <c r="AJ140" s="40"/>
      <c r="AK140" s="40"/>
      <c r="AL140" s="41"/>
      <c r="AM140" s="41"/>
      <c r="AN140" s="41"/>
      <c r="AO140" s="42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0"/>
      <c r="BB140" s="40"/>
      <c r="BC140" s="41"/>
      <c r="BD140" s="41"/>
      <c r="BE140" s="41"/>
      <c r="BF140" s="42"/>
      <c r="BG140" s="41"/>
      <c r="BH140" s="41"/>
      <c r="BI140" s="41"/>
      <c r="BJ140" s="45"/>
      <c r="BK140" s="45"/>
      <c r="BL140" s="45"/>
      <c r="BM140" s="45"/>
      <c r="BN140" s="41"/>
      <c r="BO140" s="41"/>
      <c r="BP140" s="41"/>
      <c r="BQ140" s="41"/>
    </row>
    <row r="141" spans="1:69" ht="14.4" x14ac:dyDescent="0.3">
      <c r="A141" s="40" t="s">
        <v>16</v>
      </c>
      <c r="B141" s="40">
        <v>15.4</v>
      </c>
      <c r="C141" s="41"/>
      <c r="D141" s="41"/>
      <c r="E141" s="41"/>
      <c r="F141" s="42"/>
      <c r="G141" s="41">
        <v>2.9</v>
      </c>
      <c r="H141" s="41">
        <v>0.68</v>
      </c>
      <c r="I141" s="41">
        <v>0.24</v>
      </c>
      <c r="J141" s="43">
        <f t="shared" ref="J141:J204" si="130">G141*B141/100</f>
        <v>0.44659999999999994</v>
      </c>
      <c r="K141" s="43">
        <f t="shared" ref="K141:K204" si="131">H141*B141/100</f>
        <v>0.10472000000000001</v>
      </c>
      <c r="L141" s="43">
        <f t="shared" ref="L141:L204" si="132">I141*B141/100</f>
        <v>3.696E-2</v>
      </c>
      <c r="M141" s="41"/>
      <c r="N141" s="41"/>
      <c r="O141" s="41"/>
      <c r="P141" s="41"/>
      <c r="Q141" s="41"/>
      <c r="R141" s="41"/>
      <c r="S141" s="41"/>
      <c r="T141" s="40"/>
      <c r="U141" s="40"/>
      <c r="V141" s="41"/>
      <c r="W141" s="41"/>
      <c r="X141" s="41"/>
      <c r="Y141" s="42"/>
      <c r="Z141" s="41"/>
      <c r="AA141" s="41"/>
      <c r="AB141" s="41"/>
      <c r="AC141" s="45"/>
      <c r="AD141" s="45"/>
      <c r="AE141" s="45"/>
      <c r="AF141" s="41"/>
      <c r="AG141" s="41"/>
      <c r="AH141" s="41"/>
      <c r="AI141" s="41"/>
      <c r="AJ141" s="40"/>
      <c r="AK141" s="40"/>
      <c r="AL141" s="41"/>
      <c r="AM141" s="41"/>
      <c r="AN141" s="41"/>
      <c r="AO141" s="42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0"/>
      <c r="BB141" s="40"/>
      <c r="BC141" s="41"/>
      <c r="BD141" s="41"/>
      <c r="BE141" s="41"/>
      <c r="BF141" s="42"/>
      <c r="BG141" s="41"/>
      <c r="BH141" s="41"/>
      <c r="BI141" s="41"/>
      <c r="BJ141" s="45"/>
      <c r="BK141" s="45"/>
      <c r="BL141" s="45"/>
      <c r="BM141" s="45"/>
      <c r="BN141" s="41"/>
      <c r="BO141" s="41"/>
      <c r="BP141" s="41"/>
      <c r="BQ141" s="41"/>
    </row>
    <row r="142" spans="1:69" ht="14.4" x14ac:dyDescent="0.3">
      <c r="A142" s="40" t="s">
        <v>17</v>
      </c>
      <c r="B142" s="40">
        <v>11</v>
      </c>
      <c r="C142" s="41"/>
      <c r="D142" s="41"/>
      <c r="E142" s="41"/>
      <c r="F142" s="42"/>
      <c r="G142" s="41">
        <v>2.21</v>
      </c>
      <c r="H142" s="41">
        <v>0.42</v>
      </c>
      <c r="I142" s="41">
        <v>0.1</v>
      </c>
      <c r="J142" s="43">
        <f t="shared" si="130"/>
        <v>0.24309999999999998</v>
      </c>
      <c r="K142" s="43">
        <f t="shared" si="131"/>
        <v>4.6199999999999998E-2</v>
      </c>
      <c r="L142" s="43">
        <f t="shared" si="132"/>
        <v>1.1000000000000001E-2</v>
      </c>
      <c r="M142" s="41"/>
      <c r="N142" s="41"/>
      <c r="O142" s="41"/>
      <c r="P142" s="41"/>
      <c r="Q142" s="41"/>
      <c r="R142" s="41"/>
      <c r="S142" s="41"/>
      <c r="T142" s="40"/>
      <c r="U142" s="40"/>
      <c r="V142" s="41"/>
      <c r="W142" s="41"/>
      <c r="X142" s="41"/>
      <c r="Y142" s="42"/>
      <c r="Z142" s="41"/>
      <c r="AA142" s="41"/>
      <c r="AB142" s="41"/>
      <c r="AC142" s="45"/>
      <c r="AD142" s="45"/>
      <c r="AE142" s="45"/>
      <c r="AF142" s="41"/>
      <c r="AG142" s="41"/>
      <c r="AH142" s="41"/>
      <c r="AI142" s="41"/>
      <c r="AJ142" s="40"/>
      <c r="AK142" s="40"/>
      <c r="AL142" s="41"/>
      <c r="AM142" s="41"/>
      <c r="AN142" s="41"/>
      <c r="AO142" s="42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0"/>
      <c r="BB142" s="40"/>
      <c r="BC142" s="41"/>
      <c r="BD142" s="41"/>
      <c r="BE142" s="41"/>
      <c r="BF142" s="42"/>
      <c r="BG142" s="41"/>
      <c r="BH142" s="41"/>
      <c r="BI142" s="41"/>
      <c r="BJ142" s="45"/>
      <c r="BK142" s="45"/>
      <c r="BL142" s="45"/>
      <c r="BM142" s="45"/>
      <c r="BN142" s="41"/>
      <c r="BO142" s="41"/>
      <c r="BP142" s="41"/>
      <c r="BQ142" s="41"/>
    </row>
    <row r="143" spans="1:69" ht="14.4" x14ac:dyDescent="0.3">
      <c r="A143" s="40" t="s">
        <v>18</v>
      </c>
      <c r="B143" s="40">
        <v>13.1</v>
      </c>
      <c r="C143" s="41"/>
      <c r="D143" s="41"/>
      <c r="E143" s="41"/>
      <c r="F143" s="42"/>
      <c r="G143" s="41">
        <v>1.57</v>
      </c>
      <c r="H143" s="41">
        <v>0.37</v>
      </c>
      <c r="I143" s="41">
        <v>0.13</v>
      </c>
      <c r="J143" s="43">
        <f t="shared" si="130"/>
        <v>0.20566999999999999</v>
      </c>
      <c r="K143" s="43">
        <f t="shared" si="131"/>
        <v>4.8469999999999992E-2</v>
      </c>
      <c r="L143" s="43">
        <f t="shared" si="132"/>
        <v>1.703E-2</v>
      </c>
      <c r="M143" s="41"/>
      <c r="N143" s="41"/>
      <c r="O143" s="41"/>
      <c r="P143" s="41"/>
      <c r="Q143" s="41"/>
      <c r="R143" s="41"/>
      <c r="S143" s="41"/>
      <c r="T143" s="40"/>
      <c r="U143" s="40"/>
      <c r="V143" s="41"/>
      <c r="W143" s="41"/>
      <c r="X143" s="41"/>
      <c r="Y143" s="42"/>
      <c r="Z143" s="41"/>
      <c r="AA143" s="41"/>
      <c r="AB143" s="41"/>
      <c r="AC143" s="45"/>
      <c r="AD143" s="45"/>
      <c r="AE143" s="45"/>
      <c r="AF143" s="41"/>
      <c r="AG143" s="41"/>
      <c r="AH143" s="41"/>
      <c r="AI143" s="41"/>
      <c r="AJ143" s="40"/>
      <c r="AK143" s="40"/>
      <c r="AL143" s="41"/>
      <c r="AM143" s="41"/>
      <c r="AN143" s="41"/>
      <c r="AO143" s="42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0"/>
      <c r="BB143" s="40"/>
      <c r="BC143" s="41"/>
      <c r="BD143" s="41"/>
      <c r="BE143" s="41"/>
      <c r="BF143" s="42"/>
      <c r="BG143" s="41"/>
      <c r="BH143" s="41"/>
      <c r="BI143" s="41"/>
      <c r="BJ143" s="45"/>
      <c r="BK143" s="45"/>
      <c r="BL143" s="45"/>
      <c r="BM143" s="45"/>
      <c r="BN143" s="41"/>
      <c r="BO143" s="41"/>
      <c r="BP143" s="41"/>
      <c r="BQ143" s="41"/>
    </row>
    <row r="144" spans="1:69" ht="14.4" x14ac:dyDescent="0.3">
      <c r="A144" s="40" t="s">
        <v>19</v>
      </c>
      <c r="B144" s="40">
        <v>10</v>
      </c>
      <c r="C144" s="41"/>
      <c r="D144" s="41"/>
      <c r="E144" s="41"/>
      <c r="F144" s="42"/>
      <c r="G144" s="41">
        <v>2.37</v>
      </c>
      <c r="H144" s="41">
        <v>0.83</v>
      </c>
      <c r="I144" s="41">
        <v>0.41</v>
      </c>
      <c r="J144" s="43">
        <f t="shared" si="130"/>
        <v>0.23700000000000002</v>
      </c>
      <c r="K144" s="43">
        <f t="shared" si="131"/>
        <v>8.299999999999999E-2</v>
      </c>
      <c r="L144" s="43">
        <f t="shared" si="132"/>
        <v>4.0999999999999995E-2</v>
      </c>
      <c r="M144" s="41"/>
      <c r="N144" s="41"/>
      <c r="O144" s="41"/>
      <c r="P144" s="41"/>
      <c r="Q144" s="41"/>
      <c r="R144" s="41"/>
      <c r="S144" s="41"/>
      <c r="T144" s="40"/>
      <c r="U144" s="40"/>
      <c r="V144" s="41"/>
      <c r="W144" s="41"/>
      <c r="X144" s="41"/>
      <c r="Y144" s="42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0"/>
      <c r="AK144" s="40"/>
      <c r="AL144" s="41"/>
      <c r="AM144" s="41"/>
      <c r="AN144" s="41"/>
      <c r="AO144" s="42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0"/>
      <c r="BB144" s="40"/>
      <c r="BC144" s="41"/>
      <c r="BD144" s="41"/>
      <c r="BE144" s="41"/>
      <c r="BF144" s="42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</row>
    <row r="145" spans="1:69" ht="14.4" x14ac:dyDescent="0.3">
      <c r="A145" s="40" t="s">
        <v>13</v>
      </c>
      <c r="B145" s="40">
        <v>7.08</v>
      </c>
      <c r="C145" s="41"/>
      <c r="D145" s="41"/>
      <c r="E145" s="41"/>
      <c r="F145" s="42"/>
      <c r="G145" s="41">
        <v>0.26</v>
      </c>
      <c r="H145" s="41">
        <v>6.0999999999999999E-2</v>
      </c>
      <c r="I145" s="41">
        <v>0</v>
      </c>
      <c r="J145" s="43">
        <f t="shared" si="130"/>
        <v>1.8408000000000001E-2</v>
      </c>
      <c r="K145" s="43">
        <f t="shared" si="131"/>
        <v>4.3188000000000002E-3</v>
      </c>
      <c r="L145" s="43">
        <f t="shared" si="132"/>
        <v>0</v>
      </c>
      <c r="M145" s="45"/>
      <c r="N145" s="46"/>
      <c r="O145" s="41"/>
      <c r="P145" s="41"/>
      <c r="Q145" s="41"/>
      <c r="R145" s="41"/>
      <c r="S145" s="41"/>
      <c r="T145" s="40"/>
      <c r="U145" s="40"/>
      <c r="V145" s="41"/>
      <c r="W145" s="41"/>
      <c r="X145" s="41"/>
      <c r="Y145" s="42"/>
      <c r="Z145" s="41"/>
      <c r="AA145" s="41"/>
      <c r="AB145" s="41"/>
      <c r="AC145" s="46"/>
      <c r="AD145" s="46"/>
      <c r="AE145" s="41"/>
      <c r="AF145" s="41"/>
      <c r="AG145" s="41"/>
      <c r="AH145" s="41"/>
      <c r="AI145" s="41"/>
      <c r="AJ145" s="40"/>
      <c r="AK145" s="45"/>
      <c r="AL145" s="45"/>
      <c r="AM145" s="45"/>
      <c r="AN145" s="45"/>
      <c r="AO145" s="47"/>
      <c r="AP145" s="45"/>
      <c r="AQ145" s="45"/>
      <c r="AR145" s="45"/>
      <c r="AS145" s="46"/>
      <c r="AT145" s="46"/>
      <c r="AU145" s="45"/>
      <c r="AV145" s="45"/>
      <c r="AW145" s="45"/>
      <c r="AX145" s="45"/>
      <c r="AY145" s="45"/>
      <c r="AZ145" s="45"/>
      <c r="BA145" s="40"/>
      <c r="BB145" s="45"/>
      <c r="BC145" s="45"/>
      <c r="BD145" s="45"/>
      <c r="BE145" s="45"/>
      <c r="BF145" s="47"/>
      <c r="BG145" s="45"/>
      <c r="BH145" s="45"/>
      <c r="BI145" s="45"/>
      <c r="BJ145" s="48"/>
      <c r="BK145" s="46"/>
      <c r="BL145" s="45"/>
      <c r="BM145" s="45"/>
      <c r="BN145" s="45"/>
      <c r="BO145" s="45"/>
      <c r="BP145" s="45"/>
      <c r="BQ145" s="45"/>
    </row>
    <row r="146" spans="1:69" ht="14.4" x14ac:dyDescent="0.3">
      <c r="A146" s="40" t="s">
        <v>14</v>
      </c>
      <c r="B146" s="40">
        <v>8.5</v>
      </c>
      <c r="C146" s="41"/>
      <c r="D146" s="41"/>
      <c r="E146" s="41"/>
      <c r="F146" s="42"/>
      <c r="G146" s="41">
        <v>7.97</v>
      </c>
      <c r="H146" s="41">
        <v>2.6</v>
      </c>
      <c r="I146" s="41">
        <v>0.42</v>
      </c>
      <c r="J146" s="43">
        <f t="shared" si="130"/>
        <v>0.67745</v>
      </c>
      <c r="K146" s="43">
        <f t="shared" si="131"/>
        <v>0.221</v>
      </c>
      <c r="L146" s="43">
        <f t="shared" si="132"/>
        <v>3.5699999999999996E-2</v>
      </c>
      <c r="M146" s="45"/>
      <c r="N146" s="46"/>
      <c r="O146" s="41"/>
      <c r="P146" s="41"/>
      <c r="Q146" s="41"/>
      <c r="R146" s="41"/>
      <c r="S146" s="41"/>
      <c r="T146" s="40"/>
      <c r="U146" s="40"/>
      <c r="V146" s="41"/>
      <c r="W146" s="41"/>
      <c r="X146" s="41"/>
      <c r="Y146" s="42"/>
      <c r="Z146" s="41"/>
      <c r="AA146" s="41"/>
      <c r="AB146" s="41"/>
      <c r="AC146" s="46"/>
      <c r="AD146" s="46"/>
      <c r="AE146" s="41"/>
      <c r="AF146" s="41"/>
      <c r="AG146" s="41"/>
      <c r="AH146" s="41"/>
      <c r="AI146" s="41"/>
      <c r="AJ146" s="40"/>
      <c r="AK146" s="45"/>
      <c r="AL146" s="45"/>
      <c r="AM146" s="45"/>
      <c r="AN146" s="45"/>
      <c r="AO146" s="47"/>
      <c r="AP146" s="45"/>
      <c r="AQ146" s="45"/>
      <c r="AR146" s="45"/>
      <c r="AS146" s="46"/>
      <c r="AT146" s="46"/>
      <c r="AU146" s="45"/>
      <c r="AV146" s="45"/>
      <c r="AW146" s="45"/>
      <c r="AX146" s="45"/>
      <c r="AY146" s="45"/>
      <c r="AZ146" s="45"/>
      <c r="BA146" s="40"/>
      <c r="BB146" s="45"/>
      <c r="BC146" s="45"/>
      <c r="BD146" s="45"/>
      <c r="BE146" s="45"/>
      <c r="BF146" s="47"/>
      <c r="BG146" s="45"/>
      <c r="BH146" s="45"/>
      <c r="BI146" s="45"/>
      <c r="BJ146" s="48"/>
      <c r="BK146" s="46"/>
      <c r="BL146" s="45"/>
      <c r="BM146" s="45"/>
      <c r="BN146" s="45"/>
      <c r="BO146" s="45"/>
      <c r="BP146" s="45"/>
      <c r="BQ146" s="45"/>
    </row>
    <row r="147" spans="1:69" ht="14.4" x14ac:dyDescent="0.3">
      <c r="A147" s="40" t="s">
        <v>15</v>
      </c>
      <c r="B147" s="40">
        <v>8.5</v>
      </c>
      <c r="C147" s="41"/>
      <c r="D147" s="41"/>
      <c r="E147" s="41"/>
      <c r="F147" s="42"/>
      <c r="G147" s="41">
        <v>2.38</v>
      </c>
      <c r="H147" s="41">
        <v>0.87</v>
      </c>
      <c r="I147" s="41">
        <v>0.14000000000000001</v>
      </c>
      <c r="J147" s="43">
        <f t="shared" si="130"/>
        <v>0.20230000000000001</v>
      </c>
      <c r="K147" s="43">
        <f t="shared" si="131"/>
        <v>7.3950000000000002E-2</v>
      </c>
      <c r="L147" s="43">
        <f t="shared" si="132"/>
        <v>1.1900000000000001E-2</v>
      </c>
      <c r="M147" s="45"/>
      <c r="N147" s="46"/>
      <c r="O147" s="41"/>
      <c r="P147" s="41"/>
      <c r="Q147" s="41"/>
      <c r="R147" s="41"/>
      <c r="S147" s="41"/>
      <c r="T147" s="40"/>
      <c r="U147" s="40"/>
      <c r="V147" s="41"/>
      <c r="W147" s="41"/>
      <c r="X147" s="41"/>
      <c r="Y147" s="42"/>
      <c r="Z147" s="41"/>
      <c r="AA147" s="41"/>
      <c r="AB147" s="41"/>
      <c r="AC147" s="46"/>
      <c r="AD147" s="46"/>
      <c r="AE147" s="41"/>
      <c r="AF147" s="41"/>
      <c r="AG147" s="41"/>
      <c r="AH147" s="41"/>
      <c r="AI147" s="41"/>
      <c r="AJ147" s="40"/>
      <c r="AK147" s="45"/>
      <c r="AL147" s="45"/>
      <c r="AM147" s="45"/>
      <c r="AN147" s="45"/>
      <c r="AO147" s="47"/>
      <c r="AP147" s="45"/>
      <c r="AQ147" s="45"/>
      <c r="AR147" s="45"/>
      <c r="AS147" s="46"/>
      <c r="AT147" s="46"/>
      <c r="AU147" s="45"/>
      <c r="AV147" s="45"/>
      <c r="AW147" s="45"/>
      <c r="AX147" s="45"/>
      <c r="AY147" s="45"/>
      <c r="AZ147" s="45"/>
      <c r="BA147" s="40"/>
      <c r="BB147" s="45"/>
      <c r="BC147" s="45"/>
      <c r="BD147" s="45"/>
      <c r="BE147" s="45"/>
      <c r="BF147" s="47"/>
      <c r="BG147" s="45"/>
      <c r="BH147" s="45"/>
      <c r="BI147" s="45"/>
      <c r="BJ147" s="48"/>
      <c r="BK147" s="46"/>
      <c r="BL147" s="45"/>
      <c r="BM147" s="45"/>
      <c r="BN147" s="45"/>
      <c r="BO147" s="45"/>
      <c r="BP147" s="45"/>
      <c r="BQ147" s="45"/>
    </row>
    <row r="148" spans="1:69" ht="14.4" x14ac:dyDescent="0.3">
      <c r="A148" s="40" t="s">
        <v>20</v>
      </c>
      <c r="B148" s="40">
        <v>7.37</v>
      </c>
      <c r="C148" s="41"/>
      <c r="D148" s="41"/>
      <c r="E148" s="41"/>
      <c r="F148" s="42"/>
      <c r="G148" s="41">
        <v>0.95</v>
      </c>
      <c r="H148" s="41">
        <v>0.7</v>
      </c>
      <c r="I148" s="41">
        <v>0.16</v>
      </c>
      <c r="J148" s="43">
        <f t="shared" si="130"/>
        <v>7.0014999999999994E-2</v>
      </c>
      <c r="K148" s="43">
        <f t="shared" si="131"/>
        <v>5.1589999999999997E-2</v>
      </c>
      <c r="L148" s="43">
        <f t="shared" si="132"/>
        <v>1.1792E-2</v>
      </c>
      <c r="M148" s="45"/>
      <c r="N148" s="46"/>
      <c r="O148" s="41"/>
      <c r="P148" s="41"/>
      <c r="Q148" s="41"/>
      <c r="R148" s="41"/>
      <c r="S148" s="41"/>
      <c r="T148" s="40"/>
      <c r="U148" s="40"/>
      <c r="V148" s="41"/>
      <c r="W148" s="41"/>
      <c r="X148" s="41"/>
      <c r="Y148" s="42"/>
      <c r="Z148" s="41"/>
      <c r="AA148" s="41"/>
      <c r="AB148" s="41"/>
      <c r="AC148" s="46"/>
      <c r="AD148" s="46"/>
      <c r="AE148" s="41"/>
      <c r="AF148" s="41"/>
      <c r="AG148" s="41"/>
      <c r="AH148" s="41"/>
      <c r="AI148" s="41"/>
      <c r="AJ148" s="40"/>
      <c r="AK148" s="45"/>
      <c r="AL148" s="45"/>
      <c r="AM148" s="45"/>
      <c r="AN148" s="45"/>
      <c r="AO148" s="47"/>
      <c r="AP148" s="45"/>
      <c r="AQ148" s="45"/>
      <c r="AR148" s="45"/>
      <c r="AS148" s="46"/>
      <c r="AT148" s="46"/>
      <c r="AU148" s="45"/>
      <c r="AV148" s="45"/>
      <c r="AW148" s="45"/>
      <c r="AX148" s="45"/>
      <c r="AY148" s="45"/>
      <c r="AZ148" s="45"/>
      <c r="BA148" s="40"/>
      <c r="BB148" s="45"/>
      <c r="BC148" s="45"/>
      <c r="BD148" s="45"/>
      <c r="BE148" s="45"/>
      <c r="BF148" s="47"/>
      <c r="BG148" s="45"/>
      <c r="BH148" s="45"/>
      <c r="BI148" s="45"/>
      <c r="BJ148" s="48"/>
      <c r="BK148" s="46"/>
      <c r="BL148" s="45"/>
      <c r="BM148" s="45"/>
      <c r="BN148" s="45"/>
      <c r="BO148" s="45"/>
      <c r="BP148" s="45"/>
      <c r="BQ148" s="45"/>
    </row>
    <row r="149" spans="1:69" ht="14.4" x14ac:dyDescent="0.3">
      <c r="A149" s="40" t="s">
        <v>38</v>
      </c>
      <c r="B149" s="40">
        <v>6.33</v>
      </c>
      <c r="C149" s="41"/>
      <c r="D149" s="41"/>
      <c r="E149" s="41"/>
      <c r="F149" s="42"/>
      <c r="G149" s="41">
        <v>0.38</v>
      </c>
      <c r="H149" s="41">
        <v>0.2</v>
      </c>
      <c r="I149" s="41">
        <v>1.7000000000000001E-2</v>
      </c>
      <c r="J149" s="43">
        <f t="shared" si="130"/>
        <v>2.4054000000000002E-2</v>
      </c>
      <c r="K149" s="43">
        <f t="shared" si="131"/>
        <v>1.2659999999999999E-2</v>
      </c>
      <c r="L149" s="43">
        <f t="shared" si="132"/>
        <v>1.0761000000000002E-3</v>
      </c>
      <c r="M149" s="45"/>
      <c r="N149" s="46"/>
      <c r="O149" s="41"/>
      <c r="P149" s="41"/>
      <c r="Q149" s="41"/>
      <c r="R149" s="41"/>
      <c r="S149" s="41"/>
      <c r="T149" s="40"/>
      <c r="U149" s="40"/>
      <c r="V149" s="41"/>
      <c r="W149" s="41"/>
      <c r="X149" s="41"/>
      <c r="Y149" s="42"/>
      <c r="Z149" s="41"/>
      <c r="AA149" s="41"/>
      <c r="AB149" s="41"/>
      <c r="AC149" s="46"/>
      <c r="AD149" s="46"/>
      <c r="AE149" s="41"/>
      <c r="AF149" s="41"/>
      <c r="AG149" s="41"/>
      <c r="AH149" s="41"/>
      <c r="AI149" s="41"/>
      <c r="AJ149" s="40"/>
      <c r="AK149" s="45"/>
      <c r="AL149" s="45"/>
      <c r="AM149" s="45"/>
      <c r="AN149" s="45"/>
      <c r="AO149" s="47"/>
      <c r="AP149" s="45"/>
      <c r="AQ149" s="45"/>
      <c r="AR149" s="45"/>
      <c r="AS149" s="46"/>
      <c r="AT149" s="46"/>
      <c r="AU149" s="45"/>
      <c r="AV149" s="45"/>
      <c r="AW149" s="45"/>
      <c r="AX149" s="45"/>
      <c r="AY149" s="45"/>
      <c r="AZ149" s="45"/>
      <c r="BA149" s="40"/>
      <c r="BB149" s="45"/>
      <c r="BC149" s="45"/>
      <c r="BD149" s="45"/>
      <c r="BE149" s="45"/>
      <c r="BF149" s="47"/>
      <c r="BG149" s="45"/>
      <c r="BH149" s="45"/>
      <c r="BI149" s="45"/>
      <c r="BJ149" s="48"/>
      <c r="BK149" s="46"/>
      <c r="BL149" s="45"/>
      <c r="BM149" s="45"/>
      <c r="BN149" s="45"/>
      <c r="BO149" s="45"/>
      <c r="BP149" s="45"/>
      <c r="BQ149" s="45"/>
    </row>
    <row r="150" spans="1:69" ht="14.4" x14ac:dyDescent="0.3">
      <c r="A150" s="40" t="s">
        <v>21</v>
      </c>
      <c r="B150" s="40">
        <v>6.77</v>
      </c>
      <c r="C150" s="41"/>
      <c r="D150" s="41"/>
      <c r="E150" s="41"/>
      <c r="F150" s="42"/>
      <c r="G150" s="41">
        <v>0.79</v>
      </c>
      <c r="H150" s="41">
        <v>0.34</v>
      </c>
      <c r="I150" s="41">
        <v>4.7E-2</v>
      </c>
      <c r="J150" s="43">
        <f t="shared" si="130"/>
        <v>5.3483000000000003E-2</v>
      </c>
      <c r="K150" s="43">
        <f t="shared" si="131"/>
        <v>2.3018E-2</v>
      </c>
      <c r="L150" s="43">
        <f t="shared" si="132"/>
        <v>3.1818999999999997E-3</v>
      </c>
      <c r="M150" s="45"/>
      <c r="N150" s="46"/>
      <c r="O150" s="41"/>
      <c r="P150" s="41"/>
      <c r="Q150" s="41"/>
      <c r="R150" s="41"/>
      <c r="S150" s="41"/>
      <c r="T150" s="40"/>
      <c r="U150" s="40"/>
      <c r="V150" s="41"/>
      <c r="W150" s="41"/>
      <c r="X150" s="41"/>
      <c r="Y150" s="42"/>
      <c r="Z150" s="41"/>
      <c r="AA150" s="41"/>
      <c r="AB150" s="41"/>
      <c r="AC150" s="46"/>
      <c r="AD150" s="46"/>
      <c r="AE150" s="41"/>
      <c r="AF150" s="41"/>
      <c r="AG150" s="41"/>
      <c r="AH150" s="41"/>
      <c r="AI150" s="41"/>
      <c r="AJ150" s="40"/>
      <c r="AK150" s="45"/>
      <c r="AL150" s="45"/>
      <c r="AM150" s="45"/>
      <c r="AN150" s="45"/>
      <c r="AO150" s="47"/>
      <c r="AP150" s="45"/>
      <c r="AQ150" s="45"/>
      <c r="AR150" s="45"/>
      <c r="AS150" s="46"/>
      <c r="AT150" s="46"/>
      <c r="AU150" s="45"/>
      <c r="AV150" s="45"/>
      <c r="AW150" s="45"/>
      <c r="AX150" s="45"/>
      <c r="AY150" s="45"/>
      <c r="AZ150" s="45"/>
      <c r="BA150" s="40"/>
      <c r="BB150" s="45"/>
      <c r="BC150" s="45"/>
      <c r="BD150" s="45"/>
      <c r="BE150" s="45"/>
      <c r="BF150" s="47"/>
      <c r="BG150" s="45"/>
      <c r="BH150" s="45"/>
      <c r="BI150" s="45"/>
      <c r="BJ150" s="48"/>
      <c r="BK150" s="46"/>
      <c r="BL150" s="45"/>
      <c r="BM150" s="45"/>
      <c r="BN150" s="45"/>
      <c r="BO150" s="45"/>
      <c r="BP150" s="45"/>
      <c r="BQ150" s="45"/>
    </row>
    <row r="151" spans="1:69" ht="14.4" x14ac:dyDescent="0.3">
      <c r="A151" s="40" t="s">
        <v>39</v>
      </c>
      <c r="B151" s="40">
        <v>12.4</v>
      </c>
      <c r="C151" s="41"/>
      <c r="D151" s="41"/>
      <c r="E151" s="41"/>
      <c r="F151" s="42"/>
      <c r="G151" s="41">
        <v>0.34</v>
      </c>
      <c r="H151" s="41">
        <v>6.9000000000000006E-2</v>
      </c>
      <c r="I151" s="41">
        <v>0</v>
      </c>
      <c r="J151" s="43">
        <f t="shared" si="130"/>
        <v>4.2160000000000003E-2</v>
      </c>
      <c r="K151" s="43">
        <f t="shared" si="131"/>
        <v>8.5560000000000011E-3</v>
      </c>
      <c r="L151" s="43">
        <f t="shared" si="132"/>
        <v>0</v>
      </c>
      <c r="M151" s="45"/>
      <c r="N151" s="46"/>
      <c r="O151" s="41"/>
      <c r="P151" s="41"/>
      <c r="Q151" s="41"/>
      <c r="R151" s="41"/>
      <c r="S151" s="41"/>
      <c r="T151" s="40"/>
      <c r="U151" s="40"/>
      <c r="V151" s="41"/>
      <c r="W151" s="41"/>
      <c r="X151" s="41"/>
      <c r="Y151" s="42"/>
      <c r="Z151" s="41"/>
      <c r="AA151" s="41"/>
      <c r="AB151" s="41"/>
      <c r="AC151" s="46"/>
      <c r="AD151" s="46"/>
      <c r="AE151" s="41"/>
      <c r="AF151" s="41"/>
      <c r="AG151" s="41"/>
      <c r="AH151" s="41"/>
      <c r="AI151" s="41"/>
      <c r="AJ151" s="40"/>
      <c r="AK151" s="45"/>
      <c r="AL151" s="45"/>
      <c r="AM151" s="45"/>
      <c r="AN151" s="45"/>
      <c r="AO151" s="47"/>
      <c r="AP151" s="45"/>
      <c r="AQ151" s="45"/>
      <c r="AR151" s="45"/>
      <c r="AS151" s="46"/>
      <c r="AT151" s="46"/>
      <c r="AU151" s="45"/>
      <c r="AV151" s="45"/>
      <c r="AW151" s="45"/>
      <c r="AX151" s="45"/>
      <c r="AY151" s="45"/>
      <c r="AZ151" s="45"/>
      <c r="BA151" s="40"/>
      <c r="BB151" s="45"/>
      <c r="BC151" s="45"/>
      <c r="BD151" s="45"/>
      <c r="BE151" s="45"/>
      <c r="BF151" s="47"/>
      <c r="BG151" s="45"/>
      <c r="BH151" s="45"/>
      <c r="BI151" s="45"/>
      <c r="BJ151" s="48"/>
      <c r="BK151" s="46"/>
      <c r="BL151" s="45"/>
      <c r="BM151" s="45"/>
      <c r="BN151" s="45"/>
      <c r="BO151" s="45"/>
      <c r="BP151" s="45"/>
      <c r="BQ151" s="45"/>
    </row>
    <row r="152" spans="1:69" ht="14.4" x14ac:dyDescent="0.3">
      <c r="A152" s="40" t="s">
        <v>22</v>
      </c>
      <c r="B152" s="40">
        <v>2.4300000000000002</v>
      </c>
      <c r="C152" s="41"/>
      <c r="D152" s="41"/>
      <c r="E152" s="41"/>
      <c r="F152" s="42"/>
      <c r="G152" s="41">
        <v>0.12</v>
      </c>
      <c r="H152" s="41">
        <v>0</v>
      </c>
      <c r="I152" s="41">
        <v>0</v>
      </c>
      <c r="J152" s="43">
        <f t="shared" si="130"/>
        <v>2.9160000000000002E-3</v>
      </c>
      <c r="K152" s="43">
        <f t="shared" si="131"/>
        <v>0</v>
      </c>
      <c r="L152" s="43">
        <f t="shared" si="132"/>
        <v>0</v>
      </c>
      <c r="M152" s="45"/>
      <c r="N152" s="46"/>
      <c r="O152" s="41"/>
      <c r="P152" s="41"/>
      <c r="Q152" s="41"/>
      <c r="R152" s="41"/>
      <c r="S152" s="41"/>
      <c r="T152" s="40"/>
      <c r="U152" s="40"/>
      <c r="V152" s="41"/>
      <c r="W152" s="41"/>
      <c r="X152" s="41"/>
      <c r="Y152" s="42"/>
      <c r="Z152" s="41"/>
      <c r="AA152" s="41"/>
      <c r="AB152" s="41"/>
      <c r="AC152" s="46"/>
      <c r="AD152" s="46"/>
      <c r="AE152" s="41"/>
      <c r="AF152" s="41"/>
      <c r="AG152" s="41"/>
      <c r="AH152" s="41"/>
      <c r="AI152" s="41"/>
      <c r="AJ152" s="40"/>
      <c r="AK152" s="45"/>
      <c r="AL152" s="45"/>
      <c r="AM152" s="45"/>
      <c r="AN152" s="45"/>
      <c r="AO152" s="47"/>
      <c r="AP152" s="45"/>
      <c r="AQ152" s="45"/>
      <c r="AR152" s="45"/>
      <c r="AS152" s="46"/>
      <c r="AT152" s="46"/>
      <c r="AU152" s="45"/>
      <c r="AV152" s="45"/>
      <c r="AW152" s="45"/>
      <c r="AX152" s="45"/>
      <c r="AY152" s="45"/>
      <c r="AZ152" s="45"/>
      <c r="BA152" s="40"/>
      <c r="BB152" s="45"/>
      <c r="BC152" s="45"/>
      <c r="BD152" s="45"/>
      <c r="BE152" s="45"/>
      <c r="BF152" s="47"/>
      <c r="BG152" s="45"/>
      <c r="BH152" s="45"/>
      <c r="BI152" s="45"/>
      <c r="BJ152" s="48"/>
      <c r="BK152" s="46"/>
      <c r="BL152" s="45"/>
      <c r="BM152" s="45"/>
      <c r="BN152" s="45"/>
      <c r="BO152" s="45"/>
      <c r="BP152" s="45"/>
      <c r="BQ152" s="45"/>
    </row>
    <row r="153" spans="1:69" ht="14.4" x14ac:dyDescent="0.3">
      <c r="A153" s="40" t="s">
        <v>23</v>
      </c>
      <c r="B153" s="40">
        <v>8.6199999999999992</v>
      </c>
      <c r="C153" s="41"/>
      <c r="D153" s="41"/>
      <c r="E153" s="41"/>
      <c r="F153" s="42"/>
      <c r="G153" s="41">
        <v>1.1200000000000001</v>
      </c>
      <c r="H153" s="41">
        <v>0.32</v>
      </c>
      <c r="I153" s="41">
        <v>9.5000000000000001E-2</v>
      </c>
      <c r="J153" s="43">
        <f t="shared" si="130"/>
        <v>9.6544000000000005E-2</v>
      </c>
      <c r="K153" s="43">
        <f t="shared" si="131"/>
        <v>2.7584000000000001E-2</v>
      </c>
      <c r="L153" s="43">
        <f t="shared" si="132"/>
        <v>8.1890000000000001E-3</v>
      </c>
      <c r="M153" s="45"/>
      <c r="N153" s="46"/>
      <c r="O153" s="41"/>
      <c r="P153" s="41"/>
      <c r="Q153" s="41"/>
      <c r="R153" s="41"/>
      <c r="S153" s="41"/>
      <c r="T153" s="40"/>
      <c r="U153" s="40"/>
      <c r="V153" s="41"/>
      <c r="W153" s="41"/>
      <c r="X153" s="41"/>
      <c r="Y153" s="42"/>
      <c r="Z153" s="41"/>
      <c r="AA153" s="41"/>
      <c r="AB153" s="41"/>
      <c r="AC153" s="46"/>
      <c r="AD153" s="46"/>
      <c r="AE153" s="41"/>
      <c r="AF153" s="41"/>
      <c r="AG153" s="41"/>
      <c r="AH153" s="41"/>
      <c r="AI153" s="41"/>
      <c r="AJ153" s="40"/>
      <c r="AK153" s="45"/>
      <c r="AL153" s="45"/>
      <c r="AM153" s="45"/>
      <c r="AN153" s="45"/>
      <c r="AO153" s="47"/>
      <c r="AP153" s="45"/>
      <c r="AQ153" s="45"/>
      <c r="AR153" s="45"/>
      <c r="AS153" s="46"/>
      <c r="AT153" s="46"/>
      <c r="AU153" s="45"/>
      <c r="AV153" s="45"/>
      <c r="AW153" s="45"/>
      <c r="AX153" s="45"/>
      <c r="AY153" s="45"/>
      <c r="AZ153" s="45"/>
      <c r="BA153" s="40"/>
      <c r="BB153" s="45"/>
      <c r="BC153" s="45"/>
      <c r="BD153" s="45"/>
      <c r="BE153" s="45"/>
      <c r="BF153" s="47"/>
      <c r="BG153" s="45"/>
      <c r="BH153" s="45"/>
      <c r="BI153" s="45"/>
      <c r="BJ153" s="48"/>
      <c r="BK153" s="46"/>
      <c r="BL153" s="45"/>
      <c r="BM153" s="45"/>
      <c r="BN153" s="45"/>
      <c r="BO153" s="45"/>
      <c r="BP153" s="45"/>
      <c r="BQ153" s="45"/>
    </row>
    <row r="154" spans="1:69" ht="14.4" x14ac:dyDescent="0.3">
      <c r="A154" s="40" t="s">
        <v>33</v>
      </c>
      <c r="B154" s="40">
        <v>3.75</v>
      </c>
      <c r="C154" s="41"/>
      <c r="D154" s="41"/>
      <c r="E154" s="41"/>
      <c r="F154" s="42"/>
      <c r="G154" s="41">
        <v>4.5599999999999996</v>
      </c>
      <c r="H154" s="41">
        <v>5.26</v>
      </c>
      <c r="I154" s="41">
        <v>2.02</v>
      </c>
      <c r="J154" s="43">
        <f t="shared" si="130"/>
        <v>0.17099999999999999</v>
      </c>
      <c r="K154" s="43">
        <f t="shared" si="131"/>
        <v>0.19724999999999998</v>
      </c>
      <c r="L154" s="43">
        <f t="shared" si="132"/>
        <v>7.5749999999999998E-2</v>
      </c>
      <c r="M154" s="45"/>
      <c r="N154" s="46"/>
      <c r="O154" s="41"/>
      <c r="P154" s="41"/>
      <c r="Q154" s="41"/>
      <c r="R154" s="41"/>
      <c r="S154" s="41"/>
      <c r="T154" s="40"/>
      <c r="U154" s="40"/>
      <c r="V154" s="41"/>
      <c r="W154" s="41"/>
      <c r="X154" s="41"/>
      <c r="Y154" s="42"/>
      <c r="Z154" s="41"/>
      <c r="AA154" s="41"/>
      <c r="AB154" s="41"/>
      <c r="AC154" s="46"/>
      <c r="AD154" s="46"/>
      <c r="AE154" s="41"/>
      <c r="AF154" s="41"/>
      <c r="AG154" s="41"/>
      <c r="AH154" s="41"/>
      <c r="AI154" s="41"/>
      <c r="AJ154" s="40"/>
      <c r="AK154" s="45"/>
      <c r="AL154" s="45"/>
      <c r="AM154" s="45"/>
      <c r="AN154" s="45"/>
      <c r="AO154" s="47"/>
      <c r="AP154" s="45"/>
      <c r="AQ154" s="45"/>
      <c r="AR154" s="45"/>
      <c r="AS154" s="46"/>
      <c r="AT154" s="46"/>
      <c r="AU154" s="45"/>
      <c r="AV154" s="45"/>
      <c r="AW154" s="45"/>
      <c r="AX154" s="45"/>
      <c r="AY154" s="45"/>
      <c r="AZ154" s="45"/>
      <c r="BA154" s="40"/>
      <c r="BB154" s="45"/>
      <c r="BC154" s="45"/>
      <c r="BD154" s="45"/>
      <c r="BE154" s="45"/>
      <c r="BF154" s="47"/>
      <c r="BG154" s="45"/>
      <c r="BH154" s="45"/>
      <c r="BI154" s="45"/>
      <c r="BJ154" s="48"/>
      <c r="BK154" s="46"/>
      <c r="BL154" s="45"/>
      <c r="BM154" s="45"/>
      <c r="BN154" s="45"/>
      <c r="BO154" s="45"/>
      <c r="BP154" s="45"/>
      <c r="BQ154" s="45"/>
    </row>
    <row r="155" spans="1:69" ht="14.4" x14ac:dyDescent="0.3">
      <c r="A155" s="40" t="s">
        <v>24</v>
      </c>
      <c r="B155" s="40">
        <v>36.9</v>
      </c>
      <c r="C155" s="41"/>
      <c r="D155" s="41"/>
      <c r="E155" s="41"/>
      <c r="F155" s="42"/>
      <c r="G155" s="41">
        <v>8.82</v>
      </c>
      <c r="H155" s="41">
        <v>1.04</v>
      </c>
      <c r="I155" s="41">
        <v>6.24</v>
      </c>
      <c r="J155" s="43">
        <f t="shared" si="130"/>
        <v>3.2545799999999998</v>
      </c>
      <c r="K155" s="43">
        <f t="shared" si="131"/>
        <v>0.38375999999999999</v>
      </c>
      <c r="L155" s="43">
        <f t="shared" si="132"/>
        <v>2.3025600000000002</v>
      </c>
      <c r="M155" s="45"/>
      <c r="N155" s="46"/>
      <c r="O155" s="41"/>
      <c r="P155" s="41"/>
      <c r="Q155" s="41"/>
      <c r="R155" s="41"/>
      <c r="S155" s="41"/>
      <c r="T155" s="40"/>
      <c r="U155" s="40"/>
      <c r="V155" s="41"/>
      <c r="W155" s="41"/>
      <c r="X155" s="41"/>
      <c r="Y155" s="42"/>
      <c r="Z155" s="41"/>
      <c r="AA155" s="41"/>
      <c r="AB155" s="41"/>
      <c r="AC155" s="46"/>
      <c r="AD155" s="46"/>
      <c r="AE155" s="41"/>
      <c r="AF155" s="41"/>
      <c r="AG155" s="41"/>
      <c r="AH155" s="41"/>
      <c r="AI155" s="41"/>
      <c r="AJ155" s="40"/>
      <c r="AK155" s="45"/>
      <c r="AL155" s="45"/>
      <c r="AM155" s="45"/>
      <c r="AN155" s="45"/>
      <c r="AO155" s="47"/>
      <c r="AP155" s="45"/>
      <c r="AQ155" s="45"/>
      <c r="AR155" s="45"/>
      <c r="AS155" s="46"/>
      <c r="AT155" s="46"/>
      <c r="AU155" s="45"/>
      <c r="AV155" s="45"/>
      <c r="AW155" s="45"/>
      <c r="AX155" s="45"/>
      <c r="AY155" s="45"/>
      <c r="AZ155" s="45"/>
      <c r="BA155" s="40"/>
      <c r="BB155" s="45"/>
      <c r="BC155" s="45"/>
      <c r="BD155" s="45"/>
      <c r="BE155" s="45"/>
      <c r="BF155" s="47"/>
      <c r="BG155" s="45"/>
      <c r="BH155" s="45"/>
      <c r="BI155" s="45"/>
      <c r="BJ155" s="48"/>
      <c r="BK155" s="46"/>
      <c r="BL155" s="45"/>
      <c r="BM155" s="45"/>
      <c r="BN155" s="45"/>
      <c r="BO155" s="45"/>
      <c r="BP155" s="45"/>
      <c r="BQ155" s="45"/>
    </row>
    <row r="156" spans="1:69" ht="14.4" x14ac:dyDescent="0.3">
      <c r="A156" s="40" t="s">
        <v>25</v>
      </c>
      <c r="B156" s="40">
        <v>11.6</v>
      </c>
      <c r="C156" s="41"/>
      <c r="D156" s="41"/>
      <c r="E156" s="41"/>
      <c r="F156" s="42"/>
      <c r="G156" s="41">
        <v>7.3</v>
      </c>
      <c r="H156" s="41">
        <v>1.97</v>
      </c>
      <c r="I156" s="41">
        <v>9.3800000000000008</v>
      </c>
      <c r="J156" s="43">
        <f t="shared" si="130"/>
        <v>0.84679999999999989</v>
      </c>
      <c r="K156" s="43">
        <f t="shared" si="131"/>
        <v>0.22852</v>
      </c>
      <c r="L156" s="43">
        <f t="shared" si="132"/>
        <v>1.0880800000000002</v>
      </c>
      <c r="M156" s="45"/>
      <c r="N156" s="46"/>
      <c r="O156" s="41"/>
      <c r="P156" s="41"/>
      <c r="Q156" s="41"/>
      <c r="R156" s="41"/>
      <c r="S156" s="41"/>
      <c r="T156" s="40"/>
      <c r="U156" s="40"/>
      <c r="V156" s="41"/>
      <c r="W156" s="41"/>
      <c r="X156" s="41"/>
      <c r="Y156" s="42"/>
      <c r="Z156" s="41"/>
      <c r="AA156" s="41"/>
      <c r="AB156" s="41"/>
      <c r="AC156" s="46"/>
      <c r="AD156" s="46"/>
      <c r="AE156" s="41"/>
      <c r="AF156" s="41"/>
      <c r="AG156" s="41"/>
      <c r="AH156" s="41"/>
      <c r="AI156" s="41"/>
      <c r="AJ156" s="40"/>
      <c r="AK156" s="45"/>
      <c r="AL156" s="45"/>
      <c r="AM156" s="45"/>
      <c r="AN156" s="45"/>
      <c r="AO156" s="47"/>
      <c r="AP156" s="45"/>
      <c r="AQ156" s="45"/>
      <c r="AR156" s="45"/>
      <c r="AS156" s="46"/>
      <c r="AT156" s="46"/>
      <c r="AU156" s="45"/>
      <c r="AV156" s="45"/>
      <c r="AW156" s="45"/>
      <c r="AX156" s="45"/>
      <c r="AY156" s="45"/>
      <c r="AZ156" s="45"/>
      <c r="BA156" s="40"/>
      <c r="BB156" s="45"/>
      <c r="BC156" s="45"/>
      <c r="BD156" s="45"/>
      <c r="BE156" s="45"/>
      <c r="BF156" s="47"/>
      <c r="BG156" s="45"/>
      <c r="BH156" s="45"/>
      <c r="BI156" s="45"/>
      <c r="BJ156" s="48"/>
      <c r="BK156" s="46"/>
      <c r="BL156" s="45"/>
      <c r="BM156" s="45"/>
      <c r="BN156" s="45"/>
      <c r="BO156" s="45"/>
      <c r="BP156" s="45"/>
      <c r="BQ156" s="45"/>
    </row>
    <row r="157" spans="1:69" ht="14.4" x14ac:dyDescent="0.3">
      <c r="A157" s="40" t="s">
        <v>35</v>
      </c>
      <c r="B157" s="40">
        <v>36.1</v>
      </c>
      <c r="C157" s="41"/>
      <c r="D157" s="41"/>
      <c r="E157" s="41"/>
      <c r="F157" s="42"/>
      <c r="G157" s="41">
        <v>28.1</v>
      </c>
      <c r="H157" s="41">
        <v>2.4</v>
      </c>
      <c r="I157" s="41">
        <v>29.5</v>
      </c>
      <c r="J157" s="43">
        <f t="shared" si="130"/>
        <v>10.144100000000002</v>
      </c>
      <c r="K157" s="43">
        <f t="shared" si="131"/>
        <v>0.86640000000000006</v>
      </c>
      <c r="L157" s="43">
        <f t="shared" si="132"/>
        <v>10.6495</v>
      </c>
      <c r="M157" s="45"/>
      <c r="N157" s="46"/>
      <c r="O157" s="41"/>
      <c r="P157" s="41"/>
      <c r="Q157" s="41"/>
      <c r="R157" s="41"/>
      <c r="S157" s="41"/>
      <c r="T157" s="40"/>
      <c r="U157" s="40"/>
      <c r="V157" s="41"/>
      <c r="W157" s="41"/>
      <c r="X157" s="41"/>
      <c r="Y157" s="42"/>
      <c r="Z157" s="41"/>
      <c r="AA157" s="41"/>
      <c r="AB157" s="41"/>
      <c r="AC157" s="46"/>
      <c r="AD157" s="46"/>
      <c r="AE157" s="41"/>
      <c r="AF157" s="41"/>
      <c r="AG157" s="41"/>
      <c r="AH157" s="41"/>
      <c r="AI157" s="41"/>
      <c r="AJ157" s="40"/>
      <c r="AK157" s="45"/>
      <c r="AL157" s="45"/>
      <c r="AM157" s="45"/>
      <c r="AN157" s="45"/>
      <c r="AO157" s="47"/>
      <c r="AP157" s="45"/>
      <c r="AQ157" s="45"/>
      <c r="AR157" s="45"/>
      <c r="AS157" s="46"/>
      <c r="AT157" s="46"/>
      <c r="AU157" s="45"/>
      <c r="AV157" s="45"/>
      <c r="AW157" s="45"/>
      <c r="AX157" s="45"/>
      <c r="AY157" s="45"/>
      <c r="AZ157" s="45"/>
      <c r="BA157" s="40"/>
      <c r="BB157" s="45"/>
      <c r="BC157" s="45"/>
      <c r="BD157" s="45"/>
      <c r="BE157" s="45"/>
      <c r="BF157" s="47"/>
      <c r="BG157" s="45"/>
      <c r="BH157" s="45"/>
      <c r="BI157" s="45"/>
      <c r="BJ157" s="48"/>
      <c r="BK157" s="46"/>
      <c r="BL157" s="45"/>
      <c r="BM157" s="45"/>
      <c r="BN157" s="45"/>
      <c r="BO157" s="45"/>
      <c r="BP157" s="45"/>
      <c r="BQ157" s="45"/>
    </row>
    <row r="158" spans="1:69" ht="14.4" x14ac:dyDescent="0.3">
      <c r="A158" s="40" t="s">
        <v>26</v>
      </c>
      <c r="B158" s="40">
        <v>32.6</v>
      </c>
      <c r="C158" s="41"/>
      <c r="D158" s="41"/>
      <c r="E158" s="41"/>
      <c r="F158" s="42"/>
      <c r="G158" s="41">
        <v>5.58</v>
      </c>
      <c r="H158" s="41">
        <v>2.11</v>
      </c>
      <c r="I158" s="41">
        <v>3.5</v>
      </c>
      <c r="J158" s="43">
        <f t="shared" si="130"/>
        <v>1.8190800000000003</v>
      </c>
      <c r="K158" s="43">
        <f t="shared" si="131"/>
        <v>0.68786000000000003</v>
      </c>
      <c r="L158" s="43">
        <f t="shared" si="132"/>
        <v>1.141</v>
      </c>
      <c r="M158" s="45"/>
      <c r="N158" s="46"/>
      <c r="O158" s="41"/>
      <c r="P158" s="41"/>
      <c r="Q158" s="41"/>
      <c r="R158" s="41"/>
      <c r="S158" s="41"/>
      <c r="T158" s="40"/>
      <c r="U158" s="40"/>
      <c r="V158" s="41"/>
      <c r="W158" s="41"/>
      <c r="X158" s="41"/>
      <c r="Y158" s="42"/>
      <c r="Z158" s="41"/>
      <c r="AA158" s="41"/>
      <c r="AB158" s="41"/>
      <c r="AC158" s="46"/>
      <c r="AD158" s="46"/>
      <c r="AE158" s="41"/>
      <c r="AF158" s="41"/>
      <c r="AG158" s="41"/>
      <c r="AH158" s="41"/>
      <c r="AI158" s="41"/>
      <c r="AJ158" s="40"/>
      <c r="AK158" s="45"/>
      <c r="AL158" s="45"/>
      <c r="AM158" s="45"/>
      <c r="AN158" s="45"/>
      <c r="AO158" s="47"/>
      <c r="AP158" s="45"/>
      <c r="AQ158" s="45"/>
      <c r="AR158" s="45"/>
      <c r="AS158" s="46"/>
      <c r="AT158" s="46"/>
      <c r="AU158" s="45"/>
      <c r="AV158" s="45"/>
      <c r="AW158" s="45"/>
      <c r="AX158" s="45"/>
      <c r="AY158" s="45"/>
      <c r="AZ158" s="45"/>
      <c r="BA158" s="40"/>
      <c r="BB158" s="45"/>
      <c r="BC158" s="45"/>
      <c r="BD158" s="45"/>
      <c r="BE158" s="45"/>
      <c r="BF158" s="47"/>
      <c r="BG158" s="45"/>
      <c r="BH158" s="45"/>
      <c r="BI158" s="45"/>
      <c r="BJ158" s="48"/>
      <c r="BK158" s="46"/>
      <c r="BL158" s="45"/>
      <c r="BM158" s="45"/>
      <c r="BN158" s="45"/>
      <c r="BO158" s="45"/>
      <c r="BP158" s="45"/>
      <c r="BQ158" s="45"/>
    </row>
    <row r="159" spans="1:69" ht="14.4" x14ac:dyDescent="0.3">
      <c r="A159" s="40" t="s">
        <v>27</v>
      </c>
      <c r="B159" s="40">
        <v>22.9</v>
      </c>
      <c r="C159" s="41"/>
      <c r="D159" s="41"/>
      <c r="E159" s="41"/>
      <c r="F159" s="42"/>
      <c r="G159" s="41">
        <v>2.74</v>
      </c>
      <c r="H159" s="41">
        <v>1.51</v>
      </c>
      <c r="I159" s="41">
        <v>1.23</v>
      </c>
      <c r="J159" s="43">
        <f t="shared" si="130"/>
        <v>0.62746000000000002</v>
      </c>
      <c r="K159" s="43">
        <f t="shared" si="131"/>
        <v>0.34578999999999999</v>
      </c>
      <c r="L159" s="43">
        <f t="shared" si="132"/>
        <v>0.28166999999999998</v>
      </c>
      <c r="M159" s="45"/>
      <c r="N159" s="46"/>
      <c r="O159" s="41"/>
      <c r="P159" s="41"/>
      <c r="Q159" s="41"/>
      <c r="R159" s="41"/>
      <c r="S159" s="41"/>
      <c r="T159" s="40"/>
      <c r="U159" s="40"/>
      <c r="V159" s="41"/>
      <c r="W159" s="41"/>
      <c r="X159" s="41"/>
      <c r="Y159" s="42"/>
      <c r="Z159" s="41"/>
      <c r="AA159" s="41"/>
      <c r="AB159" s="41"/>
      <c r="AC159" s="46"/>
      <c r="AD159" s="46"/>
      <c r="AE159" s="41"/>
      <c r="AF159" s="41"/>
      <c r="AG159" s="41"/>
      <c r="AH159" s="41"/>
      <c r="AI159" s="41"/>
      <c r="AJ159" s="40"/>
      <c r="AK159" s="45"/>
      <c r="AL159" s="45"/>
      <c r="AM159" s="45"/>
      <c r="AN159" s="45"/>
      <c r="AO159" s="47"/>
      <c r="AP159" s="45"/>
      <c r="AQ159" s="45"/>
      <c r="AR159" s="45"/>
      <c r="AS159" s="46"/>
      <c r="AT159" s="46"/>
      <c r="AU159" s="45"/>
      <c r="AV159" s="45"/>
      <c r="AW159" s="45"/>
      <c r="AX159" s="45"/>
      <c r="AY159" s="45"/>
      <c r="AZ159" s="45"/>
      <c r="BA159" s="40"/>
      <c r="BB159" s="45"/>
      <c r="BC159" s="45"/>
      <c r="BD159" s="45"/>
      <c r="BE159" s="45"/>
      <c r="BF159" s="47"/>
      <c r="BG159" s="45"/>
      <c r="BH159" s="45"/>
      <c r="BI159" s="45"/>
      <c r="BJ159" s="48"/>
      <c r="BK159" s="46"/>
      <c r="BL159" s="45"/>
      <c r="BM159" s="45"/>
      <c r="BN159" s="45"/>
      <c r="BO159" s="45"/>
      <c r="BP159" s="45"/>
      <c r="BQ159" s="45"/>
    </row>
    <row r="160" spans="1:69" ht="14.4" x14ac:dyDescent="0.3">
      <c r="A160" s="40" t="s">
        <v>28</v>
      </c>
      <c r="B160" s="40">
        <v>50.1</v>
      </c>
      <c r="C160" s="41"/>
      <c r="D160" s="41"/>
      <c r="E160" s="41"/>
      <c r="F160" s="42"/>
      <c r="G160" s="41">
        <v>6.54</v>
      </c>
      <c r="H160" s="41">
        <v>1.1299999999999999</v>
      </c>
      <c r="I160" s="41">
        <v>5.53</v>
      </c>
      <c r="J160" s="43">
        <f t="shared" si="130"/>
        <v>3.2765399999999998</v>
      </c>
      <c r="K160" s="43">
        <f t="shared" si="131"/>
        <v>0.56613000000000002</v>
      </c>
      <c r="L160" s="43">
        <f t="shared" si="132"/>
        <v>2.7705299999999999</v>
      </c>
      <c r="M160" s="45"/>
      <c r="N160" s="46"/>
      <c r="O160" s="41"/>
      <c r="P160" s="41"/>
      <c r="Q160" s="41"/>
      <c r="R160" s="41"/>
      <c r="S160" s="41"/>
      <c r="T160" s="40"/>
      <c r="U160" s="40"/>
      <c r="V160" s="41"/>
      <c r="W160" s="41"/>
      <c r="X160" s="41"/>
      <c r="Y160" s="42"/>
      <c r="Z160" s="41"/>
      <c r="AA160" s="41"/>
      <c r="AB160" s="41"/>
      <c r="AC160" s="46"/>
      <c r="AD160" s="46"/>
      <c r="AE160" s="41"/>
      <c r="AF160" s="41"/>
      <c r="AG160" s="41"/>
      <c r="AH160" s="41"/>
      <c r="AI160" s="41"/>
      <c r="AJ160" s="40"/>
      <c r="AK160" s="45"/>
      <c r="AL160" s="45"/>
      <c r="AM160" s="45"/>
      <c r="AN160" s="45"/>
      <c r="AO160" s="47"/>
      <c r="AP160" s="45"/>
      <c r="AQ160" s="45"/>
      <c r="AR160" s="45"/>
      <c r="AS160" s="46"/>
      <c r="AT160" s="46"/>
      <c r="AU160" s="45"/>
      <c r="AV160" s="45"/>
      <c r="AW160" s="45"/>
      <c r="AX160" s="45"/>
      <c r="AY160" s="45"/>
      <c r="AZ160" s="45"/>
      <c r="BA160" s="40"/>
      <c r="BB160" s="45"/>
      <c r="BC160" s="45"/>
      <c r="BD160" s="45"/>
      <c r="BE160" s="45"/>
      <c r="BF160" s="47"/>
      <c r="BG160" s="45"/>
      <c r="BH160" s="45"/>
      <c r="BI160" s="45"/>
      <c r="BJ160" s="48"/>
      <c r="BK160" s="46"/>
      <c r="BL160" s="45"/>
      <c r="BM160" s="45"/>
      <c r="BN160" s="45"/>
      <c r="BO160" s="45"/>
      <c r="BP160" s="45"/>
      <c r="BQ160" s="45"/>
    </row>
    <row r="161" spans="1:69" ht="14.4" x14ac:dyDescent="0.3">
      <c r="A161" s="40" t="s">
        <v>29</v>
      </c>
      <c r="B161" s="40">
        <v>45.2</v>
      </c>
      <c r="C161" s="41"/>
      <c r="D161" s="41"/>
      <c r="E161" s="41"/>
      <c r="F161" s="42"/>
      <c r="G161" s="41">
        <v>1.03</v>
      </c>
      <c r="H161" s="41">
        <v>0.35</v>
      </c>
      <c r="I161" s="41">
        <v>1.1299999999999999</v>
      </c>
      <c r="J161" s="43">
        <f t="shared" si="130"/>
        <v>0.46556000000000003</v>
      </c>
      <c r="K161" s="43">
        <f t="shared" si="131"/>
        <v>0.15820000000000001</v>
      </c>
      <c r="L161" s="43">
        <f t="shared" si="132"/>
        <v>0.51075999999999999</v>
      </c>
      <c r="M161" s="45"/>
      <c r="N161" s="46"/>
      <c r="O161" s="41"/>
      <c r="P161" s="41"/>
      <c r="Q161" s="41"/>
      <c r="R161" s="41"/>
      <c r="S161" s="41"/>
      <c r="T161" s="40"/>
      <c r="U161" s="40"/>
      <c r="V161" s="41"/>
      <c r="W161" s="41"/>
      <c r="X161" s="41"/>
      <c r="Y161" s="42"/>
      <c r="Z161" s="41"/>
      <c r="AA161" s="41"/>
      <c r="AB161" s="41"/>
      <c r="AC161" s="46"/>
      <c r="AD161" s="46"/>
      <c r="AE161" s="41"/>
      <c r="AF161" s="41"/>
      <c r="AG161" s="41"/>
      <c r="AH161" s="41"/>
      <c r="AI161" s="41"/>
      <c r="AJ161" s="40"/>
      <c r="AK161" s="45"/>
      <c r="AL161" s="45"/>
      <c r="AM161" s="45"/>
      <c r="AN161" s="45"/>
      <c r="AO161" s="47"/>
      <c r="AP161" s="45"/>
      <c r="AQ161" s="45"/>
      <c r="AR161" s="45"/>
      <c r="AS161" s="46"/>
      <c r="AT161" s="46"/>
      <c r="AU161" s="45"/>
      <c r="AV161" s="45"/>
      <c r="AW161" s="45"/>
      <c r="AX161" s="45"/>
      <c r="AY161" s="45"/>
      <c r="AZ161" s="45"/>
      <c r="BA161" s="40"/>
      <c r="BB161" s="45"/>
      <c r="BC161" s="45"/>
      <c r="BD161" s="45"/>
      <c r="BE161" s="45"/>
      <c r="BF161" s="47"/>
      <c r="BG161" s="45"/>
      <c r="BH161" s="45"/>
      <c r="BI161" s="45"/>
      <c r="BJ161" s="48"/>
      <c r="BK161" s="46"/>
      <c r="BL161" s="45"/>
      <c r="BM161" s="45"/>
      <c r="BN161" s="45"/>
      <c r="BO161" s="45"/>
      <c r="BP161" s="45"/>
      <c r="BQ161" s="45"/>
    </row>
    <row r="162" spans="1:69" ht="14.4" x14ac:dyDescent="0.3">
      <c r="A162" s="40" t="s">
        <v>36</v>
      </c>
      <c r="B162" s="40">
        <v>34.4</v>
      </c>
      <c r="C162" s="41"/>
      <c r="D162" s="41"/>
      <c r="E162" s="41"/>
      <c r="F162" s="42"/>
      <c r="G162" s="41">
        <v>19.5</v>
      </c>
      <c r="H162" s="41">
        <v>4.3600000000000003</v>
      </c>
      <c r="I162" s="41">
        <v>21.4</v>
      </c>
      <c r="J162" s="43">
        <f t="shared" si="130"/>
        <v>6.7079999999999993</v>
      </c>
      <c r="K162" s="43">
        <f t="shared" si="131"/>
        <v>1.4998400000000001</v>
      </c>
      <c r="L162" s="43">
        <f t="shared" si="132"/>
        <v>7.3615999999999993</v>
      </c>
      <c r="M162" s="45"/>
      <c r="N162" s="46"/>
      <c r="O162" s="41"/>
      <c r="P162" s="41"/>
      <c r="Q162" s="41"/>
      <c r="R162" s="41"/>
      <c r="S162" s="41"/>
      <c r="T162" s="40"/>
      <c r="U162" s="40"/>
      <c r="V162" s="41"/>
      <c r="W162" s="41"/>
      <c r="X162" s="41"/>
      <c r="Y162" s="42"/>
      <c r="Z162" s="41"/>
      <c r="AA162" s="41"/>
      <c r="AB162" s="41"/>
      <c r="AC162" s="46"/>
      <c r="AD162" s="46"/>
      <c r="AE162" s="41"/>
      <c r="AF162" s="41"/>
      <c r="AG162" s="41"/>
      <c r="AH162" s="41"/>
      <c r="AI162" s="41"/>
      <c r="AJ162" s="40"/>
      <c r="AK162" s="45"/>
      <c r="AL162" s="45"/>
      <c r="AM162" s="45"/>
      <c r="AN162" s="45"/>
      <c r="AO162" s="47"/>
      <c r="AP162" s="45"/>
      <c r="AQ162" s="45"/>
      <c r="AR162" s="45"/>
      <c r="AS162" s="46"/>
      <c r="AT162" s="46"/>
      <c r="AU162" s="45"/>
      <c r="AV162" s="45"/>
      <c r="AW162" s="45"/>
      <c r="AX162" s="45"/>
      <c r="AY162" s="45"/>
      <c r="AZ162" s="45"/>
      <c r="BA162" s="40"/>
      <c r="BB162" s="45"/>
      <c r="BC162" s="45"/>
      <c r="BD162" s="45"/>
      <c r="BE162" s="45"/>
      <c r="BF162" s="47"/>
      <c r="BG162" s="45"/>
      <c r="BH162" s="45"/>
      <c r="BI162" s="45"/>
      <c r="BJ162" s="48"/>
      <c r="BK162" s="46"/>
      <c r="BL162" s="45"/>
      <c r="BM162" s="45"/>
      <c r="BN162" s="45"/>
      <c r="BO162" s="45"/>
      <c r="BP162" s="45"/>
      <c r="BQ162" s="45"/>
    </row>
    <row r="163" spans="1:69" ht="14.4" x14ac:dyDescent="0.3">
      <c r="A163" s="40" t="s">
        <v>30</v>
      </c>
      <c r="B163" s="40">
        <v>32.799999999999997</v>
      </c>
      <c r="C163" s="41"/>
      <c r="D163" s="41"/>
      <c r="E163" s="41"/>
      <c r="F163" s="42"/>
      <c r="G163" s="41">
        <v>6.4</v>
      </c>
      <c r="H163" s="41">
        <v>0.36</v>
      </c>
      <c r="I163" s="41">
        <v>8.74</v>
      </c>
      <c r="J163" s="43">
        <f t="shared" si="130"/>
        <v>2.0991999999999997</v>
      </c>
      <c r="K163" s="43">
        <f t="shared" si="131"/>
        <v>0.11807999999999998</v>
      </c>
      <c r="L163" s="43">
        <f t="shared" si="132"/>
        <v>2.8667199999999995</v>
      </c>
      <c r="M163" s="45"/>
      <c r="N163" s="46"/>
      <c r="O163" s="41"/>
      <c r="P163" s="41"/>
      <c r="Q163" s="41"/>
      <c r="R163" s="41"/>
      <c r="S163" s="41"/>
      <c r="T163" s="40"/>
      <c r="U163" s="40"/>
      <c r="V163" s="41"/>
      <c r="W163" s="41"/>
      <c r="X163" s="41"/>
      <c r="Y163" s="42"/>
      <c r="Z163" s="41"/>
      <c r="AA163" s="41"/>
      <c r="AB163" s="41"/>
      <c r="AC163" s="46"/>
      <c r="AD163" s="46"/>
      <c r="AE163" s="41"/>
      <c r="AF163" s="41"/>
      <c r="AG163" s="41"/>
      <c r="AH163" s="41"/>
      <c r="AI163" s="41"/>
      <c r="AJ163" s="40"/>
      <c r="AK163" s="45"/>
      <c r="AL163" s="45"/>
      <c r="AM163" s="45"/>
      <c r="AN163" s="45"/>
      <c r="AO163" s="47"/>
      <c r="AP163" s="45"/>
      <c r="AQ163" s="45"/>
      <c r="AR163" s="45"/>
      <c r="AS163" s="46"/>
      <c r="AT163" s="46"/>
      <c r="AU163" s="45"/>
      <c r="AV163" s="45"/>
      <c r="AW163" s="45"/>
      <c r="AX163" s="45"/>
      <c r="AY163" s="45"/>
      <c r="AZ163" s="45"/>
      <c r="BA163" s="40"/>
      <c r="BB163" s="45"/>
      <c r="BC163" s="45"/>
      <c r="BD163" s="45"/>
      <c r="BE163" s="45"/>
      <c r="BF163" s="47"/>
      <c r="BG163" s="45"/>
      <c r="BH163" s="45"/>
      <c r="BI163" s="45"/>
      <c r="BJ163" s="48"/>
      <c r="BK163" s="46"/>
      <c r="BL163" s="45"/>
      <c r="BM163" s="45"/>
      <c r="BN163" s="45"/>
      <c r="BO163" s="45"/>
      <c r="BP163" s="45"/>
      <c r="BQ163" s="45"/>
    </row>
    <row r="164" spans="1:69" ht="14.4" x14ac:dyDescent="0.3">
      <c r="A164" s="40" t="s">
        <v>31</v>
      </c>
      <c r="B164" s="40">
        <v>32.200000000000003</v>
      </c>
      <c r="C164" s="41"/>
      <c r="D164" s="41"/>
      <c r="E164" s="41"/>
      <c r="F164" s="42"/>
      <c r="G164" s="41">
        <v>7.42</v>
      </c>
      <c r="H164" s="41">
        <v>0.75</v>
      </c>
      <c r="I164" s="41">
        <v>7.17</v>
      </c>
      <c r="J164" s="43">
        <f t="shared" si="130"/>
        <v>2.38924</v>
      </c>
      <c r="K164" s="43">
        <f t="shared" si="131"/>
        <v>0.24150000000000002</v>
      </c>
      <c r="L164" s="43">
        <f t="shared" si="132"/>
        <v>2.3087400000000002</v>
      </c>
      <c r="M164" s="45"/>
      <c r="N164" s="46"/>
      <c r="O164" s="41"/>
      <c r="P164" s="41"/>
      <c r="Q164" s="41"/>
      <c r="R164" s="41"/>
      <c r="S164" s="41"/>
      <c r="T164" s="40"/>
      <c r="U164" s="40"/>
      <c r="V164" s="41"/>
      <c r="W164" s="41"/>
      <c r="X164" s="41"/>
      <c r="Y164" s="42"/>
      <c r="Z164" s="41"/>
      <c r="AA164" s="41"/>
      <c r="AB164" s="41"/>
      <c r="AC164" s="46"/>
      <c r="AD164" s="46"/>
      <c r="AE164" s="41"/>
      <c r="AF164" s="41"/>
      <c r="AG164" s="41"/>
      <c r="AH164" s="41"/>
      <c r="AI164" s="41"/>
      <c r="AJ164" s="40"/>
      <c r="AK164" s="45"/>
      <c r="AL164" s="45"/>
      <c r="AM164" s="45"/>
      <c r="AN164" s="45"/>
      <c r="AO164" s="47"/>
      <c r="AP164" s="45"/>
      <c r="AQ164" s="45"/>
      <c r="AR164" s="45"/>
      <c r="AS164" s="46"/>
      <c r="AT164" s="46"/>
      <c r="AU164" s="45"/>
      <c r="AV164" s="45"/>
      <c r="AW164" s="45"/>
      <c r="AX164" s="45"/>
      <c r="AY164" s="45"/>
      <c r="AZ164" s="45"/>
      <c r="BA164" s="40"/>
      <c r="BB164" s="45"/>
      <c r="BC164" s="45"/>
      <c r="BD164" s="45"/>
      <c r="BE164" s="45"/>
      <c r="BF164" s="47"/>
      <c r="BG164" s="45"/>
      <c r="BH164" s="45"/>
      <c r="BI164" s="45"/>
      <c r="BJ164" s="48"/>
      <c r="BK164" s="46"/>
      <c r="BL164" s="45"/>
      <c r="BM164" s="45"/>
      <c r="BN164" s="45"/>
      <c r="BO164" s="45"/>
      <c r="BP164" s="45"/>
      <c r="BQ164" s="45"/>
    </row>
    <row r="165" spans="1:69" ht="14.4" x14ac:dyDescent="0.3">
      <c r="A165" s="40"/>
      <c r="B165" s="40"/>
      <c r="C165" s="41"/>
      <c r="D165" s="41"/>
      <c r="E165" s="41"/>
      <c r="F165" s="42"/>
      <c r="G165" s="41"/>
      <c r="H165" s="41"/>
      <c r="I165" s="41"/>
      <c r="J165" s="43"/>
      <c r="K165" s="43"/>
      <c r="L165" s="43"/>
      <c r="M165" s="45"/>
      <c r="N165" s="46"/>
      <c r="O165" s="41"/>
      <c r="P165" s="41"/>
      <c r="Q165" s="41"/>
      <c r="R165" s="41"/>
      <c r="S165" s="41"/>
      <c r="T165" s="40"/>
      <c r="U165" s="40"/>
      <c r="V165" s="41"/>
      <c r="W165" s="41"/>
      <c r="X165" s="41"/>
      <c r="Y165" s="42"/>
      <c r="Z165" s="41"/>
      <c r="AA165" s="41"/>
      <c r="AB165" s="41"/>
      <c r="AC165" s="46"/>
      <c r="AD165" s="46"/>
      <c r="AE165" s="41"/>
      <c r="AF165" s="41"/>
      <c r="AG165" s="41"/>
      <c r="AH165" s="41"/>
      <c r="AI165" s="41"/>
      <c r="AJ165" s="40"/>
      <c r="AK165" s="45"/>
      <c r="AL165" s="45"/>
      <c r="AM165" s="45"/>
      <c r="AN165" s="45"/>
      <c r="AO165" s="47"/>
      <c r="AP165" s="45"/>
      <c r="AQ165" s="45"/>
      <c r="AR165" s="45"/>
      <c r="AS165" s="46"/>
      <c r="AT165" s="46"/>
      <c r="AU165" s="45"/>
      <c r="AV165" s="45"/>
      <c r="AW165" s="45"/>
      <c r="AX165" s="45"/>
      <c r="AY165" s="45"/>
      <c r="AZ165" s="45"/>
      <c r="BA165" s="40"/>
      <c r="BB165" s="45"/>
      <c r="BC165" s="45"/>
      <c r="BD165" s="45"/>
      <c r="BE165" s="45"/>
      <c r="BF165" s="47"/>
      <c r="BG165" s="45"/>
      <c r="BH165" s="45"/>
      <c r="BI165" s="45"/>
      <c r="BJ165" s="48"/>
      <c r="BK165" s="46"/>
      <c r="BL165" s="45"/>
      <c r="BM165" s="45"/>
      <c r="BN165" s="45"/>
      <c r="BO165" s="45"/>
      <c r="BP165" s="45"/>
      <c r="BQ165" s="45"/>
    </row>
    <row r="166" spans="1:69" ht="14.4" x14ac:dyDescent="0.3">
      <c r="A166" s="45"/>
      <c r="B166" s="45"/>
      <c r="C166" s="45"/>
      <c r="D166" s="45"/>
      <c r="E166" s="45"/>
      <c r="F166" s="47"/>
      <c r="G166" s="41"/>
      <c r="H166" s="45"/>
      <c r="I166" s="45"/>
      <c r="J166" s="43"/>
      <c r="K166" s="43"/>
      <c r="L166" s="43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7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7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7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</row>
    <row r="167" spans="1:69" ht="14.4" x14ac:dyDescent="0.3">
      <c r="A167" s="49" t="s">
        <v>54</v>
      </c>
      <c r="B167" s="49">
        <v>1.17</v>
      </c>
      <c r="C167" s="41"/>
      <c r="D167" s="41"/>
      <c r="E167" s="41"/>
      <c r="F167" s="42"/>
      <c r="G167" s="41">
        <v>2.4</v>
      </c>
      <c r="H167" s="41">
        <v>0.63</v>
      </c>
      <c r="I167" s="41">
        <v>0.63</v>
      </c>
      <c r="J167" s="43">
        <f t="shared" si="130"/>
        <v>2.8079999999999997E-2</v>
      </c>
      <c r="K167" s="43">
        <f t="shared" si="131"/>
        <v>7.3709999999999999E-3</v>
      </c>
      <c r="L167" s="43">
        <f t="shared" si="132"/>
        <v>7.3709999999999999E-3</v>
      </c>
      <c r="M167" s="41"/>
      <c r="N167" s="41"/>
      <c r="O167" s="41"/>
      <c r="P167" s="41"/>
      <c r="Q167" s="41"/>
      <c r="R167" s="41"/>
      <c r="S167" s="41"/>
      <c r="T167" s="49"/>
      <c r="U167" s="40"/>
      <c r="V167" s="41"/>
      <c r="W167" s="41"/>
      <c r="X167" s="41"/>
      <c r="Y167" s="42"/>
      <c r="Z167" s="41"/>
      <c r="AA167" s="41"/>
      <c r="AB167" s="41"/>
      <c r="AC167" s="45"/>
      <c r="AD167" s="45"/>
      <c r="AE167" s="45"/>
      <c r="AF167" s="41"/>
      <c r="AG167" s="41"/>
      <c r="AH167" s="41"/>
      <c r="AI167" s="41"/>
      <c r="AJ167" s="49"/>
      <c r="AK167" s="40"/>
      <c r="AL167" s="41"/>
      <c r="AM167" s="41"/>
      <c r="AN167" s="41"/>
      <c r="AO167" s="42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9"/>
      <c r="BB167" s="40"/>
      <c r="BC167" s="41"/>
      <c r="BD167" s="41"/>
      <c r="BE167" s="41"/>
      <c r="BF167" s="42"/>
      <c r="BG167" s="41"/>
      <c r="BH167" s="41"/>
      <c r="BI167" s="41"/>
      <c r="BJ167" s="45"/>
      <c r="BK167" s="45"/>
      <c r="BL167" s="45"/>
      <c r="BM167" s="45"/>
      <c r="BN167" s="41"/>
      <c r="BO167" s="41"/>
      <c r="BP167" s="41"/>
      <c r="BQ167" s="41"/>
    </row>
    <row r="168" spans="1:69" ht="14.4" x14ac:dyDescent="0.3">
      <c r="A168" s="50" t="s">
        <v>55</v>
      </c>
      <c r="B168" s="51">
        <v>4.22</v>
      </c>
      <c r="C168" s="41"/>
      <c r="D168" s="41"/>
      <c r="E168" s="41"/>
      <c r="F168" s="42"/>
      <c r="G168" s="41">
        <v>3.64</v>
      </c>
      <c r="H168" s="41">
        <v>0.39</v>
      </c>
      <c r="I168" s="41">
        <v>0.34</v>
      </c>
      <c r="J168" s="43">
        <f t="shared" si="130"/>
        <v>0.15360799999999999</v>
      </c>
      <c r="K168" s="43">
        <f t="shared" si="131"/>
        <v>1.6458E-2</v>
      </c>
      <c r="L168" s="43">
        <f t="shared" si="132"/>
        <v>1.4348000000000001E-2</v>
      </c>
      <c r="M168" s="41"/>
      <c r="N168" s="41"/>
      <c r="O168" s="41"/>
      <c r="P168" s="41"/>
      <c r="Q168" s="41"/>
      <c r="R168" s="41"/>
      <c r="S168" s="41"/>
      <c r="T168" s="50"/>
      <c r="U168" s="52"/>
      <c r="V168" s="41"/>
      <c r="W168" s="41"/>
      <c r="X168" s="41"/>
      <c r="Y168" s="42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50"/>
      <c r="AK168" s="52"/>
      <c r="AL168" s="41"/>
      <c r="AM168" s="41"/>
      <c r="AN168" s="41"/>
      <c r="AO168" s="42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50"/>
      <c r="BB168" s="52"/>
      <c r="BC168" s="41"/>
      <c r="BD168" s="41"/>
      <c r="BE168" s="41"/>
      <c r="BF168" s="42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</row>
    <row r="169" spans="1:69" ht="14.4" x14ac:dyDescent="0.3">
      <c r="A169" s="50" t="s">
        <v>56</v>
      </c>
      <c r="B169" s="51">
        <v>7.56</v>
      </c>
      <c r="C169" s="41"/>
      <c r="D169" s="41"/>
      <c r="E169" s="41"/>
      <c r="F169" s="42"/>
      <c r="G169" s="41">
        <v>13</v>
      </c>
      <c r="H169" s="41">
        <v>0.13</v>
      </c>
      <c r="I169" s="41">
        <v>1.56</v>
      </c>
      <c r="J169" s="43">
        <f t="shared" si="130"/>
        <v>0.98280000000000001</v>
      </c>
      <c r="K169" s="43">
        <f t="shared" si="131"/>
        <v>9.8279999999999999E-3</v>
      </c>
      <c r="L169" s="43">
        <f t="shared" si="132"/>
        <v>0.117936</v>
      </c>
      <c r="M169" s="41"/>
      <c r="N169" s="41"/>
      <c r="O169" s="41"/>
      <c r="P169" s="41"/>
      <c r="Q169" s="41"/>
      <c r="R169" s="41"/>
      <c r="S169" s="41"/>
      <c r="T169" s="50"/>
      <c r="U169" s="52"/>
      <c r="V169" s="41"/>
      <c r="W169" s="41"/>
      <c r="X169" s="41"/>
      <c r="Y169" s="42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50"/>
      <c r="AK169" s="52"/>
      <c r="AL169" s="41"/>
      <c r="AM169" s="41"/>
      <c r="AN169" s="41"/>
      <c r="AO169" s="42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50"/>
      <c r="BB169" s="45"/>
      <c r="BC169" s="45"/>
      <c r="BD169" s="45"/>
      <c r="BE169" s="45"/>
      <c r="BF169" s="47"/>
      <c r="BG169" s="45"/>
      <c r="BH169" s="45"/>
      <c r="BI169" s="45"/>
      <c r="BJ169" s="45"/>
      <c r="BK169" s="45"/>
      <c r="BL169" s="41"/>
      <c r="BM169" s="41"/>
      <c r="BN169" s="41"/>
      <c r="BO169" s="41"/>
      <c r="BP169" s="41"/>
      <c r="BQ169" s="41"/>
    </row>
    <row r="170" spans="1:69" ht="14.4" x14ac:dyDescent="0.3">
      <c r="A170" s="50" t="s">
        <v>61</v>
      </c>
      <c r="B170" s="51">
        <v>11.5</v>
      </c>
      <c r="C170" s="41"/>
      <c r="D170" s="41"/>
      <c r="E170" s="41"/>
      <c r="F170" s="42"/>
      <c r="G170" s="41">
        <v>2.2200000000000002</v>
      </c>
      <c r="H170" s="41">
        <v>0.22</v>
      </c>
      <c r="I170" s="41">
        <v>0.57999999999999996</v>
      </c>
      <c r="J170" s="43">
        <f t="shared" si="130"/>
        <v>0.25530000000000003</v>
      </c>
      <c r="K170" s="43">
        <f t="shared" si="131"/>
        <v>2.53E-2</v>
      </c>
      <c r="L170" s="43">
        <f t="shared" si="132"/>
        <v>6.6699999999999995E-2</v>
      </c>
      <c r="M170" s="41"/>
      <c r="N170" s="41"/>
      <c r="O170" s="41"/>
      <c r="P170" s="41"/>
      <c r="Q170" s="41"/>
      <c r="R170" s="41"/>
      <c r="S170" s="41"/>
      <c r="T170" s="50"/>
      <c r="U170" s="52"/>
      <c r="V170" s="41"/>
      <c r="W170" s="41"/>
      <c r="X170" s="41"/>
      <c r="Y170" s="42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50"/>
      <c r="AK170" s="52"/>
      <c r="AL170" s="41"/>
      <c r="AM170" s="41"/>
      <c r="AN170" s="41"/>
      <c r="AO170" s="42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50"/>
      <c r="BB170" s="52"/>
      <c r="BC170" s="41"/>
      <c r="BD170" s="41"/>
      <c r="BE170" s="41"/>
      <c r="BF170" s="42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</row>
    <row r="171" spans="1:69" ht="14.4" x14ac:dyDescent="0.3">
      <c r="A171" s="50" t="s">
        <v>48</v>
      </c>
      <c r="B171" s="51">
        <v>9.56</v>
      </c>
      <c r="C171" s="41"/>
      <c r="D171" s="41"/>
      <c r="E171" s="41"/>
      <c r="F171" s="53"/>
      <c r="G171" s="41">
        <v>3.43</v>
      </c>
      <c r="H171" s="41">
        <v>0.23</v>
      </c>
      <c r="I171" s="41">
        <v>0.31</v>
      </c>
      <c r="J171" s="43">
        <f t="shared" si="130"/>
        <v>0.32790800000000003</v>
      </c>
      <c r="K171" s="43">
        <f t="shared" si="131"/>
        <v>2.1988000000000004E-2</v>
      </c>
      <c r="L171" s="43">
        <f t="shared" si="132"/>
        <v>2.9635999999999999E-2</v>
      </c>
      <c r="M171" s="41"/>
      <c r="N171" s="41"/>
      <c r="O171" s="41"/>
      <c r="P171" s="41"/>
      <c r="Q171" s="41"/>
      <c r="R171" s="41"/>
      <c r="S171" s="41"/>
      <c r="T171" s="50"/>
      <c r="U171" s="52"/>
      <c r="V171" s="41"/>
      <c r="W171" s="41"/>
      <c r="X171" s="41"/>
      <c r="Y171" s="53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50"/>
      <c r="AK171" s="52"/>
      <c r="AL171" s="41"/>
      <c r="AM171" s="41"/>
      <c r="AN171" s="41"/>
      <c r="AO171" s="53"/>
      <c r="AP171" s="41"/>
      <c r="AQ171" s="41"/>
      <c r="AR171" s="41"/>
      <c r="AS171" s="41"/>
      <c r="AT171" s="41"/>
      <c r="AU171" s="41"/>
      <c r="AV171" s="41"/>
      <c r="AW171" s="50"/>
      <c r="AX171" s="50"/>
      <c r="AY171" s="50"/>
      <c r="AZ171" s="41"/>
      <c r="BA171" s="50"/>
      <c r="BB171" s="52"/>
      <c r="BC171" s="41"/>
      <c r="BD171" s="41"/>
      <c r="BE171" s="41"/>
      <c r="BF171" s="42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</row>
    <row r="172" spans="1:69" ht="14.4" x14ac:dyDescent="0.3">
      <c r="A172" s="50" t="s">
        <v>40</v>
      </c>
      <c r="B172" s="51">
        <v>9.7899999999999991</v>
      </c>
      <c r="C172" s="41"/>
      <c r="D172" s="41"/>
      <c r="E172" s="41"/>
      <c r="F172" s="42"/>
      <c r="G172" s="41">
        <v>2.74</v>
      </c>
      <c r="H172" s="41">
        <v>0.43</v>
      </c>
      <c r="I172" s="41">
        <v>0.34</v>
      </c>
      <c r="J172" s="43">
        <f t="shared" si="130"/>
        <v>0.26824599999999998</v>
      </c>
      <c r="K172" s="43">
        <f t="shared" si="131"/>
        <v>4.2096999999999996E-2</v>
      </c>
      <c r="L172" s="43">
        <f t="shared" si="132"/>
        <v>3.3285999999999996E-2</v>
      </c>
      <c r="M172" s="45"/>
      <c r="N172" s="46"/>
      <c r="O172" s="41"/>
      <c r="P172" s="41"/>
      <c r="Q172" s="41"/>
      <c r="R172" s="41"/>
      <c r="S172" s="41"/>
      <c r="T172" s="50"/>
      <c r="U172" s="52"/>
      <c r="V172" s="41"/>
      <c r="W172" s="41"/>
      <c r="X172" s="41"/>
      <c r="Y172" s="42"/>
      <c r="Z172" s="41"/>
      <c r="AA172" s="41"/>
      <c r="AB172" s="41"/>
      <c r="AC172" s="46"/>
      <c r="AD172" s="46"/>
      <c r="AE172" s="41"/>
      <c r="AF172" s="41"/>
      <c r="AG172" s="41"/>
      <c r="AH172" s="41"/>
      <c r="AI172" s="41"/>
      <c r="AJ172" s="50"/>
      <c r="AK172" s="45"/>
      <c r="AL172" s="45"/>
      <c r="AM172" s="45"/>
      <c r="AN172" s="45"/>
      <c r="AO172" s="47"/>
      <c r="AP172" s="45"/>
      <c r="AQ172" s="45"/>
      <c r="AR172" s="45"/>
      <c r="AS172" s="46"/>
      <c r="AT172" s="46"/>
      <c r="AU172" s="45"/>
      <c r="AV172" s="45"/>
      <c r="AW172" s="45"/>
      <c r="AX172" s="45"/>
      <c r="AY172" s="45"/>
      <c r="AZ172" s="41"/>
      <c r="BA172" s="50"/>
      <c r="BB172" s="45"/>
      <c r="BC172" s="45"/>
      <c r="BD172" s="45"/>
      <c r="BE172" s="45"/>
      <c r="BF172" s="47"/>
      <c r="BG172" s="45"/>
      <c r="BH172" s="45"/>
      <c r="BI172" s="45"/>
      <c r="BJ172" s="54"/>
      <c r="BK172" s="46"/>
      <c r="BL172" s="45"/>
      <c r="BM172" s="45"/>
      <c r="BN172" s="45"/>
      <c r="BO172" s="45"/>
      <c r="BP172" s="45"/>
      <c r="BQ172" s="41"/>
    </row>
    <row r="173" spans="1:69" ht="14.4" x14ac:dyDescent="0.3">
      <c r="A173" s="50" t="s">
        <v>59</v>
      </c>
      <c r="B173" s="51">
        <v>3.36</v>
      </c>
      <c r="C173" s="41"/>
      <c r="D173" s="41"/>
      <c r="E173" s="41"/>
      <c r="F173" s="42"/>
      <c r="G173" s="41">
        <v>3.04</v>
      </c>
      <c r="H173" s="41">
        <v>0.39</v>
      </c>
      <c r="I173" s="41">
        <v>0.62</v>
      </c>
      <c r="J173" s="43">
        <f t="shared" si="130"/>
        <v>0.102144</v>
      </c>
      <c r="K173" s="43">
        <f t="shared" si="131"/>
        <v>1.3103999999999999E-2</v>
      </c>
      <c r="L173" s="43">
        <f t="shared" si="132"/>
        <v>2.0831999999999996E-2</v>
      </c>
      <c r="M173" s="45"/>
      <c r="N173" s="46"/>
      <c r="O173" s="41"/>
      <c r="P173" s="41"/>
      <c r="Q173" s="41"/>
      <c r="R173" s="41"/>
      <c r="S173" s="41"/>
      <c r="T173" s="50"/>
      <c r="U173" s="52"/>
      <c r="V173" s="41"/>
      <c r="W173" s="41"/>
      <c r="X173" s="41"/>
      <c r="Y173" s="42"/>
      <c r="Z173" s="41"/>
      <c r="AA173" s="41"/>
      <c r="AB173" s="41"/>
      <c r="AC173" s="46"/>
      <c r="AD173" s="46"/>
      <c r="AE173" s="41"/>
      <c r="AF173" s="41"/>
      <c r="AG173" s="41"/>
      <c r="AH173" s="41"/>
      <c r="AI173" s="41"/>
      <c r="AJ173" s="50"/>
      <c r="AK173" s="45"/>
      <c r="AL173" s="45"/>
      <c r="AM173" s="45"/>
      <c r="AN173" s="45"/>
      <c r="AO173" s="47"/>
      <c r="AP173" s="45"/>
      <c r="AQ173" s="45"/>
      <c r="AR173" s="45"/>
      <c r="AS173" s="46"/>
      <c r="AT173" s="46"/>
      <c r="AU173" s="45"/>
      <c r="AV173" s="45"/>
      <c r="AW173" s="45"/>
      <c r="AX173" s="45"/>
      <c r="AY173" s="45"/>
      <c r="AZ173" s="41"/>
      <c r="BA173" s="50"/>
      <c r="BB173" s="45"/>
      <c r="BC173" s="45"/>
      <c r="BD173" s="45"/>
      <c r="BE173" s="45"/>
      <c r="BF173" s="47"/>
      <c r="BG173" s="45"/>
      <c r="BH173" s="45"/>
      <c r="BI173" s="45"/>
      <c r="BJ173" s="54"/>
      <c r="BK173" s="46"/>
      <c r="BL173" s="45"/>
      <c r="BM173" s="45"/>
      <c r="BN173" s="45"/>
      <c r="BO173" s="45"/>
      <c r="BP173" s="45"/>
      <c r="BQ173" s="41"/>
    </row>
    <row r="174" spans="1:69" ht="14.4" x14ac:dyDescent="0.3">
      <c r="A174" s="50" t="s">
        <v>57</v>
      </c>
      <c r="B174" s="51">
        <v>3.47</v>
      </c>
      <c r="C174" s="41"/>
      <c r="D174" s="41"/>
      <c r="E174" s="41"/>
      <c r="F174" s="42"/>
      <c r="G174" s="41">
        <v>4.38</v>
      </c>
      <c r="H174" s="41">
        <v>0.6</v>
      </c>
      <c r="I174" s="41">
        <v>1.51</v>
      </c>
      <c r="J174" s="43">
        <f t="shared" si="130"/>
        <v>0.15198600000000001</v>
      </c>
      <c r="K174" s="43">
        <f t="shared" si="131"/>
        <v>2.0819999999999998E-2</v>
      </c>
      <c r="L174" s="43">
        <f t="shared" si="132"/>
        <v>5.2396999999999999E-2</v>
      </c>
      <c r="M174" s="45"/>
      <c r="N174" s="46"/>
      <c r="O174" s="41"/>
      <c r="P174" s="41"/>
      <c r="Q174" s="41"/>
      <c r="R174" s="41"/>
      <c r="S174" s="41"/>
      <c r="T174" s="50"/>
      <c r="U174" s="52"/>
      <c r="V174" s="41"/>
      <c r="W174" s="41"/>
      <c r="X174" s="41"/>
      <c r="Y174" s="42"/>
      <c r="Z174" s="41"/>
      <c r="AA174" s="41"/>
      <c r="AB174" s="41"/>
      <c r="AC174" s="46"/>
      <c r="AD174" s="46"/>
      <c r="AE174" s="41"/>
      <c r="AF174" s="41"/>
      <c r="AG174" s="41"/>
      <c r="AH174" s="41"/>
      <c r="AI174" s="41"/>
      <c r="AJ174" s="50"/>
      <c r="AK174" s="45"/>
      <c r="AL174" s="45"/>
      <c r="AM174" s="45"/>
      <c r="AN174" s="45"/>
      <c r="AO174" s="47"/>
      <c r="AP174" s="45"/>
      <c r="AQ174" s="45"/>
      <c r="AR174" s="45"/>
      <c r="AS174" s="46"/>
      <c r="AT174" s="46"/>
      <c r="AU174" s="45"/>
      <c r="AV174" s="45"/>
      <c r="AW174" s="45"/>
      <c r="AX174" s="45"/>
      <c r="AY174" s="45"/>
      <c r="AZ174" s="41"/>
      <c r="BA174" s="50"/>
      <c r="BB174" s="45"/>
      <c r="BC174" s="45"/>
      <c r="BD174" s="45"/>
      <c r="BE174" s="45"/>
      <c r="BF174" s="47"/>
      <c r="BG174" s="45"/>
      <c r="BH174" s="45"/>
      <c r="BI174" s="45"/>
      <c r="BJ174" s="54"/>
      <c r="BK174" s="46"/>
      <c r="BL174" s="45"/>
      <c r="BM174" s="45"/>
      <c r="BN174" s="45"/>
      <c r="BO174" s="45"/>
      <c r="BP174" s="45"/>
      <c r="BQ174" s="41"/>
    </row>
    <row r="175" spans="1:69" ht="14.4" x14ac:dyDescent="0.3">
      <c r="A175" s="50" t="s">
        <v>53</v>
      </c>
      <c r="B175" s="51">
        <v>6.27</v>
      </c>
      <c r="C175" s="41"/>
      <c r="D175" s="41"/>
      <c r="E175" s="41"/>
      <c r="F175" s="42"/>
      <c r="G175" s="41">
        <v>5.71</v>
      </c>
      <c r="H175" s="41">
        <v>2.39</v>
      </c>
      <c r="I175" s="41">
        <v>4.01</v>
      </c>
      <c r="J175" s="43">
        <f t="shared" si="130"/>
        <v>0.35801699999999997</v>
      </c>
      <c r="K175" s="43">
        <f t="shared" si="131"/>
        <v>0.14985300000000001</v>
      </c>
      <c r="L175" s="43">
        <f t="shared" si="132"/>
        <v>0.25142699999999996</v>
      </c>
      <c r="M175" s="45"/>
      <c r="N175" s="46"/>
      <c r="O175" s="41"/>
      <c r="P175" s="41"/>
      <c r="Q175" s="41"/>
      <c r="R175" s="41"/>
      <c r="S175" s="41"/>
      <c r="T175" s="50"/>
      <c r="U175" s="52"/>
      <c r="V175" s="41"/>
      <c r="W175" s="41"/>
      <c r="X175" s="41"/>
      <c r="Y175" s="42"/>
      <c r="Z175" s="41"/>
      <c r="AA175" s="41"/>
      <c r="AB175" s="41"/>
      <c r="AC175" s="46"/>
      <c r="AD175" s="46"/>
      <c r="AE175" s="41"/>
      <c r="AF175" s="41"/>
      <c r="AG175" s="41"/>
      <c r="AH175" s="41"/>
      <c r="AI175" s="41"/>
      <c r="AJ175" s="50"/>
      <c r="AK175" s="45"/>
      <c r="AL175" s="45"/>
      <c r="AM175" s="45"/>
      <c r="AN175" s="45"/>
      <c r="AO175" s="47"/>
      <c r="AP175" s="45"/>
      <c r="AQ175" s="45"/>
      <c r="AR175" s="45"/>
      <c r="AS175" s="46"/>
      <c r="AT175" s="46"/>
      <c r="AU175" s="45"/>
      <c r="AV175" s="45"/>
      <c r="AW175" s="45"/>
      <c r="AX175" s="45"/>
      <c r="AY175" s="45"/>
      <c r="AZ175" s="41"/>
      <c r="BA175" s="50"/>
      <c r="BB175" s="45"/>
      <c r="BC175" s="45"/>
      <c r="BD175" s="45"/>
      <c r="BE175" s="45"/>
      <c r="BF175" s="47"/>
      <c r="BG175" s="45"/>
      <c r="BH175" s="45"/>
      <c r="BI175" s="45"/>
      <c r="BJ175" s="54"/>
      <c r="BK175" s="46"/>
      <c r="BL175" s="45"/>
      <c r="BM175" s="45"/>
      <c r="BN175" s="45"/>
      <c r="BO175" s="45"/>
      <c r="BP175" s="45"/>
      <c r="BQ175" s="41"/>
    </row>
    <row r="176" spans="1:69" ht="14.4" x14ac:dyDescent="0.3">
      <c r="A176" s="50" t="s">
        <v>60</v>
      </c>
      <c r="B176" s="51">
        <v>7.4</v>
      </c>
      <c r="C176" s="41"/>
      <c r="D176" s="41"/>
      <c r="E176" s="41"/>
      <c r="F176" s="42"/>
      <c r="G176" s="41">
        <v>2.0499999999999998</v>
      </c>
      <c r="H176" s="41">
        <v>2.15</v>
      </c>
      <c r="I176" s="41">
        <v>4.95</v>
      </c>
      <c r="J176" s="43">
        <f t="shared" si="130"/>
        <v>0.1517</v>
      </c>
      <c r="K176" s="43">
        <f t="shared" si="131"/>
        <v>0.15909999999999999</v>
      </c>
      <c r="L176" s="43">
        <f t="shared" si="132"/>
        <v>0.36630000000000001</v>
      </c>
      <c r="M176" s="45"/>
      <c r="N176" s="46"/>
      <c r="O176" s="41"/>
      <c r="P176" s="41"/>
      <c r="Q176" s="41"/>
      <c r="R176" s="41"/>
      <c r="S176" s="41"/>
      <c r="T176" s="50"/>
      <c r="U176" s="52"/>
      <c r="V176" s="41"/>
      <c r="W176" s="41"/>
      <c r="X176" s="41"/>
      <c r="Y176" s="42"/>
      <c r="Z176" s="41"/>
      <c r="AA176" s="41"/>
      <c r="AB176" s="41"/>
      <c r="AC176" s="46"/>
      <c r="AD176" s="46"/>
      <c r="AE176" s="41"/>
      <c r="AF176" s="41"/>
      <c r="AG176" s="41"/>
      <c r="AH176" s="41"/>
      <c r="AI176" s="41"/>
      <c r="AJ176" s="50"/>
      <c r="AK176" s="45"/>
      <c r="AL176" s="45"/>
      <c r="AM176" s="45"/>
      <c r="AN176" s="45"/>
      <c r="AO176" s="47"/>
      <c r="AP176" s="45"/>
      <c r="AQ176" s="45"/>
      <c r="AR176" s="45"/>
      <c r="AS176" s="46"/>
      <c r="AT176" s="46"/>
      <c r="AU176" s="45"/>
      <c r="AV176" s="45"/>
      <c r="AW176" s="45"/>
      <c r="AX176" s="45"/>
      <c r="AY176" s="45"/>
      <c r="AZ176" s="41"/>
      <c r="BA176" s="50"/>
      <c r="BB176" s="45"/>
      <c r="BC176" s="45"/>
      <c r="BD176" s="45"/>
      <c r="BE176" s="45"/>
      <c r="BF176" s="47"/>
      <c r="BG176" s="45"/>
      <c r="BH176" s="45"/>
      <c r="BI176" s="45"/>
      <c r="BJ176" s="54"/>
      <c r="BK176" s="46"/>
      <c r="BL176" s="45"/>
      <c r="BM176" s="45"/>
      <c r="BN176" s="45"/>
      <c r="BO176" s="45"/>
      <c r="BP176" s="45"/>
      <c r="BQ176" s="41"/>
    </row>
    <row r="177" spans="1:69" ht="14.4" x14ac:dyDescent="0.3">
      <c r="A177" s="50" t="s">
        <v>62</v>
      </c>
      <c r="B177" s="51">
        <v>20.8</v>
      </c>
      <c r="C177" s="41"/>
      <c r="D177" s="41"/>
      <c r="E177" s="41"/>
      <c r="F177" s="42"/>
      <c r="G177" s="41">
        <v>9.2899999999999991</v>
      </c>
      <c r="H177" s="41">
        <v>1.77</v>
      </c>
      <c r="I177" s="41">
        <v>3.61</v>
      </c>
      <c r="J177" s="43">
        <f t="shared" si="130"/>
        <v>1.93232</v>
      </c>
      <c r="K177" s="43">
        <f t="shared" si="131"/>
        <v>0.36816000000000004</v>
      </c>
      <c r="L177" s="43">
        <f t="shared" si="132"/>
        <v>0.75087999999999999</v>
      </c>
      <c r="M177" s="45"/>
      <c r="N177" s="46"/>
      <c r="O177" s="41"/>
      <c r="P177" s="41"/>
      <c r="Q177" s="41"/>
      <c r="R177" s="41"/>
      <c r="S177" s="41"/>
      <c r="T177" s="50"/>
      <c r="U177" s="52"/>
      <c r="V177" s="41"/>
      <c r="W177" s="41"/>
      <c r="X177" s="41"/>
      <c r="Y177" s="42"/>
      <c r="Z177" s="41"/>
      <c r="AA177" s="41"/>
      <c r="AB177" s="41"/>
      <c r="AC177" s="46"/>
      <c r="AD177" s="46"/>
      <c r="AE177" s="41"/>
      <c r="AF177" s="41"/>
      <c r="AG177" s="41"/>
      <c r="AH177" s="41"/>
      <c r="AI177" s="41"/>
      <c r="AJ177" s="50"/>
      <c r="AK177" s="45"/>
      <c r="AL177" s="45"/>
      <c r="AM177" s="45"/>
      <c r="AN177" s="45"/>
      <c r="AO177" s="47"/>
      <c r="AP177" s="45"/>
      <c r="AQ177" s="45"/>
      <c r="AR177" s="45"/>
      <c r="AS177" s="46"/>
      <c r="AT177" s="46"/>
      <c r="AU177" s="45"/>
      <c r="AV177" s="45"/>
      <c r="AW177" s="45"/>
      <c r="AX177" s="45"/>
      <c r="AY177" s="45"/>
      <c r="AZ177" s="41"/>
      <c r="BA177" s="50"/>
      <c r="BB177" s="45"/>
      <c r="BC177" s="45"/>
      <c r="BD177" s="45"/>
      <c r="BE177" s="45"/>
      <c r="BF177" s="47"/>
      <c r="BG177" s="45"/>
      <c r="BH177" s="45"/>
      <c r="BI177" s="45"/>
      <c r="BJ177" s="54"/>
      <c r="BK177" s="46"/>
      <c r="BL177" s="45"/>
      <c r="BM177" s="45"/>
      <c r="BN177" s="45"/>
      <c r="BO177" s="45"/>
      <c r="BP177" s="45"/>
      <c r="BQ177" s="41"/>
    </row>
    <row r="178" spans="1:69" ht="14.4" x14ac:dyDescent="0.3">
      <c r="A178" s="50" t="s">
        <v>51</v>
      </c>
      <c r="B178" s="51">
        <v>13.3</v>
      </c>
      <c r="C178" s="41"/>
      <c r="D178" s="41"/>
      <c r="E178" s="41"/>
      <c r="F178" s="42"/>
      <c r="G178" s="41">
        <v>6.6</v>
      </c>
      <c r="H178" s="41">
        <v>2.4</v>
      </c>
      <c r="I178" s="41">
        <v>3.63</v>
      </c>
      <c r="J178" s="43">
        <f t="shared" si="130"/>
        <v>0.87780000000000002</v>
      </c>
      <c r="K178" s="43">
        <f t="shared" si="131"/>
        <v>0.31920000000000004</v>
      </c>
      <c r="L178" s="43">
        <f t="shared" si="132"/>
        <v>0.48279000000000005</v>
      </c>
      <c r="M178" s="45"/>
      <c r="N178" s="46"/>
      <c r="O178" s="41"/>
      <c r="P178" s="41"/>
      <c r="Q178" s="41"/>
      <c r="R178" s="41"/>
      <c r="S178" s="41"/>
      <c r="T178" s="50"/>
      <c r="U178" s="52"/>
      <c r="V178" s="41"/>
      <c r="W178" s="41"/>
      <c r="X178" s="41"/>
      <c r="Y178" s="42"/>
      <c r="Z178" s="41"/>
      <c r="AA178" s="41"/>
      <c r="AB178" s="41"/>
      <c r="AC178" s="46"/>
      <c r="AD178" s="46"/>
      <c r="AE178" s="41"/>
      <c r="AF178" s="41"/>
      <c r="AG178" s="41"/>
      <c r="AH178" s="41"/>
      <c r="AI178" s="41"/>
      <c r="AJ178" s="50"/>
      <c r="AK178" s="45"/>
      <c r="AL178" s="45"/>
      <c r="AM178" s="45"/>
      <c r="AN178" s="45"/>
      <c r="AO178" s="47"/>
      <c r="AP178" s="45"/>
      <c r="AQ178" s="45"/>
      <c r="AR178" s="45"/>
      <c r="AS178" s="46"/>
      <c r="AT178" s="46"/>
      <c r="AU178" s="45"/>
      <c r="AV178" s="45"/>
      <c r="AW178" s="45"/>
      <c r="AX178" s="45"/>
      <c r="AY178" s="45"/>
      <c r="AZ178" s="41"/>
      <c r="BA178" s="50"/>
      <c r="BB178" s="45"/>
      <c r="BC178" s="45"/>
      <c r="BD178" s="45"/>
      <c r="BE178" s="45"/>
      <c r="BF178" s="47"/>
      <c r="BG178" s="45"/>
      <c r="BH178" s="45"/>
      <c r="BI178" s="45"/>
      <c r="BJ178" s="54"/>
      <c r="BK178" s="46"/>
      <c r="BL178" s="45"/>
      <c r="BM178" s="45"/>
      <c r="BN178" s="45"/>
      <c r="BO178" s="45"/>
      <c r="BP178" s="45"/>
      <c r="BQ178" s="41"/>
    </row>
    <row r="179" spans="1:69" ht="14.4" x14ac:dyDescent="0.3">
      <c r="A179" s="50" t="s">
        <v>50</v>
      </c>
      <c r="B179" s="51">
        <v>16.899999999999999</v>
      </c>
      <c r="C179" s="41"/>
      <c r="D179" s="41"/>
      <c r="E179" s="41"/>
      <c r="F179" s="42"/>
      <c r="G179" s="41">
        <v>8.89</v>
      </c>
      <c r="H179" s="41">
        <v>2.06</v>
      </c>
      <c r="I179" s="41">
        <v>5.1100000000000003</v>
      </c>
      <c r="J179" s="43">
        <f t="shared" si="130"/>
        <v>1.5024099999999998</v>
      </c>
      <c r="K179" s="43">
        <f t="shared" si="131"/>
        <v>0.34814000000000001</v>
      </c>
      <c r="L179" s="43">
        <f t="shared" si="132"/>
        <v>0.86358999999999997</v>
      </c>
      <c r="M179" s="45"/>
      <c r="N179" s="46"/>
      <c r="O179" s="41"/>
      <c r="P179" s="41"/>
      <c r="Q179" s="41"/>
      <c r="R179" s="41"/>
      <c r="S179" s="41"/>
      <c r="T179" s="50"/>
      <c r="U179" s="52"/>
      <c r="V179" s="41"/>
      <c r="W179" s="41"/>
      <c r="X179" s="41"/>
      <c r="Y179" s="42"/>
      <c r="Z179" s="41"/>
      <c r="AA179" s="41"/>
      <c r="AB179" s="41"/>
      <c r="AC179" s="46"/>
      <c r="AD179" s="46"/>
      <c r="AE179" s="41"/>
      <c r="AF179" s="41"/>
      <c r="AG179" s="41"/>
      <c r="AH179" s="41"/>
      <c r="AI179" s="41"/>
      <c r="AJ179" s="50"/>
      <c r="AK179" s="45"/>
      <c r="AL179" s="45"/>
      <c r="AM179" s="45"/>
      <c r="AN179" s="45"/>
      <c r="AO179" s="47"/>
      <c r="AP179" s="45"/>
      <c r="AQ179" s="45"/>
      <c r="AR179" s="45"/>
      <c r="AS179" s="46"/>
      <c r="AT179" s="46"/>
      <c r="AU179" s="45"/>
      <c r="AV179" s="45"/>
      <c r="AW179" s="45"/>
      <c r="AX179" s="45"/>
      <c r="AY179" s="45"/>
      <c r="AZ179" s="41"/>
      <c r="BA179" s="50"/>
      <c r="BB179" s="45"/>
      <c r="BC179" s="45"/>
      <c r="BD179" s="45"/>
      <c r="BE179" s="45"/>
      <c r="BF179" s="47"/>
      <c r="BG179" s="45"/>
      <c r="BH179" s="45"/>
      <c r="BI179" s="45"/>
      <c r="BJ179" s="54"/>
      <c r="BK179" s="46"/>
      <c r="BL179" s="45"/>
      <c r="BM179" s="45"/>
      <c r="BN179" s="45"/>
      <c r="BO179" s="45"/>
      <c r="BP179" s="45"/>
      <c r="BQ179" s="41"/>
    </row>
    <row r="180" spans="1:69" ht="14.4" x14ac:dyDescent="0.3">
      <c r="A180" s="50" t="s">
        <v>52</v>
      </c>
      <c r="B180" s="51">
        <v>10.7</v>
      </c>
      <c r="C180" s="41"/>
      <c r="D180" s="41"/>
      <c r="E180" s="41"/>
      <c r="F180" s="42"/>
      <c r="G180" s="41">
        <v>3.09</v>
      </c>
      <c r="H180" s="41">
        <v>1.63</v>
      </c>
      <c r="I180" s="41">
        <v>3.82</v>
      </c>
      <c r="J180" s="43">
        <f t="shared" si="130"/>
        <v>0.33062999999999998</v>
      </c>
      <c r="K180" s="43">
        <f t="shared" si="131"/>
        <v>0.17440999999999998</v>
      </c>
      <c r="L180" s="43">
        <f t="shared" si="132"/>
        <v>0.40873999999999994</v>
      </c>
      <c r="M180" s="45"/>
      <c r="N180" s="46"/>
      <c r="O180" s="41"/>
      <c r="P180" s="41"/>
      <c r="Q180" s="41"/>
      <c r="R180" s="41"/>
      <c r="S180" s="41"/>
      <c r="T180" s="50"/>
      <c r="U180" s="52"/>
      <c r="V180" s="41"/>
      <c r="W180" s="41"/>
      <c r="X180" s="41"/>
      <c r="Y180" s="42"/>
      <c r="Z180" s="41"/>
      <c r="AA180" s="41"/>
      <c r="AB180" s="41"/>
      <c r="AC180" s="46"/>
      <c r="AD180" s="46"/>
      <c r="AE180" s="41"/>
      <c r="AF180" s="41"/>
      <c r="AG180" s="41"/>
      <c r="AH180" s="41"/>
      <c r="AI180" s="41"/>
      <c r="AJ180" s="50"/>
      <c r="AK180" s="45"/>
      <c r="AL180" s="45"/>
      <c r="AM180" s="45"/>
      <c r="AN180" s="45"/>
      <c r="AO180" s="47"/>
      <c r="AP180" s="45"/>
      <c r="AQ180" s="45"/>
      <c r="AR180" s="45"/>
      <c r="AS180" s="46"/>
      <c r="AT180" s="46"/>
      <c r="AU180" s="45"/>
      <c r="AV180" s="45"/>
      <c r="AW180" s="45"/>
      <c r="AX180" s="45"/>
      <c r="AY180" s="45"/>
      <c r="AZ180" s="41"/>
      <c r="BA180" s="50"/>
      <c r="BB180" s="45"/>
      <c r="BC180" s="45"/>
      <c r="BD180" s="45"/>
      <c r="BE180" s="45"/>
      <c r="BF180" s="47"/>
      <c r="BG180" s="45"/>
      <c r="BH180" s="45"/>
      <c r="BI180" s="45"/>
      <c r="BJ180" s="54"/>
      <c r="BK180" s="46"/>
      <c r="BL180" s="45"/>
      <c r="BM180" s="45"/>
      <c r="BN180" s="45"/>
      <c r="BO180" s="45"/>
      <c r="BP180" s="45"/>
      <c r="BQ180" s="41"/>
    </row>
    <row r="181" spans="1:69" ht="14.4" x14ac:dyDescent="0.3">
      <c r="A181" s="50" t="s">
        <v>63</v>
      </c>
      <c r="B181" s="51">
        <v>11.4</v>
      </c>
      <c r="C181" s="41"/>
      <c r="D181" s="41"/>
      <c r="E181" s="41"/>
      <c r="F181" s="42"/>
      <c r="G181" s="41">
        <v>16.899999999999999</v>
      </c>
      <c r="H181" s="41">
        <v>4.72</v>
      </c>
      <c r="I181" s="41">
        <v>10.5</v>
      </c>
      <c r="J181" s="43">
        <f t="shared" si="130"/>
        <v>1.9265999999999999</v>
      </c>
      <c r="K181" s="43">
        <f t="shared" si="131"/>
        <v>0.53808</v>
      </c>
      <c r="L181" s="43">
        <f t="shared" si="132"/>
        <v>1.1970000000000001</v>
      </c>
      <c r="M181" s="45"/>
      <c r="N181" s="46"/>
      <c r="O181" s="41"/>
      <c r="P181" s="41"/>
      <c r="Q181" s="41"/>
      <c r="R181" s="41"/>
      <c r="S181" s="41"/>
      <c r="T181" s="50"/>
      <c r="U181" s="52"/>
      <c r="V181" s="41"/>
      <c r="W181" s="41"/>
      <c r="X181" s="41"/>
      <c r="Y181" s="42"/>
      <c r="Z181" s="41"/>
      <c r="AA181" s="41"/>
      <c r="AB181" s="41"/>
      <c r="AC181" s="46"/>
      <c r="AD181" s="46"/>
      <c r="AE181" s="41"/>
      <c r="AF181" s="41"/>
      <c r="AG181" s="41"/>
      <c r="AH181" s="41"/>
      <c r="AI181" s="41"/>
      <c r="AJ181" s="50"/>
      <c r="AK181" s="45"/>
      <c r="AL181" s="45"/>
      <c r="AM181" s="45"/>
      <c r="AN181" s="45"/>
      <c r="AO181" s="47"/>
      <c r="AP181" s="45"/>
      <c r="AQ181" s="45"/>
      <c r="AR181" s="45"/>
      <c r="AS181" s="46"/>
      <c r="AT181" s="46"/>
      <c r="AU181" s="45"/>
      <c r="AV181" s="45"/>
      <c r="AW181" s="45"/>
      <c r="AX181" s="45"/>
      <c r="AY181" s="45"/>
      <c r="AZ181" s="41"/>
      <c r="BA181" s="50"/>
      <c r="BB181" s="45"/>
      <c r="BC181" s="45"/>
      <c r="BD181" s="45"/>
      <c r="BE181" s="45"/>
      <c r="BF181" s="47"/>
      <c r="BG181" s="45"/>
      <c r="BH181" s="45"/>
      <c r="BI181" s="45"/>
      <c r="BJ181" s="54"/>
      <c r="BK181" s="46"/>
      <c r="BL181" s="45"/>
      <c r="BM181" s="45"/>
      <c r="BN181" s="45"/>
      <c r="BO181" s="45"/>
      <c r="BP181" s="45"/>
      <c r="BQ181" s="41"/>
    </row>
    <row r="182" spans="1:69" ht="14.4" x14ac:dyDescent="0.3">
      <c r="A182" s="50" t="s">
        <v>49</v>
      </c>
      <c r="B182" s="51">
        <v>8.75</v>
      </c>
      <c r="C182" s="41"/>
      <c r="D182" s="41"/>
      <c r="E182" s="41"/>
      <c r="F182" s="42"/>
      <c r="G182" s="41">
        <v>8.86</v>
      </c>
      <c r="H182" s="41">
        <v>2.0699999999999998</v>
      </c>
      <c r="I182" s="41">
        <v>2.5</v>
      </c>
      <c r="J182" s="43">
        <f t="shared" si="130"/>
        <v>0.77524999999999988</v>
      </c>
      <c r="K182" s="43">
        <f t="shared" si="131"/>
        <v>0.18112499999999998</v>
      </c>
      <c r="L182" s="43">
        <f t="shared" si="132"/>
        <v>0.21875</v>
      </c>
      <c r="M182" s="45"/>
      <c r="N182" s="46"/>
      <c r="O182" s="41"/>
      <c r="P182" s="41"/>
      <c r="Q182" s="41"/>
      <c r="R182" s="41"/>
      <c r="S182" s="41"/>
      <c r="T182" s="50"/>
      <c r="U182" s="52"/>
      <c r="V182" s="41"/>
      <c r="W182" s="41"/>
      <c r="X182" s="41"/>
      <c r="Y182" s="42"/>
      <c r="Z182" s="41"/>
      <c r="AA182" s="41"/>
      <c r="AB182" s="41"/>
      <c r="AC182" s="46"/>
      <c r="AD182" s="46"/>
      <c r="AE182" s="41"/>
      <c r="AF182" s="41"/>
      <c r="AG182" s="41"/>
      <c r="AH182" s="41"/>
      <c r="AI182" s="41"/>
      <c r="AJ182" s="50"/>
      <c r="AK182" s="45"/>
      <c r="AL182" s="45"/>
      <c r="AM182" s="45"/>
      <c r="AN182" s="45"/>
      <c r="AO182" s="47"/>
      <c r="AP182" s="45"/>
      <c r="AQ182" s="45"/>
      <c r="AR182" s="45"/>
      <c r="AS182" s="46"/>
      <c r="AT182" s="46"/>
      <c r="AU182" s="45"/>
      <c r="AV182" s="45"/>
      <c r="AW182" s="45"/>
      <c r="AX182" s="45"/>
      <c r="AY182" s="45"/>
      <c r="AZ182" s="41"/>
      <c r="BA182" s="50"/>
      <c r="BB182" s="45"/>
      <c r="BC182" s="45"/>
      <c r="BD182" s="45"/>
      <c r="BE182" s="45"/>
      <c r="BF182" s="47"/>
      <c r="BG182" s="45"/>
      <c r="BH182" s="45"/>
      <c r="BI182" s="45"/>
      <c r="BJ182" s="54"/>
      <c r="BK182" s="46"/>
      <c r="BL182" s="45"/>
      <c r="BM182" s="45"/>
      <c r="BN182" s="45"/>
      <c r="BO182" s="45"/>
      <c r="BP182" s="45"/>
      <c r="BQ182" s="41"/>
    </row>
    <row r="183" spans="1:69" ht="14.4" x14ac:dyDescent="0.3">
      <c r="A183" s="50" t="s">
        <v>44</v>
      </c>
      <c r="B183" s="51">
        <v>40.5</v>
      </c>
      <c r="C183" s="41"/>
      <c r="D183" s="41"/>
      <c r="E183" s="41"/>
      <c r="F183" s="42"/>
      <c r="G183" s="41">
        <v>1.61</v>
      </c>
      <c r="H183" s="41">
        <v>4.95</v>
      </c>
      <c r="I183" s="41">
        <v>0.95</v>
      </c>
      <c r="J183" s="43">
        <f t="shared" si="130"/>
        <v>0.65205000000000002</v>
      </c>
      <c r="K183" s="43">
        <f t="shared" si="131"/>
        <v>2.00475</v>
      </c>
      <c r="L183" s="43">
        <f t="shared" si="132"/>
        <v>0.38475000000000004</v>
      </c>
      <c r="M183" s="45"/>
      <c r="N183" s="46"/>
      <c r="O183" s="41"/>
      <c r="P183" s="41"/>
      <c r="Q183" s="41"/>
      <c r="R183" s="41"/>
      <c r="S183" s="41"/>
      <c r="T183" s="50"/>
      <c r="U183" s="52"/>
      <c r="V183" s="41"/>
      <c r="W183" s="41"/>
      <c r="X183" s="41"/>
      <c r="Y183" s="42"/>
      <c r="Z183" s="41"/>
      <c r="AA183" s="41"/>
      <c r="AB183" s="41"/>
      <c r="AC183" s="46"/>
      <c r="AD183" s="46"/>
      <c r="AE183" s="41"/>
      <c r="AF183" s="41"/>
      <c r="AG183" s="41"/>
      <c r="AH183" s="41"/>
      <c r="AI183" s="41"/>
      <c r="AJ183" s="50"/>
      <c r="AK183" s="45"/>
      <c r="AL183" s="45"/>
      <c r="AM183" s="45"/>
      <c r="AN183" s="45"/>
      <c r="AO183" s="47"/>
      <c r="AP183" s="45"/>
      <c r="AQ183" s="45"/>
      <c r="AR183" s="45"/>
      <c r="AS183" s="46"/>
      <c r="AT183" s="46"/>
      <c r="AU183" s="45"/>
      <c r="AV183" s="45"/>
      <c r="AW183" s="45"/>
      <c r="AX183" s="45"/>
      <c r="AY183" s="45"/>
      <c r="AZ183" s="41"/>
      <c r="BA183" s="50"/>
      <c r="BB183" s="45"/>
      <c r="BC183" s="45"/>
      <c r="BD183" s="45"/>
      <c r="BE183" s="45"/>
      <c r="BF183" s="47"/>
      <c r="BG183" s="45"/>
      <c r="BH183" s="45"/>
      <c r="BI183" s="45"/>
      <c r="BJ183" s="54"/>
      <c r="BK183" s="46"/>
      <c r="BL183" s="45"/>
      <c r="BM183" s="45"/>
      <c r="BN183" s="45"/>
      <c r="BO183" s="45"/>
      <c r="BP183" s="45"/>
      <c r="BQ183" s="41"/>
    </row>
    <row r="184" spans="1:69" ht="14.4" x14ac:dyDescent="0.3">
      <c r="A184" s="50" t="s">
        <v>45</v>
      </c>
      <c r="B184" s="55">
        <v>21.7</v>
      </c>
      <c r="C184" s="41"/>
      <c r="D184" s="41"/>
      <c r="E184" s="41"/>
      <c r="F184" s="42"/>
      <c r="G184" s="41">
        <v>2.06</v>
      </c>
      <c r="H184" s="41">
        <v>7.34</v>
      </c>
      <c r="I184" s="41">
        <v>3.77</v>
      </c>
      <c r="J184" s="43">
        <f t="shared" si="130"/>
        <v>0.44701999999999997</v>
      </c>
      <c r="K184" s="43">
        <f t="shared" si="131"/>
        <v>1.5927799999999999</v>
      </c>
      <c r="L184" s="43">
        <f t="shared" si="132"/>
        <v>0.81808999999999998</v>
      </c>
      <c r="M184" s="45"/>
      <c r="N184" s="46"/>
      <c r="O184" s="41"/>
      <c r="P184" s="41"/>
      <c r="Q184" s="41"/>
      <c r="R184" s="41"/>
      <c r="S184" s="41"/>
      <c r="T184" s="50"/>
      <c r="U184" s="52"/>
      <c r="V184" s="41"/>
      <c r="W184" s="41"/>
      <c r="X184" s="41"/>
      <c r="Y184" s="42"/>
      <c r="Z184" s="41"/>
      <c r="AA184" s="41"/>
      <c r="AB184" s="41"/>
      <c r="AC184" s="46"/>
      <c r="AD184" s="46"/>
      <c r="AE184" s="41"/>
      <c r="AF184" s="41"/>
      <c r="AG184" s="41"/>
      <c r="AH184" s="41"/>
      <c r="AI184" s="41"/>
      <c r="AJ184" s="50"/>
      <c r="AK184" s="45"/>
      <c r="AL184" s="45"/>
      <c r="AM184" s="45"/>
      <c r="AN184" s="45"/>
      <c r="AO184" s="47"/>
      <c r="AP184" s="45"/>
      <c r="AQ184" s="45"/>
      <c r="AR184" s="45"/>
      <c r="AS184" s="46"/>
      <c r="AT184" s="46"/>
      <c r="AU184" s="45"/>
      <c r="AV184" s="45"/>
      <c r="AW184" s="45"/>
      <c r="AX184" s="45"/>
      <c r="AY184" s="45"/>
      <c r="AZ184" s="41"/>
      <c r="BA184" s="50"/>
      <c r="BB184" s="45"/>
      <c r="BC184" s="45"/>
      <c r="BD184" s="45"/>
      <c r="BE184" s="45"/>
      <c r="BF184" s="47"/>
      <c r="BG184" s="45"/>
      <c r="BH184" s="45"/>
      <c r="BI184" s="45"/>
      <c r="BJ184" s="54"/>
      <c r="BK184" s="46"/>
      <c r="BL184" s="45"/>
      <c r="BM184" s="45"/>
      <c r="BN184" s="45"/>
      <c r="BO184" s="45"/>
      <c r="BP184" s="45"/>
      <c r="BQ184" s="41"/>
    </row>
    <row r="185" spans="1:69" ht="14.4" x14ac:dyDescent="0.3">
      <c r="A185" s="50" t="s">
        <v>48</v>
      </c>
      <c r="B185" s="51">
        <v>34.700000000000003</v>
      </c>
      <c r="C185" s="41"/>
      <c r="D185" s="41"/>
      <c r="E185" s="41"/>
      <c r="F185" s="42"/>
      <c r="G185" s="41">
        <v>1.83</v>
      </c>
      <c r="H185" s="41">
        <v>9.61</v>
      </c>
      <c r="I185" s="41">
        <v>8.5000000000000006E-2</v>
      </c>
      <c r="J185" s="43">
        <f t="shared" si="130"/>
        <v>0.63501000000000007</v>
      </c>
      <c r="K185" s="43">
        <f t="shared" si="131"/>
        <v>3.33467</v>
      </c>
      <c r="L185" s="43">
        <f t="shared" si="132"/>
        <v>2.9495000000000004E-2</v>
      </c>
      <c r="M185" s="45"/>
      <c r="N185" s="46"/>
      <c r="O185" s="41"/>
      <c r="P185" s="41"/>
      <c r="Q185" s="41"/>
      <c r="R185" s="41"/>
      <c r="S185" s="41"/>
      <c r="T185" s="50"/>
      <c r="U185" s="52"/>
      <c r="V185" s="41"/>
      <c r="W185" s="41"/>
      <c r="X185" s="41"/>
      <c r="Y185" s="42"/>
      <c r="Z185" s="41"/>
      <c r="AA185" s="41"/>
      <c r="AB185" s="41"/>
      <c r="AC185" s="46"/>
      <c r="AD185" s="46"/>
      <c r="AE185" s="41"/>
      <c r="AF185" s="41"/>
      <c r="AG185" s="41"/>
      <c r="AH185" s="41"/>
      <c r="AI185" s="41"/>
      <c r="AJ185" s="50"/>
      <c r="AK185" s="45"/>
      <c r="AL185" s="45"/>
      <c r="AM185" s="45"/>
      <c r="AN185" s="45"/>
      <c r="AO185" s="47"/>
      <c r="AP185" s="45"/>
      <c r="AQ185" s="45"/>
      <c r="AR185" s="45"/>
      <c r="AS185" s="46"/>
      <c r="AT185" s="46"/>
      <c r="AU185" s="45"/>
      <c r="AV185" s="45"/>
      <c r="AW185" s="45"/>
      <c r="AX185" s="45"/>
      <c r="AY185" s="45"/>
      <c r="AZ185" s="41"/>
      <c r="BA185" s="50"/>
      <c r="BB185" s="45"/>
      <c r="BC185" s="45"/>
      <c r="BD185" s="45"/>
      <c r="BE185" s="45"/>
      <c r="BF185" s="47"/>
      <c r="BG185" s="45"/>
      <c r="BH185" s="45"/>
      <c r="BI185" s="45"/>
      <c r="BJ185" s="54"/>
      <c r="BK185" s="46"/>
      <c r="BL185" s="45"/>
      <c r="BM185" s="45"/>
      <c r="BN185" s="45"/>
      <c r="BO185" s="45"/>
      <c r="BP185" s="45"/>
      <c r="BQ185" s="41"/>
    </row>
    <row r="186" spans="1:69" ht="14.4" x14ac:dyDescent="0.3">
      <c r="A186" s="50" t="s">
        <v>46</v>
      </c>
      <c r="B186" s="51">
        <v>45.9</v>
      </c>
      <c r="C186" s="41"/>
      <c r="D186" s="41"/>
      <c r="E186" s="41"/>
      <c r="F186" s="42"/>
      <c r="G186" s="41">
        <v>1.57</v>
      </c>
      <c r="H186" s="41">
        <v>3.95</v>
      </c>
      <c r="I186" s="41">
        <v>1.08</v>
      </c>
      <c r="J186" s="43">
        <f t="shared" si="130"/>
        <v>0.72062999999999999</v>
      </c>
      <c r="K186" s="43">
        <f t="shared" si="131"/>
        <v>1.8130500000000001</v>
      </c>
      <c r="L186" s="43">
        <f t="shared" si="132"/>
        <v>0.49572000000000005</v>
      </c>
      <c r="M186" s="45"/>
      <c r="N186" s="46"/>
      <c r="O186" s="41"/>
      <c r="P186" s="41"/>
      <c r="Q186" s="41"/>
      <c r="R186" s="41"/>
      <c r="S186" s="41"/>
      <c r="T186" s="50"/>
      <c r="U186" s="52"/>
      <c r="V186" s="41"/>
      <c r="W186" s="41"/>
      <c r="X186" s="41"/>
      <c r="Y186" s="42"/>
      <c r="Z186" s="41"/>
      <c r="AA186" s="41"/>
      <c r="AB186" s="41"/>
      <c r="AC186" s="46"/>
      <c r="AD186" s="46"/>
      <c r="AE186" s="41"/>
      <c r="AF186" s="41"/>
      <c r="AG186" s="41"/>
      <c r="AH186" s="41"/>
      <c r="AI186" s="41"/>
      <c r="AJ186" s="50"/>
      <c r="AK186" s="45"/>
      <c r="AL186" s="45"/>
      <c r="AM186" s="45"/>
      <c r="AN186" s="45"/>
      <c r="AO186" s="47"/>
      <c r="AP186" s="45"/>
      <c r="AQ186" s="45"/>
      <c r="AR186" s="45"/>
      <c r="AS186" s="46"/>
      <c r="AT186" s="46"/>
      <c r="AU186" s="45"/>
      <c r="AV186" s="45"/>
      <c r="AW186" s="45"/>
      <c r="AX186" s="45"/>
      <c r="AY186" s="45"/>
      <c r="AZ186" s="41"/>
      <c r="BA186" s="50"/>
      <c r="BB186" s="45"/>
      <c r="BC186" s="45"/>
      <c r="BD186" s="45"/>
      <c r="BE186" s="45"/>
      <c r="BF186" s="47"/>
      <c r="BG186" s="45"/>
      <c r="BH186" s="45"/>
      <c r="BI186" s="45"/>
      <c r="BJ186" s="54"/>
      <c r="BK186" s="46"/>
      <c r="BL186" s="45"/>
      <c r="BM186" s="45"/>
      <c r="BN186" s="45"/>
      <c r="BO186" s="45"/>
      <c r="BP186" s="45"/>
      <c r="BQ186" s="41"/>
    </row>
    <row r="187" spans="1:69" ht="14.4" x14ac:dyDescent="0.3">
      <c r="A187" s="50" t="s">
        <v>43</v>
      </c>
      <c r="B187" s="51">
        <v>49.7</v>
      </c>
      <c r="C187" s="41"/>
      <c r="D187" s="41"/>
      <c r="E187" s="41"/>
      <c r="F187" s="42"/>
      <c r="G187" s="41">
        <v>2.71</v>
      </c>
      <c r="H187" s="41">
        <v>7.36</v>
      </c>
      <c r="I187" s="41">
        <v>0.15</v>
      </c>
      <c r="J187" s="43">
        <f t="shared" si="130"/>
        <v>1.34687</v>
      </c>
      <c r="K187" s="43">
        <f t="shared" si="131"/>
        <v>3.6579200000000003</v>
      </c>
      <c r="L187" s="43">
        <f t="shared" si="132"/>
        <v>7.4550000000000005E-2</v>
      </c>
      <c r="M187" s="45"/>
      <c r="N187" s="46"/>
      <c r="O187" s="41"/>
      <c r="P187" s="41"/>
      <c r="Q187" s="41"/>
      <c r="R187" s="41"/>
      <c r="S187" s="41"/>
      <c r="T187" s="50"/>
      <c r="U187" s="52"/>
      <c r="V187" s="41"/>
      <c r="W187" s="41"/>
      <c r="X187" s="41"/>
      <c r="Y187" s="42"/>
      <c r="Z187" s="41"/>
      <c r="AA187" s="41"/>
      <c r="AB187" s="41"/>
      <c r="AC187" s="46"/>
      <c r="AD187" s="46"/>
      <c r="AE187" s="41"/>
      <c r="AF187" s="41"/>
      <c r="AG187" s="41"/>
      <c r="AH187" s="41"/>
      <c r="AI187" s="41"/>
      <c r="AJ187" s="50"/>
      <c r="AK187" s="45"/>
      <c r="AL187" s="45"/>
      <c r="AM187" s="45"/>
      <c r="AN187" s="45"/>
      <c r="AO187" s="47"/>
      <c r="AP187" s="45"/>
      <c r="AQ187" s="45"/>
      <c r="AR187" s="45"/>
      <c r="AS187" s="46"/>
      <c r="AT187" s="46"/>
      <c r="AU187" s="45"/>
      <c r="AV187" s="45"/>
      <c r="AW187" s="45"/>
      <c r="AX187" s="45"/>
      <c r="AY187" s="45"/>
      <c r="AZ187" s="41"/>
      <c r="BA187" s="50"/>
      <c r="BB187" s="45"/>
      <c r="BC187" s="45"/>
      <c r="BD187" s="45"/>
      <c r="BE187" s="45"/>
      <c r="BF187" s="47"/>
      <c r="BG187" s="45"/>
      <c r="BH187" s="45"/>
      <c r="BI187" s="45"/>
      <c r="BJ187" s="54"/>
      <c r="BK187" s="46"/>
      <c r="BL187" s="45"/>
      <c r="BM187" s="45"/>
      <c r="BN187" s="45"/>
      <c r="BO187" s="45"/>
      <c r="BP187" s="45"/>
      <c r="BQ187" s="41"/>
    </row>
    <row r="188" spans="1:69" ht="14.4" x14ac:dyDescent="0.3">
      <c r="A188" s="50" t="s">
        <v>42</v>
      </c>
      <c r="B188" s="51">
        <v>24.2</v>
      </c>
      <c r="C188" s="41"/>
      <c r="D188" s="41"/>
      <c r="E188" s="41"/>
      <c r="F188" s="42"/>
      <c r="G188" s="41">
        <v>7.28</v>
      </c>
      <c r="H188" s="41">
        <v>3.07</v>
      </c>
      <c r="I188" s="41">
        <v>1.1399999999999999</v>
      </c>
      <c r="J188" s="43">
        <f t="shared" si="130"/>
        <v>1.7617599999999998</v>
      </c>
      <c r="K188" s="43">
        <f t="shared" si="131"/>
        <v>0.74293999999999993</v>
      </c>
      <c r="L188" s="43">
        <f t="shared" si="132"/>
        <v>0.27587999999999996</v>
      </c>
      <c r="M188" s="45"/>
      <c r="N188" s="46"/>
      <c r="O188" s="41"/>
      <c r="P188" s="41"/>
      <c r="Q188" s="41"/>
      <c r="R188" s="41"/>
      <c r="S188" s="41"/>
      <c r="T188" s="50"/>
      <c r="U188" s="52"/>
      <c r="V188" s="41"/>
      <c r="W188" s="41"/>
      <c r="X188" s="41"/>
      <c r="Y188" s="42"/>
      <c r="Z188" s="41"/>
      <c r="AA188" s="41"/>
      <c r="AB188" s="41"/>
      <c r="AC188" s="46"/>
      <c r="AD188" s="46"/>
      <c r="AE188" s="41"/>
      <c r="AF188" s="41"/>
      <c r="AG188" s="41"/>
      <c r="AH188" s="41"/>
      <c r="AI188" s="41"/>
      <c r="AJ188" s="50"/>
      <c r="AK188" s="45"/>
      <c r="AL188" s="45"/>
      <c r="AM188" s="45"/>
      <c r="AN188" s="45"/>
      <c r="AO188" s="47"/>
      <c r="AP188" s="45"/>
      <c r="AQ188" s="45"/>
      <c r="AR188" s="45"/>
      <c r="AS188" s="46"/>
      <c r="AT188" s="46"/>
      <c r="AU188" s="45"/>
      <c r="AV188" s="45"/>
      <c r="AW188" s="45"/>
      <c r="AX188" s="45"/>
      <c r="AY188" s="45"/>
      <c r="AZ188" s="41"/>
      <c r="BA188" s="50"/>
      <c r="BB188" s="45"/>
      <c r="BC188" s="45"/>
      <c r="BD188" s="45"/>
      <c r="BE188" s="45"/>
      <c r="BF188" s="47"/>
      <c r="BG188" s="45"/>
      <c r="BH188" s="45"/>
      <c r="BI188" s="45"/>
      <c r="BJ188" s="54"/>
      <c r="BK188" s="46"/>
      <c r="BL188" s="45"/>
      <c r="BM188" s="45"/>
      <c r="BN188" s="45"/>
      <c r="BO188" s="45"/>
      <c r="BP188" s="45"/>
      <c r="BQ188" s="41"/>
    </row>
    <row r="189" spans="1:69" ht="14.4" x14ac:dyDescent="0.3">
      <c r="A189" s="50" t="s">
        <v>47</v>
      </c>
      <c r="B189" s="51">
        <v>45.9</v>
      </c>
      <c r="C189" s="41"/>
      <c r="D189" s="41"/>
      <c r="E189" s="41"/>
      <c r="F189" s="42"/>
      <c r="G189" s="41">
        <v>7.69</v>
      </c>
      <c r="H189" s="41">
        <v>24.5</v>
      </c>
      <c r="I189" s="41">
        <v>2.0299999999999998</v>
      </c>
      <c r="J189" s="43">
        <f t="shared" si="130"/>
        <v>3.5297100000000001</v>
      </c>
      <c r="K189" s="43">
        <f t="shared" si="131"/>
        <v>11.2455</v>
      </c>
      <c r="L189" s="43">
        <f t="shared" si="132"/>
        <v>0.93176999999999988</v>
      </c>
      <c r="M189" s="45"/>
      <c r="N189" s="46"/>
      <c r="O189" s="41"/>
      <c r="P189" s="41"/>
      <c r="Q189" s="41"/>
      <c r="R189" s="41"/>
      <c r="S189" s="41"/>
      <c r="T189" s="50"/>
      <c r="U189" s="52"/>
      <c r="V189" s="41"/>
      <c r="W189" s="41"/>
      <c r="X189" s="41"/>
      <c r="Y189" s="42"/>
      <c r="Z189" s="41"/>
      <c r="AA189" s="41"/>
      <c r="AB189" s="41"/>
      <c r="AC189" s="46"/>
      <c r="AD189" s="46"/>
      <c r="AE189" s="41"/>
      <c r="AF189" s="41"/>
      <c r="AG189" s="41"/>
      <c r="AH189" s="41"/>
      <c r="AI189" s="41"/>
      <c r="AJ189" s="50"/>
      <c r="AK189" s="45"/>
      <c r="AL189" s="45"/>
      <c r="AM189" s="45"/>
      <c r="AN189" s="45"/>
      <c r="AO189" s="47"/>
      <c r="AP189" s="45"/>
      <c r="AQ189" s="45"/>
      <c r="AR189" s="45"/>
      <c r="AS189" s="46"/>
      <c r="AT189" s="46"/>
      <c r="AU189" s="45"/>
      <c r="AV189" s="45"/>
      <c r="AW189" s="45"/>
      <c r="AX189" s="45"/>
      <c r="AY189" s="45"/>
      <c r="AZ189" s="41"/>
      <c r="BA189" s="50"/>
      <c r="BB189" s="45"/>
      <c r="BC189" s="45"/>
      <c r="BD189" s="45"/>
      <c r="BE189" s="45"/>
      <c r="BF189" s="47"/>
      <c r="BG189" s="45"/>
      <c r="BH189" s="45"/>
      <c r="BI189" s="45"/>
      <c r="BJ189" s="54"/>
      <c r="BK189" s="46"/>
      <c r="BL189" s="45"/>
      <c r="BM189" s="45"/>
      <c r="BN189" s="45"/>
      <c r="BO189" s="45"/>
      <c r="BP189" s="45"/>
      <c r="BQ189" s="41"/>
    </row>
    <row r="190" spans="1:69" ht="14.4" x14ac:dyDescent="0.3">
      <c r="A190" s="50" t="s">
        <v>41</v>
      </c>
      <c r="B190" s="51">
        <v>28.7</v>
      </c>
      <c r="C190" s="41"/>
      <c r="D190" s="41"/>
      <c r="E190" s="41"/>
      <c r="F190" s="42"/>
      <c r="G190" s="41">
        <v>2.76</v>
      </c>
      <c r="H190" s="41">
        <v>9.49</v>
      </c>
      <c r="I190" s="41">
        <v>0.62</v>
      </c>
      <c r="J190" s="43">
        <f t="shared" si="130"/>
        <v>0.79211999999999994</v>
      </c>
      <c r="K190" s="43">
        <f t="shared" si="131"/>
        <v>2.72363</v>
      </c>
      <c r="L190" s="43">
        <f t="shared" si="132"/>
        <v>0.17794000000000001</v>
      </c>
      <c r="M190" s="45"/>
      <c r="N190" s="46"/>
      <c r="O190" s="41"/>
      <c r="P190" s="41"/>
      <c r="Q190" s="41"/>
      <c r="R190" s="41"/>
      <c r="S190" s="41"/>
      <c r="T190" s="50"/>
      <c r="U190" s="52"/>
      <c r="V190" s="41"/>
      <c r="W190" s="41"/>
      <c r="X190" s="41"/>
      <c r="Y190" s="42"/>
      <c r="Z190" s="41"/>
      <c r="AA190" s="41"/>
      <c r="AB190" s="41"/>
      <c r="AC190" s="46"/>
      <c r="AD190" s="46"/>
      <c r="AE190" s="41"/>
      <c r="AF190" s="41"/>
      <c r="AG190" s="41"/>
      <c r="AH190" s="41"/>
      <c r="AI190" s="41"/>
      <c r="AJ190" s="50"/>
      <c r="AK190" s="45"/>
      <c r="AL190" s="45"/>
      <c r="AM190" s="45"/>
      <c r="AN190" s="45"/>
      <c r="AO190" s="47"/>
      <c r="AP190" s="45"/>
      <c r="AQ190" s="45"/>
      <c r="AR190" s="45"/>
      <c r="AS190" s="46"/>
      <c r="AT190" s="46"/>
      <c r="AU190" s="45"/>
      <c r="AV190" s="45"/>
      <c r="AW190" s="45"/>
      <c r="AX190" s="45"/>
      <c r="AY190" s="45"/>
      <c r="AZ190" s="41"/>
      <c r="BA190" s="50"/>
      <c r="BB190" s="45"/>
      <c r="BC190" s="45"/>
      <c r="BD190" s="45"/>
      <c r="BE190" s="45"/>
      <c r="BF190" s="47"/>
      <c r="BG190" s="45"/>
      <c r="BH190" s="45"/>
      <c r="BI190" s="45"/>
      <c r="BJ190" s="54"/>
      <c r="BK190" s="46"/>
      <c r="BL190" s="45"/>
      <c r="BM190" s="45"/>
      <c r="BN190" s="45"/>
      <c r="BO190" s="45"/>
      <c r="BP190" s="45"/>
      <c r="BQ190" s="41"/>
    </row>
    <row r="191" spans="1:69" ht="14.4" x14ac:dyDescent="0.3">
      <c r="A191" s="50" t="s">
        <v>64</v>
      </c>
      <c r="B191" s="51">
        <v>38.9</v>
      </c>
      <c r="C191" s="41"/>
      <c r="D191" s="41"/>
      <c r="E191" s="41"/>
      <c r="F191" s="42"/>
      <c r="G191" s="41">
        <v>66.900000000000006</v>
      </c>
      <c r="H191" s="41">
        <v>0.23</v>
      </c>
      <c r="I191" s="41">
        <v>0</v>
      </c>
      <c r="J191" s="43">
        <f t="shared" si="130"/>
        <v>26.024100000000004</v>
      </c>
      <c r="K191" s="43">
        <f t="shared" si="131"/>
        <v>8.9469999999999994E-2</v>
      </c>
      <c r="L191" s="43">
        <f t="shared" si="132"/>
        <v>0</v>
      </c>
      <c r="M191" s="45"/>
      <c r="N191" s="46"/>
      <c r="O191" s="41"/>
      <c r="P191" s="41"/>
      <c r="Q191" s="41"/>
      <c r="R191" s="41"/>
      <c r="S191" s="41"/>
      <c r="T191" s="50"/>
      <c r="U191" s="52"/>
      <c r="V191" s="41"/>
      <c r="W191" s="41"/>
      <c r="X191" s="41"/>
      <c r="Y191" s="42"/>
      <c r="Z191" s="41"/>
      <c r="AA191" s="41"/>
      <c r="AB191" s="41"/>
      <c r="AC191" s="46"/>
      <c r="AD191" s="46"/>
      <c r="AE191" s="41"/>
      <c r="AF191" s="41"/>
      <c r="AG191" s="41"/>
      <c r="AH191" s="41"/>
      <c r="AI191" s="41"/>
      <c r="AJ191" s="50"/>
      <c r="AK191" s="45"/>
      <c r="AL191" s="45"/>
      <c r="AM191" s="45"/>
      <c r="AN191" s="45"/>
      <c r="AO191" s="47"/>
      <c r="AP191" s="45"/>
      <c r="AQ191" s="45"/>
      <c r="AR191" s="45"/>
      <c r="AS191" s="46"/>
      <c r="AT191" s="46"/>
      <c r="AU191" s="45"/>
      <c r="AV191" s="45"/>
      <c r="AW191" s="45"/>
      <c r="AX191" s="45"/>
      <c r="AY191" s="45"/>
      <c r="AZ191" s="41"/>
      <c r="BA191" s="50"/>
      <c r="BB191" s="45"/>
      <c r="BC191" s="45"/>
      <c r="BD191" s="45"/>
      <c r="BE191" s="45"/>
      <c r="BF191" s="47"/>
      <c r="BG191" s="45"/>
      <c r="BH191" s="45"/>
      <c r="BI191" s="45"/>
      <c r="BJ191" s="54"/>
      <c r="BK191" s="46"/>
      <c r="BL191" s="45"/>
      <c r="BM191" s="45"/>
      <c r="BN191" s="45"/>
      <c r="BO191" s="45"/>
      <c r="BP191" s="45"/>
      <c r="BQ191" s="41"/>
    </row>
    <row r="192" spans="1:69" ht="14.4" x14ac:dyDescent="0.3">
      <c r="A192" s="50" t="s">
        <v>65</v>
      </c>
      <c r="B192" s="51">
        <v>26</v>
      </c>
      <c r="C192" s="41"/>
      <c r="D192" s="41"/>
      <c r="E192" s="41"/>
      <c r="F192" s="42"/>
      <c r="G192" s="41">
        <v>37.6</v>
      </c>
      <c r="H192" s="41">
        <v>1.08</v>
      </c>
      <c r="I192" s="41">
        <v>0</v>
      </c>
      <c r="J192" s="43">
        <f t="shared" si="130"/>
        <v>9.7759999999999998</v>
      </c>
      <c r="K192" s="43">
        <f t="shared" si="131"/>
        <v>0.28079999999999999</v>
      </c>
      <c r="L192" s="43">
        <f t="shared" si="132"/>
        <v>0</v>
      </c>
      <c r="M192" s="45"/>
      <c r="N192" s="46"/>
      <c r="O192" s="41"/>
      <c r="P192" s="41"/>
      <c r="Q192" s="41"/>
      <c r="R192" s="41"/>
      <c r="S192" s="41"/>
      <c r="T192" s="50"/>
      <c r="U192" s="52"/>
      <c r="V192" s="41"/>
      <c r="W192" s="41"/>
      <c r="X192" s="41"/>
      <c r="Y192" s="42"/>
      <c r="Z192" s="41"/>
      <c r="AA192" s="41"/>
      <c r="AB192" s="41"/>
      <c r="AC192" s="46"/>
      <c r="AD192" s="46"/>
      <c r="AE192" s="41"/>
      <c r="AF192" s="41"/>
      <c r="AG192" s="41"/>
      <c r="AH192" s="41"/>
      <c r="AI192" s="41"/>
      <c r="AJ192" s="50"/>
      <c r="AK192" s="45"/>
      <c r="AL192" s="45"/>
      <c r="AM192" s="45"/>
      <c r="AN192" s="45"/>
      <c r="AO192" s="47"/>
      <c r="AP192" s="45"/>
      <c r="AQ192" s="45"/>
      <c r="AR192" s="45"/>
      <c r="AS192" s="46"/>
      <c r="AT192" s="46"/>
      <c r="AU192" s="45"/>
      <c r="AV192" s="45"/>
      <c r="AW192" s="45"/>
      <c r="AX192" s="45"/>
      <c r="AY192" s="45"/>
      <c r="AZ192" s="41"/>
      <c r="BA192" s="50"/>
      <c r="BB192" s="45"/>
      <c r="BC192" s="45"/>
      <c r="BD192" s="45"/>
      <c r="BE192" s="45"/>
      <c r="BF192" s="47"/>
      <c r="BG192" s="45"/>
      <c r="BH192" s="45"/>
      <c r="BI192" s="45"/>
      <c r="BJ192" s="54"/>
      <c r="BK192" s="46"/>
      <c r="BL192" s="45"/>
      <c r="BM192" s="45"/>
      <c r="BN192" s="45"/>
      <c r="BO192" s="45"/>
      <c r="BP192" s="45"/>
      <c r="BQ192" s="41"/>
    </row>
    <row r="193" spans="1:69" ht="14.4" x14ac:dyDescent="0.3">
      <c r="A193" s="50" t="s">
        <v>66</v>
      </c>
      <c r="B193" s="51">
        <v>35.9</v>
      </c>
      <c r="C193" s="41"/>
      <c r="D193" s="41"/>
      <c r="E193" s="41"/>
      <c r="F193" s="42"/>
      <c r="G193" s="41">
        <v>53.3</v>
      </c>
      <c r="H193" s="41">
        <v>0.11</v>
      </c>
      <c r="I193" s="41">
        <v>0</v>
      </c>
      <c r="J193" s="43">
        <f t="shared" si="130"/>
        <v>19.134699999999999</v>
      </c>
      <c r="K193" s="43">
        <f t="shared" si="131"/>
        <v>3.9489999999999997E-2</v>
      </c>
      <c r="L193" s="43">
        <f t="shared" si="132"/>
        <v>0</v>
      </c>
      <c r="M193" s="45"/>
      <c r="N193" s="46"/>
      <c r="O193" s="41"/>
      <c r="P193" s="41"/>
      <c r="Q193" s="41"/>
      <c r="R193" s="41"/>
      <c r="S193" s="41"/>
      <c r="T193" s="50"/>
      <c r="U193" s="52"/>
      <c r="V193" s="41"/>
      <c r="W193" s="41"/>
      <c r="X193" s="41"/>
      <c r="Y193" s="42"/>
      <c r="Z193" s="41"/>
      <c r="AA193" s="41"/>
      <c r="AB193" s="41"/>
      <c r="AC193" s="46"/>
      <c r="AD193" s="46"/>
      <c r="AE193" s="41"/>
      <c r="AF193" s="41"/>
      <c r="AG193" s="41"/>
      <c r="AH193" s="41"/>
      <c r="AI193" s="41"/>
      <c r="AJ193" s="50"/>
      <c r="AK193" s="45"/>
      <c r="AL193" s="45"/>
      <c r="AM193" s="45"/>
      <c r="AN193" s="45"/>
      <c r="AO193" s="47"/>
      <c r="AP193" s="45"/>
      <c r="AQ193" s="45"/>
      <c r="AR193" s="45"/>
      <c r="AS193" s="46"/>
      <c r="AT193" s="46"/>
      <c r="AU193" s="45"/>
      <c r="AV193" s="45"/>
      <c r="AW193" s="45"/>
      <c r="AX193" s="45"/>
      <c r="AY193" s="45"/>
      <c r="AZ193" s="41"/>
      <c r="BA193" s="50"/>
      <c r="BB193" s="45"/>
      <c r="BC193" s="45"/>
      <c r="BD193" s="45"/>
      <c r="BE193" s="45"/>
      <c r="BF193" s="47"/>
      <c r="BG193" s="45"/>
      <c r="BH193" s="45"/>
      <c r="BI193" s="45"/>
      <c r="BJ193" s="54"/>
      <c r="BK193" s="46"/>
      <c r="BL193" s="45"/>
      <c r="BM193" s="45"/>
      <c r="BN193" s="45"/>
      <c r="BO193" s="45"/>
      <c r="BP193" s="45"/>
      <c r="BQ193" s="41"/>
    </row>
    <row r="194" spans="1:69" ht="14.4" x14ac:dyDescent="0.3">
      <c r="A194" s="50" t="s">
        <v>67</v>
      </c>
      <c r="B194" s="51">
        <v>35.799999999999997</v>
      </c>
      <c r="C194" s="41"/>
      <c r="D194" s="41"/>
      <c r="E194" s="41"/>
      <c r="F194" s="42"/>
      <c r="G194" s="41">
        <v>52</v>
      </c>
      <c r="H194" s="41">
        <v>4.8000000000000001E-2</v>
      </c>
      <c r="I194" s="41">
        <v>0</v>
      </c>
      <c r="J194" s="43">
        <f t="shared" si="130"/>
        <v>18.616</v>
      </c>
      <c r="K194" s="43">
        <f t="shared" si="131"/>
        <v>1.7183999999999998E-2</v>
      </c>
      <c r="L194" s="43">
        <f t="shared" si="132"/>
        <v>0</v>
      </c>
      <c r="M194" s="45"/>
      <c r="N194" s="46"/>
      <c r="O194" s="41"/>
      <c r="P194" s="41"/>
      <c r="Q194" s="41"/>
      <c r="R194" s="41"/>
      <c r="S194" s="41"/>
      <c r="T194" s="50"/>
      <c r="U194" s="52"/>
      <c r="V194" s="41"/>
      <c r="W194" s="41"/>
      <c r="X194" s="41"/>
      <c r="Y194" s="42"/>
      <c r="Z194" s="41"/>
      <c r="AA194" s="41"/>
      <c r="AB194" s="41"/>
      <c r="AC194" s="46"/>
      <c r="AD194" s="46"/>
      <c r="AE194" s="41"/>
      <c r="AF194" s="41"/>
      <c r="AG194" s="41"/>
      <c r="AH194" s="41"/>
      <c r="AI194" s="41"/>
      <c r="AJ194" s="50"/>
      <c r="AK194" s="45"/>
      <c r="AL194" s="45"/>
      <c r="AM194" s="45"/>
      <c r="AN194" s="45"/>
      <c r="AO194" s="47"/>
      <c r="AP194" s="45"/>
      <c r="AQ194" s="45"/>
      <c r="AR194" s="45"/>
      <c r="AS194" s="46"/>
      <c r="AT194" s="46"/>
      <c r="AU194" s="45"/>
      <c r="AV194" s="45"/>
      <c r="AW194" s="45"/>
      <c r="AX194" s="45"/>
      <c r="AY194" s="45"/>
      <c r="AZ194" s="41"/>
      <c r="BA194" s="50"/>
      <c r="BB194" s="45"/>
      <c r="BC194" s="45"/>
      <c r="BD194" s="45"/>
      <c r="BE194" s="45"/>
      <c r="BF194" s="47"/>
      <c r="BG194" s="45"/>
      <c r="BH194" s="45"/>
      <c r="BI194" s="45"/>
      <c r="BJ194" s="54"/>
      <c r="BK194" s="46"/>
      <c r="BL194" s="45"/>
      <c r="BM194" s="45"/>
      <c r="BN194" s="45"/>
      <c r="BO194" s="45"/>
      <c r="BP194" s="45"/>
      <c r="BQ194" s="41"/>
    </row>
    <row r="195" spans="1:69" ht="14.4" x14ac:dyDescent="0.3">
      <c r="A195" s="50" t="s">
        <v>68</v>
      </c>
      <c r="B195" s="51">
        <v>46.4</v>
      </c>
      <c r="C195" s="41"/>
      <c r="D195" s="41"/>
      <c r="E195" s="41"/>
      <c r="F195" s="42"/>
      <c r="G195" s="41">
        <v>53.6</v>
      </c>
      <c r="H195" s="41">
        <v>0.28000000000000003</v>
      </c>
      <c r="I195" s="41">
        <v>0</v>
      </c>
      <c r="J195" s="43">
        <f t="shared" si="130"/>
        <v>24.8704</v>
      </c>
      <c r="K195" s="43">
        <f t="shared" si="131"/>
        <v>0.12992000000000001</v>
      </c>
      <c r="L195" s="43">
        <f t="shared" si="132"/>
        <v>0</v>
      </c>
      <c r="M195" s="45"/>
      <c r="N195" s="46"/>
      <c r="O195" s="41"/>
      <c r="P195" s="41"/>
      <c r="Q195" s="41"/>
      <c r="R195" s="41"/>
      <c r="S195" s="41"/>
      <c r="T195" s="50"/>
      <c r="U195" s="52"/>
      <c r="V195" s="41"/>
      <c r="W195" s="41"/>
      <c r="X195" s="41"/>
      <c r="Y195" s="42"/>
      <c r="Z195" s="41"/>
      <c r="AA195" s="41"/>
      <c r="AB195" s="41"/>
      <c r="AC195" s="46"/>
      <c r="AD195" s="46"/>
      <c r="AE195" s="41"/>
      <c r="AF195" s="41"/>
      <c r="AG195" s="41"/>
      <c r="AH195" s="41"/>
      <c r="AI195" s="41"/>
      <c r="AJ195" s="50"/>
      <c r="AK195" s="45"/>
      <c r="AL195" s="45"/>
      <c r="AM195" s="45"/>
      <c r="AN195" s="45"/>
      <c r="AO195" s="47"/>
      <c r="AP195" s="45"/>
      <c r="AQ195" s="45"/>
      <c r="AR195" s="45"/>
      <c r="AS195" s="46"/>
      <c r="AT195" s="46"/>
      <c r="AU195" s="45"/>
      <c r="AV195" s="45"/>
      <c r="AW195" s="45"/>
      <c r="AX195" s="45"/>
      <c r="AY195" s="45"/>
      <c r="AZ195" s="41"/>
      <c r="BA195" s="50"/>
      <c r="BB195" s="45"/>
      <c r="BC195" s="45"/>
      <c r="BD195" s="45"/>
      <c r="BE195" s="45"/>
      <c r="BF195" s="47"/>
      <c r="BG195" s="45"/>
      <c r="BH195" s="45"/>
      <c r="BI195" s="45"/>
      <c r="BJ195" s="54"/>
      <c r="BK195" s="46"/>
      <c r="BL195" s="45"/>
      <c r="BM195" s="45"/>
      <c r="BN195" s="45"/>
      <c r="BO195" s="45"/>
      <c r="BP195" s="45"/>
      <c r="BQ195" s="41"/>
    </row>
    <row r="196" spans="1:69" ht="14.4" x14ac:dyDescent="0.3">
      <c r="A196" s="50" t="s">
        <v>69</v>
      </c>
      <c r="B196" s="51">
        <v>38.700000000000003</v>
      </c>
      <c r="C196" s="41"/>
      <c r="D196" s="41"/>
      <c r="E196" s="41"/>
      <c r="F196" s="42"/>
      <c r="G196" s="41">
        <v>43.5</v>
      </c>
      <c r="H196" s="41">
        <v>4.9000000000000002E-2</v>
      </c>
      <c r="I196" s="41">
        <v>0</v>
      </c>
      <c r="J196" s="43">
        <f t="shared" si="130"/>
        <v>16.834500000000002</v>
      </c>
      <c r="K196" s="43">
        <f t="shared" si="131"/>
        <v>1.8963000000000004E-2</v>
      </c>
      <c r="L196" s="43">
        <f t="shared" si="132"/>
        <v>0</v>
      </c>
      <c r="M196" s="45"/>
      <c r="N196" s="46"/>
      <c r="O196" s="41"/>
      <c r="P196" s="41"/>
      <c r="Q196" s="41"/>
      <c r="R196" s="41"/>
      <c r="S196" s="41"/>
      <c r="T196" s="50"/>
      <c r="U196" s="52"/>
      <c r="V196" s="41"/>
      <c r="W196" s="41"/>
      <c r="X196" s="41"/>
      <c r="Y196" s="42"/>
      <c r="Z196" s="41"/>
      <c r="AA196" s="41"/>
      <c r="AB196" s="41"/>
      <c r="AC196" s="46"/>
      <c r="AD196" s="46"/>
      <c r="AE196" s="41"/>
      <c r="AF196" s="41"/>
      <c r="AG196" s="41"/>
      <c r="AH196" s="41"/>
      <c r="AI196" s="41"/>
      <c r="AJ196" s="50"/>
      <c r="AK196" s="45"/>
      <c r="AL196" s="45"/>
      <c r="AM196" s="45"/>
      <c r="AN196" s="45"/>
      <c r="AO196" s="47"/>
      <c r="AP196" s="45"/>
      <c r="AQ196" s="45"/>
      <c r="AR196" s="45"/>
      <c r="AS196" s="46"/>
      <c r="AT196" s="46"/>
      <c r="AU196" s="45"/>
      <c r="AV196" s="45"/>
      <c r="AW196" s="45"/>
      <c r="AX196" s="45"/>
      <c r="AY196" s="45"/>
      <c r="AZ196" s="41"/>
      <c r="BA196" s="50"/>
      <c r="BB196" s="45"/>
      <c r="BC196" s="45"/>
      <c r="BD196" s="45"/>
      <c r="BE196" s="45"/>
      <c r="BF196" s="47"/>
      <c r="BG196" s="45"/>
      <c r="BH196" s="45"/>
      <c r="BI196" s="45"/>
      <c r="BJ196" s="54"/>
      <c r="BK196" s="46"/>
      <c r="BL196" s="45"/>
      <c r="BM196" s="45"/>
      <c r="BN196" s="45"/>
      <c r="BO196" s="45"/>
      <c r="BP196" s="45"/>
      <c r="BQ196" s="41"/>
    </row>
    <row r="197" spans="1:69" ht="14.4" x14ac:dyDescent="0.3">
      <c r="A197" s="50" t="s">
        <v>70</v>
      </c>
      <c r="B197" s="51">
        <v>44.6</v>
      </c>
      <c r="C197" s="41"/>
      <c r="D197" s="41"/>
      <c r="E197" s="41"/>
      <c r="F197" s="42"/>
      <c r="G197" s="41">
        <v>44</v>
      </c>
      <c r="H197" s="41">
        <v>0.04</v>
      </c>
      <c r="I197" s="41">
        <v>0</v>
      </c>
      <c r="J197" s="43">
        <f t="shared" si="130"/>
        <v>19.624000000000002</v>
      </c>
      <c r="K197" s="43">
        <f t="shared" si="131"/>
        <v>1.7840000000000002E-2</v>
      </c>
      <c r="L197" s="43">
        <f t="shared" si="132"/>
        <v>0</v>
      </c>
      <c r="M197" s="45"/>
      <c r="N197" s="46"/>
      <c r="O197" s="41"/>
      <c r="P197" s="41"/>
      <c r="Q197" s="41"/>
      <c r="R197" s="41"/>
      <c r="S197" s="41"/>
      <c r="T197" s="50"/>
      <c r="U197" s="52"/>
      <c r="V197" s="41"/>
      <c r="W197" s="41"/>
      <c r="X197" s="41"/>
      <c r="Y197" s="42"/>
      <c r="Z197" s="41"/>
      <c r="AA197" s="41"/>
      <c r="AB197" s="41"/>
      <c r="AC197" s="46"/>
      <c r="AD197" s="46"/>
      <c r="AE197" s="41"/>
      <c r="AF197" s="41"/>
      <c r="AG197" s="41"/>
      <c r="AH197" s="41"/>
      <c r="AI197" s="41"/>
      <c r="AJ197" s="50"/>
      <c r="AK197" s="45"/>
      <c r="AL197" s="45"/>
      <c r="AM197" s="45"/>
      <c r="AN197" s="45"/>
      <c r="AO197" s="47"/>
      <c r="AP197" s="45"/>
      <c r="AQ197" s="45"/>
      <c r="AR197" s="45"/>
      <c r="AS197" s="46"/>
      <c r="AT197" s="46"/>
      <c r="AU197" s="45"/>
      <c r="AV197" s="45"/>
      <c r="AW197" s="45"/>
      <c r="AX197" s="45"/>
      <c r="AY197" s="45"/>
      <c r="AZ197" s="41"/>
      <c r="BA197" s="50"/>
      <c r="BB197" s="45"/>
      <c r="BC197" s="45"/>
      <c r="BD197" s="45"/>
      <c r="BE197" s="45"/>
      <c r="BF197" s="47"/>
      <c r="BG197" s="45"/>
      <c r="BH197" s="45"/>
      <c r="BI197" s="45"/>
      <c r="BJ197" s="54"/>
      <c r="BK197" s="46"/>
      <c r="BL197" s="45"/>
      <c r="BM197" s="45"/>
      <c r="BN197" s="45"/>
      <c r="BO197" s="45"/>
      <c r="BP197" s="45"/>
      <c r="BQ197" s="41"/>
    </row>
    <row r="198" spans="1:69" ht="14.4" x14ac:dyDescent="0.3">
      <c r="A198" s="50" t="s">
        <v>71</v>
      </c>
      <c r="B198" s="51">
        <v>53.2</v>
      </c>
      <c r="C198" s="41"/>
      <c r="D198" s="41"/>
      <c r="E198" s="41"/>
      <c r="F198" s="42"/>
      <c r="G198" s="41">
        <v>76.7</v>
      </c>
      <c r="H198" s="41">
        <v>0.3</v>
      </c>
      <c r="I198" s="41">
        <v>1.7000000000000001E-2</v>
      </c>
      <c r="J198" s="43">
        <f t="shared" si="130"/>
        <v>40.804400000000008</v>
      </c>
      <c r="K198" s="43">
        <f t="shared" si="131"/>
        <v>0.15960000000000002</v>
      </c>
      <c r="L198" s="43">
        <f t="shared" si="132"/>
        <v>9.0440000000000017E-3</v>
      </c>
      <c r="M198" s="45"/>
      <c r="N198" s="46"/>
      <c r="O198" s="41"/>
      <c r="P198" s="41"/>
      <c r="Q198" s="41"/>
      <c r="R198" s="41"/>
      <c r="S198" s="41"/>
      <c r="T198" s="50"/>
      <c r="U198" s="52"/>
      <c r="V198" s="41"/>
      <c r="W198" s="41"/>
      <c r="X198" s="41"/>
      <c r="Y198" s="42"/>
      <c r="Z198" s="41"/>
      <c r="AA198" s="41"/>
      <c r="AB198" s="41"/>
      <c r="AC198" s="46"/>
      <c r="AD198" s="46"/>
      <c r="AE198" s="41"/>
      <c r="AF198" s="41"/>
      <c r="AG198" s="41"/>
      <c r="AH198" s="41"/>
      <c r="AI198" s="41"/>
      <c r="AJ198" s="50"/>
      <c r="AK198" s="45"/>
      <c r="AL198" s="45"/>
      <c r="AM198" s="45"/>
      <c r="AN198" s="45"/>
      <c r="AO198" s="47"/>
      <c r="AP198" s="45"/>
      <c r="AQ198" s="45"/>
      <c r="AR198" s="45"/>
      <c r="AS198" s="46"/>
      <c r="AT198" s="46"/>
      <c r="AU198" s="45"/>
      <c r="AV198" s="45"/>
      <c r="AW198" s="45"/>
      <c r="AX198" s="45"/>
      <c r="AY198" s="45"/>
      <c r="AZ198" s="41"/>
      <c r="BA198" s="50"/>
      <c r="BB198" s="45"/>
      <c r="BC198" s="45"/>
      <c r="BD198" s="45"/>
      <c r="BE198" s="45"/>
      <c r="BF198" s="47"/>
      <c r="BG198" s="45"/>
      <c r="BH198" s="45"/>
      <c r="BI198" s="45"/>
      <c r="BJ198" s="54"/>
      <c r="BK198" s="46"/>
      <c r="BL198" s="45"/>
      <c r="BM198" s="45"/>
      <c r="BN198" s="45"/>
      <c r="BO198" s="45"/>
      <c r="BP198" s="45"/>
      <c r="BQ198" s="41"/>
    </row>
    <row r="199" spans="1:69" ht="14.4" x14ac:dyDescent="0.3">
      <c r="A199" s="50"/>
      <c r="B199" s="52"/>
      <c r="C199" s="41"/>
      <c r="D199" s="41"/>
      <c r="E199" s="41"/>
      <c r="F199" s="42"/>
      <c r="G199" s="41"/>
      <c r="H199" s="41"/>
      <c r="I199" s="41"/>
      <c r="J199" s="43"/>
      <c r="K199" s="43"/>
      <c r="L199" s="43"/>
      <c r="M199" s="45"/>
      <c r="N199" s="46"/>
      <c r="O199" s="41"/>
      <c r="P199" s="41"/>
      <c r="Q199" s="41"/>
      <c r="R199" s="41"/>
      <c r="S199" s="41"/>
      <c r="T199" s="50"/>
      <c r="U199" s="52"/>
      <c r="V199" s="41"/>
      <c r="W199" s="41"/>
      <c r="X199" s="41"/>
      <c r="Y199" s="42"/>
      <c r="Z199" s="41"/>
      <c r="AA199" s="41"/>
      <c r="AB199" s="41"/>
      <c r="AC199" s="46"/>
      <c r="AD199" s="46"/>
      <c r="AE199" s="41"/>
      <c r="AF199" s="41"/>
      <c r="AG199" s="41"/>
      <c r="AH199" s="41"/>
      <c r="AI199" s="41"/>
      <c r="AJ199" s="50"/>
      <c r="AK199" s="45"/>
      <c r="AL199" s="45"/>
      <c r="AM199" s="45"/>
      <c r="AN199" s="45"/>
      <c r="AO199" s="47"/>
      <c r="AP199" s="45"/>
      <c r="AQ199" s="45"/>
      <c r="AR199" s="45"/>
      <c r="AS199" s="46"/>
      <c r="AT199" s="46"/>
      <c r="AU199" s="45"/>
      <c r="AV199" s="45"/>
      <c r="AW199" s="45"/>
      <c r="AX199" s="45"/>
      <c r="AY199" s="45"/>
      <c r="AZ199" s="41"/>
      <c r="BA199" s="50"/>
      <c r="BB199" s="45"/>
      <c r="BC199" s="45"/>
      <c r="BD199" s="45"/>
      <c r="BE199" s="45"/>
      <c r="BF199" s="47"/>
      <c r="BG199" s="45"/>
      <c r="BH199" s="45"/>
      <c r="BI199" s="45"/>
      <c r="BJ199" s="54"/>
      <c r="BK199" s="46"/>
      <c r="BL199" s="45"/>
      <c r="BM199" s="45"/>
      <c r="BN199" s="45"/>
      <c r="BO199" s="45"/>
      <c r="BP199" s="45"/>
      <c r="BQ199" s="41"/>
    </row>
    <row r="200" spans="1:69" ht="14.4" x14ac:dyDescent="0.3">
      <c r="A200" s="50"/>
      <c r="B200" s="52"/>
      <c r="C200" s="41"/>
      <c r="D200" s="41"/>
      <c r="E200" s="41"/>
      <c r="F200" s="42"/>
      <c r="G200" s="41"/>
      <c r="H200" s="41"/>
      <c r="I200" s="41"/>
      <c r="J200" s="43"/>
      <c r="K200" s="43"/>
      <c r="L200" s="43"/>
      <c r="M200" s="45"/>
      <c r="N200" s="46"/>
      <c r="O200" s="41"/>
      <c r="P200" s="41"/>
      <c r="Q200" s="41"/>
      <c r="R200" s="41"/>
      <c r="S200" s="41"/>
      <c r="T200" s="50"/>
      <c r="U200" s="52"/>
      <c r="V200" s="41"/>
      <c r="W200" s="41"/>
      <c r="X200" s="41"/>
      <c r="Y200" s="42"/>
      <c r="Z200" s="41"/>
      <c r="AA200" s="41"/>
      <c r="AB200" s="41"/>
      <c r="AC200" s="46"/>
      <c r="AD200" s="46"/>
      <c r="AE200" s="41"/>
      <c r="AF200" s="41"/>
      <c r="AG200" s="41"/>
      <c r="AH200" s="41"/>
      <c r="AI200" s="41"/>
      <c r="AJ200" s="50"/>
      <c r="AK200" s="45"/>
      <c r="AL200" s="45"/>
      <c r="AM200" s="45"/>
      <c r="AN200" s="45"/>
      <c r="AO200" s="47"/>
      <c r="AP200" s="45"/>
      <c r="AQ200" s="45"/>
      <c r="AR200" s="45"/>
      <c r="AS200" s="46"/>
      <c r="AT200" s="46"/>
      <c r="AU200" s="45"/>
      <c r="AV200" s="45"/>
      <c r="AW200" s="45"/>
      <c r="AX200" s="45"/>
      <c r="AY200" s="45"/>
      <c r="AZ200" s="41"/>
      <c r="BA200" s="50"/>
      <c r="BB200" s="45"/>
      <c r="BC200" s="45"/>
      <c r="BD200" s="45"/>
      <c r="BE200" s="45"/>
      <c r="BF200" s="47"/>
      <c r="BG200" s="45"/>
      <c r="BH200" s="45"/>
      <c r="BI200" s="45"/>
      <c r="BJ200" s="54"/>
      <c r="BK200" s="46"/>
      <c r="BL200" s="45"/>
      <c r="BM200" s="45"/>
      <c r="BN200" s="45"/>
      <c r="BO200" s="45"/>
      <c r="BP200" s="45"/>
      <c r="BQ200" s="41"/>
    </row>
    <row r="201" spans="1:69" ht="14.4" x14ac:dyDescent="0.3">
      <c r="A201" s="50"/>
      <c r="B201" s="52"/>
      <c r="C201" s="41"/>
      <c r="D201" s="41"/>
      <c r="E201" s="41"/>
      <c r="F201" s="42"/>
      <c r="G201" s="41"/>
      <c r="H201" s="41"/>
      <c r="I201" s="41"/>
      <c r="J201" s="43"/>
      <c r="K201" s="43"/>
      <c r="L201" s="43"/>
      <c r="M201" s="45"/>
      <c r="N201" s="46"/>
      <c r="O201" s="41"/>
      <c r="P201" s="41"/>
      <c r="Q201" s="41"/>
      <c r="R201" s="41"/>
      <c r="S201" s="41"/>
      <c r="T201" s="50"/>
      <c r="U201" s="52"/>
      <c r="V201" s="41"/>
      <c r="W201" s="41"/>
      <c r="X201" s="41"/>
      <c r="Y201" s="42"/>
      <c r="Z201" s="41"/>
      <c r="AA201" s="41"/>
      <c r="AB201" s="41"/>
      <c r="AC201" s="46"/>
      <c r="AD201" s="46"/>
      <c r="AE201" s="41"/>
      <c r="AF201" s="41"/>
      <c r="AG201" s="41"/>
      <c r="AH201" s="41"/>
      <c r="AI201" s="41"/>
      <c r="AJ201" s="50"/>
      <c r="AK201" s="45"/>
      <c r="AL201" s="45"/>
      <c r="AM201" s="45"/>
      <c r="AN201" s="45"/>
      <c r="AO201" s="47"/>
      <c r="AP201" s="45"/>
      <c r="AQ201" s="45"/>
      <c r="AR201" s="45"/>
      <c r="AS201" s="46"/>
      <c r="AT201" s="46"/>
      <c r="AU201" s="45"/>
      <c r="AV201" s="45"/>
      <c r="AW201" s="45"/>
      <c r="AX201" s="45"/>
      <c r="AY201" s="45"/>
      <c r="AZ201" s="41"/>
      <c r="BA201" s="50"/>
      <c r="BB201" s="45"/>
      <c r="BC201" s="45"/>
      <c r="BD201" s="45"/>
      <c r="BE201" s="45"/>
      <c r="BF201" s="47"/>
      <c r="BG201" s="45"/>
      <c r="BH201" s="45"/>
      <c r="BI201" s="45"/>
      <c r="BJ201" s="54"/>
      <c r="BK201" s="46"/>
      <c r="BL201" s="45"/>
      <c r="BM201" s="45"/>
      <c r="BN201" s="45"/>
      <c r="BO201" s="45"/>
      <c r="BP201" s="45"/>
      <c r="BQ201" s="41"/>
    </row>
    <row r="202" spans="1:69" ht="14.4" x14ac:dyDescent="0.3">
      <c r="A202" s="56" t="s">
        <v>77</v>
      </c>
      <c r="B202" s="57">
        <v>30.3</v>
      </c>
      <c r="C202" s="41"/>
      <c r="D202" s="41"/>
      <c r="E202" s="41"/>
      <c r="F202" s="42"/>
      <c r="G202" s="41">
        <v>1.3</v>
      </c>
      <c r="H202" s="41">
        <v>45</v>
      </c>
      <c r="I202" s="41">
        <v>5.68</v>
      </c>
      <c r="J202" s="43">
        <f t="shared" si="130"/>
        <v>0.39390000000000003</v>
      </c>
      <c r="K202" s="43">
        <f t="shared" si="131"/>
        <v>13.635</v>
      </c>
      <c r="L202" s="43">
        <f t="shared" si="132"/>
        <v>1.7210399999999999</v>
      </c>
      <c r="M202" s="41"/>
      <c r="N202" s="41"/>
      <c r="O202" s="41"/>
      <c r="P202" s="41"/>
      <c r="Q202" s="41"/>
      <c r="R202" s="41"/>
      <c r="S202" s="41"/>
      <c r="T202" s="56"/>
      <c r="U202" s="52"/>
      <c r="V202" s="41"/>
      <c r="W202" s="41"/>
      <c r="X202" s="41"/>
      <c r="Y202" s="42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56"/>
      <c r="AK202" s="52"/>
      <c r="AL202" s="41"/>
      <c r="AM202" s="41"/>
      <c r="AN202" s="41"/>
      <c r="AO202" s="42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56"/>
      <c r="BB202" s="52"/>
      <c r="BC202" s="41"/>
      <c r="BD202" s="41"/>
      <c r="BE202" s="41"/>
      <c r="BF202" s="42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</row>
    <row r="203" spans="1:69" ht="14.4" x14ac:dyDescent="0.3">
      <c r="A203" s="56" t="s">
        <v>74</v>
      </c>
      <c r="B203" s="57">
        <v>21</v>
      </c>
      <c r="C203" s="41"/>
      <c r="D203" s="41"/>
      <c r="E203" s="41"/>
      <c r="F203" s="53"/>
      <c r="G203" s="41">
        <v>0.85</v>
      </c>
      <c r="H203" s="41">
        <v>70.400000000000006</v>
      </c>
      <c r="I203" s="41">
        <v>4.0599999999999996</v>
      </c>
      <c r="J203" s="43">
        <f t="shared" si="130"/>
        <v>0.17849999999999999</v>
      </c>
      <c r="K203" s="43">
        <f t="shared" si="131"/>
        <v>14.784000000000001</v>
      </c>
      <c r="L203" s="43">
        <f t="shared" si="132"/>
        <v>0.85259999999999991</v>
      </c>
      <c r="M203" s="41"/>
      <c r="N203" s="41"/>
      <c r="O203" s="41"/>
      <c r="P203" s="41"/>
      <c r="Q203" s="41"/>
      <c r="R203" s="41"/>
      <c r="S203" s="41"/>
      <c r="T203" s="56"/>
      <c r="U203" s="52"/>
      <c r="V203" s="41"/>
      <c r="W203" s="41"/>
      <c r="X203" s="41"/>
      <c r="Y203" s="53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56"/>
      <c r="AK203" s="52"/>
      <c r="AL203" s="41"/>
      <c r="AM203" s="41"/>
      <c r="AN203" s="41"/>
      <c r="AO203" s="53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56"/>
      <c r="BB203" s="52"/>
      <c r="BC203" s="41"/>
      <c r="BD203" s="41"/>
      <c r="BE203" s="41"/>
      <c r="BF203" s="53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</row>
    <row r="204" spans="1:69" ht="14.4" x14ac:dyDescent="0.3">
      <c r="A204" s="56" t="s">
        <v>75</v>
      </c>
      <c r="B204" s="57">
        <v>46.5</v>
      </c>
      <c r="C204" s="41"/>
      <c r="D204" s="41"/>
      <c r="E204" s="41"/>
      <c r="F204" s="53"/>
      <c r="G204" s="41">
        <v>3.25</v>
      </c>
      <c r="H204" s="41">
        <v>70.8</v>
      </c>
      <c r="I204" s="41">
        <v>7.54</v>
      </c>
      <c r="J204" s="43">
        <f t="shared" si="130"/>
        <v>1.51125</v>
      </c>
      <c r="K204" s="43">
        <f t="shared" si="131"/>
        <v>32.921999999999997</v>
      </c>
      <c r="L204" s="43">
        <f t="shared" si="132"/>
        <v>3.5061</v>
      </c>
      <c r="M204" s="41"/>
      <c r="N204" s="41"/>
      <c r="O204" s="41"/>
      <c r="P204" s="41"/>
      <c r="Q204" s="41"/>
      <c r="R204" s="41"/>
      <c r="S204" s="41"/>
      <c r="T204" s="56"/>
      <c r="U204" s="52"/>
      <c r="V204" s="41"/>
      <c r="W204" s="41"/>
      <c r="X204" s="41"/>
      <c r="Y204" s="53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56"/>
      <c r="AK204" s="52"/>
      <c r="AL204" s="41"/>
      <c r="AM204" s="41"/>
      <c r="AN204" s="41"/>
      <c r="AO204" s="53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56"/>
      <c r="BB204" s="52"/>
      <c r="BC204" s="41"/>
      <c r="BD204" s="41"/>
      <c r="BE204" s="41"/>
      <c r="BF204" s="42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</row>
    <row r="205" spans="1:69" ht="14.4" x14ac:dyDescent="0.3">
      <c r="A205" s="56" t="s">
        <v>82</v>
      </c>
      <c r="B205" s="57">
        <v>42.7</v>
      </c>
      <c r="C205" s="41"/>
      <c r="D205" s="41"/>
      <c r="E205" s="41"/>
      <c r="F205" s="53"/>
      <c r="G205" s="41">
        <v>1.1499999999999999</v>
      </c>
      <c r="H205" s="41">
        <v>33.700000000000003</v>
      </c>
      <c r="I205" s="41">
        <v>4.04</v>
      </c>
      <c r="J205" s="43">
        <f t="shared" ref="J205:J260" si="133">G205*B205/100</f>
        <v>0.49104999999999999</v>
      </c>
      <c r="K205" s="43">
        <f t="shared" ref="K205:K260" si="134">H205*B205/100</f>
        <v>14.389900000000003</v>
      </c>
      <c r="L205" s="43">
        <f t="shared" ref="L205:L260" si="135">I205*B205/100</f>
        <v>1.7250800000000002</v>
      </c>
      <c r="M205" s="41"/>
      <c r="N205" s="41"/>
      <c r="O205" s="41"/>
      <c r="P205" s="41"/>
      <c r="Q205" s="41"/>
      <c r="R205" s="41"/>
      <c r="S205" s="41"/>
      <c r="T205" s="56"/>
      <c r="U205" s="52"/>
      <c r="V205" s="41"/>
      <c r="W205" s="41"/>
      <c r="X205" s="41"/>
      <c r="Y205" s="53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56"/>
      <c r="AK205" s="52"/>
      <c r="AL205" s="41"/>
      <c r="AM205" s="41"/>
      <c r="AN205" s="41"/>
      <c r="AO205" s="53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56"/>
      <c r="BB205" s="52"/>
      <c r="BC205" s="41"/>
      <c r="BD205" s="41"/>
      <c r="BE205" s="41"/>
      <c r="BF205" s="53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</row>
    <row r="206" spans="1:69" ht="14.4" x14ac:dyDescent="0.3">
      <c r="A206" s="56" t="s">
        <v>85</v>
      </c>
      <c r="B206" s="57">
        <v>19.399999999999999</v>
      </c>
      <c r="C206" s="41"/>
      <c r="D206" s="41"/>
      <c r="E206" s="41"/>
      <c r="F206" s="53"/>
      <c r="G206" s="41">
        <v>0.74</v>
      </c>
      <c r="H206" s="41">
        <v>53.1</v>
      </c>
      <c r="I206" s="41">
        <v>2.16</v>
      </c>
      <c r="J206" s="43">
        <f t="shared" si="133"/>
        <v>0.14355999999999999</v>
      </c>
      <c r="K206" s="43">
        <f t="shared" si="134"/>
        <v>10.301399999999999</v>
      </c>
      <c r="L206" s="43">
        <f t="shared" si="135"/>
        <v>0.41903999999999997</v>
      </c>
      <c r="M206" s="41"/>
      <c r="N206" s="41"/>
      <c r="O206" s="41"/>
      <c r="P206" s="41"/>
      <c r="Q206" s="41"/>
      <c r="R206" s="41"/>
      <c r="S206" s="41"/>
      <c r="T206" s="56"/>
      <c r="U206" s="45"/>
      <c r="V206" s="45"/>
      <c r="W206" s="45"/>
      <c r="X206" s="45"/>
      <c r="Y206" s="53"/>
      <c r="Z206" s="41"/>
      <c r="AA206" s="41"/>
      <c r="AB206" s="41"/>
      <c r="AC206" s="45"/>
      <c r="AD206" s="45"/>
      <c r="AE206" s="45"/>
      <c r="AF206" s="48"/>
      <c r="AG206" s="48"/>
      <c r="AH206" s="48"/>
      <c r="AI206" s="41"/>
      <c r="AJ206" s="56"/>
      <c r="AK206" s="52"/>
      <c r="AL206" s="41"/>
      <c r="AM206" s="41"/>
      <c r="AN206" s="41"/>
      <c r="AO206" s="53"/>
      <c r="AP206" s="41"/>
      <c r="AQ206" s="41"/>
      <c r="AR206" s="41"/>
      <c r="AS206" s="41"/>
      <c r="AT206" s="41"/>
      <c r="AU206" s="41"/>
      <c r="AV206" s="41"/>
      <c r="AW206" s="50"/>
      <c r="AX206" s="50"/>
      <c r="AY206" s="50"/>
      <c r="AZ206" s="41"/>
      <c r="BA206" s="56"/>
      <c r="BB206" s="52"/>
      <c r="BC206" s="41"/>
      <c r="BD206" s="41"/>
      <c r="BE206" s="41"/>
      <c r="BF206" s="42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</row>
    <row r="207" spans="1:69" ht="14.4" x14ac:dyDescent="0.3">
      <c r="A207" s="56" t="s">
        <v>94</v>
      </c>
      <c r="B207" s="56">
        <v>33.5</v>
      </c>
      <c r="C207" s="41"/>
      <c r="D207" s="41"/>
      <c r="E207" s="41"/>
      <c r="F207" s="42"/>
      <c r="G207" s="41">
        <v>3.01</v>
      </c>
      <c r="H207" s="41">
        <v>31.2</v>
      </c>
      <c r="I207" s="41">
        <v>2.17</v>
      </c>
      <c r="J207" s="43">
        <f t="shared" si="133"/>
        <v>1.0083499999999999</v>
      </c>
      <c r="K207" s="43">
        <f t="shared" si="134"/>
        <v>10.452</v>
      </c>
      <c r="L207" s="43">
        <f t="shared" si="135"/>
        <v>0.72694999999999999</v>
      </c>
      <c r="M207" s="45"/>
      <c r="N207" s="46"/>
      <c r="O207" s="41"/>
      <c r="P207" s="41"/>
      <c r="Q207" s="41"/>
      <c r="R207" s="41"/>
      <c r="S207" s="41"/>
      <c r="T207" s="56"/>
      <c r="U207" s="56"/>
      <c r="V207" s="41"/>
      <c r="W207" s="41"/>
      <c r="X207" s="41"/>
      <c r="Y207" s="42"/>
      <c r="Z207" s="41"/>
      <c r="AA207" s="41"/>
      <c r="AB207" s="41"/>
      <c r="AC207" s="41"/>
      <c r="AD207" s="46"/>
      <c r="AE207" s="41"/>
      <c r="AF207" s="41"/>
      <c r="AG207" s="41"/>
      <c r="AH207" s="41"/>
      <c r="AI207" s="41"/>
      <c r="AJ207" s="56"/>
      <c r="AK207" s="45"/>
      <c r="AL207" s="45"/>
      <c r="AM207" s="45"/>
      <c r="AN207" s="45"/>
      <c r="AO207" s="47"/>
      <c r="AP207" s="45"/>
      <c r="AQ207" s="45"/>
      <c r="AR207" s="45"/>
      <c r="AS207" s="46"/>
      <c r="AT207" s="46"/>
      <c r="AU207" s="45"/>
      <c r="AV207" s="45"/>
      <c r="AW207" s="45"/>
      <c r="AX207" s="45"/>
      <c r="AY207" s="45"/>
      <c r="AZ207" s="41"/>
      <c r="BA207" s="56"/>
      <c r="BB207" s="45"/>
      <c r="BC207" s="45"/>
      <c r="BD207" s="45"/>
      <c r="BE207" s="45"/>
      <c r="BF207" s="47"/>
      <c r="BG207" s="45"/>
      <c r="BH207" s="45"/>
      <c r="BI207" s="45"/>
      <c r="BJ207" s="46"/>
      <c r="BK207" s="46"/>
      <c r="BL207" s="45"/>
      <c r="BM207" s="45"/>
      <c r="BN207" s="45"/>
      <c r="BO207" s="45"/>
      <c r="BP207" s="45"/>
      <c r="BQ207" s="41"/>
    </row>
    <row r="208" spans="1:69" ht="14.4" x14ac:dyDescent="0.3">
      <c r="A208" s="56" t="s">
        <v>73</v>
      </c>
      <c r="B208" s="56">
        <v>24.7</v>
      </c>
      <c r="C208" s="41"/>
      <c r="D208" s="41"/>
      <c r="E208" s="41"/>
      <c r="F208" s="42"/>
      <c r="G208" s="41">
        <v>6.1</v>
      </c>
      <c r="H208" s="41">
        <v>1.48</v>
      </c>
      <c r="I208" s="41">
        <v>0.19</v>
      </c>
      <c r="J208" s="43">
        <f t="shared" si="133"/>
        <v>1.5066999999999999</v>
      </c>
      <c r="K208" s="43">
        <f t="shared" si="134"/>
        <v>0.36556</v>
      </c>
      <c r="L208" s="43">
        <f t="shared" si="135"/>
        <v>4.6929999999999999E-2</v>
      </c>
      <c r="M208" s="45"/>
      <c r="N208" s="46"/>
      <c r="O208" s="41"/>
      <c r="P208" s="41"/>
      <c r="Q208" s="41"/>
      <c r="R208" s="41"/>
      <c r="S208" s="41"/>
      <c r="T208" s="56"/>
      <c r="U208" s="56"/>
      <c r="V208" s="41"/>
      <c r="W208" s="41"/>
      <c r="X208" s="41"/>
      <c r="Y208" s="42"/>
      <c r="Z208" s="41"/>
      <c r="AA208" s="41"/>
      <c r="AB208" s="41"/>
      <c r="AC208" s="41"/>
      <c r="AD208" s="46"/>
      <c r="AE208" s="41"/>
      <c r="AF208" s="41"/>
      <c r="AG208" s="41"/>
      <c r="AH208" s="41"/>
      <c r="AI208" s="41"/>
      <c r="AJ208" s="56"/>
      <c r="AK208" s="45"/>
      <c r="AL208" s="45"/>
      <c r="AM208" s="45"/>
      <c r="AN208" s="45"/>
      <c r="AO208" s="47"/>
      <c r="AP208" s="45"/>
      <c r="AQ208" s="45"/>
      <c r="AR208" s="45"/>
      <c r="AS208" s="46"/>
      <c r="AT208" s="46"/>
      <c r="AU208" s="45"/>
      <c r="AV208" s="45"/>
      <c r="AW208" s="45"/>
      <c r="AX208" s="45"/>
      <c r="AY208" s="45"/>
      <c r="AZ208" s="41"/>
      <c r="BA208" s="56"/>
      <c r="BB208" s="45"/>
      <c r="BC208" s="45"/>
      <c r="BD208" s="45"/>
      <c r="BE208" s="45"/>
      <c r="BF208" s="47"/>
      <c r="BG208" s="45"/>
      <c r="BH208" s="45"/>
      <c r="BI208" s="45"/>
      <c r="BJ208" s="46"/>
      <c r="BK208" s="46"/>
      <c r="BL208" s="45"/>
      <c r="BM208" s="45"/>
      <c r="BN208" s="45"/>
      <c r="BO208" s="45"/>
      <c r="BP208" s="45"/>
      <c r="BQ208" s="41"/>
    </row>
    <row r="209" spans="1:69" ht="14.4" x14ac:dyDescent="0.3">
      <c r="A209" s="56" t="s">
        <v>83</v>
      </c>
      <c r="B209" s="56">
        <v>37.9</v>
      </c>
      <c r="C209" s="41"/>
      <c r="D209" s="41"/>
      <c r="E209" s="41"/>
      <c r="F209" s="42"/>
      <c r="G209" s="41">
        <v>2.5099999999999998</v>
      </c>
      <c r="H209" s="41">
        <v>0.24</v>
      </c>
      <c r="I209" s="41">
        <v>0.11</v>
      </c>
      <c r="J209" s="43">
        <f t="shared" si="133"/>
        <v>0.95128999999999986</v>
      </c>
      <c r="K209" s="43">
        <f t="shared" si="134"/>
        <v>9.0959999999999999E-2</v>
      </c>
      <c r="L209" s="43">
        <f t="shared" si="135"/>
        <v>4.1689999999999998E-2</v>
      </c>
      <c r="M209" s="45"/>
      <c r="N209" s="46"/>
      <c r="O209" s="41"/>
      <c r="P209" s="41"/>
      <c r="Q209" s="41"/>
      <c r="R209" s="41"/>
      <c r="S209" s="41"/>
      <c r="T209" s="56"/>
      <c r="U209" s="56"/>
      <c r="V209" s="41"/>
      <c r="W209" s="41"/>
      <c r="X209" s="41"/>
      <c r="Y209" s="42"/>
      <c r="Z209" s="41"/>
      <c r="AA209" s="41"/>
      <c r="AB209" s="41"/>
      <c r="AC209" s="41"/>
      <c r="AD209" s="46"/>
      <c r="AE209" s="41"/>
      <c r="AF209" s="41"/>
      <c r="AG209" s="41"/>
      <c r="AH209" s="41"/>
      <c r="AI209" s="41"/>
      <c r="AJ209" s="56"/>
      <c r="AK209" s="45"/>
      <c r="AL209" s="45"/>
      <c r="AM209" s="45"/>
      <c r="AN209" s="45"/>
      <c r="AO209" s="47"/>
      <c r="AP209" s="45"/>
      <c r="AQ209" s="45"/>
      <c r="AR209" s="45"/>
      <c r="AS209" s="46"/>
      <c r="AT209" s="46"/>
      <c r="AU209" s="45"/>
      <c r="AV209" s="45"/>
      <c r="AW209" s="45"/>
      <c r="AX209" s="45"/>
      <c r="AY209" s="45"/>
      <c r="AZ209" s="41"/>
      <c r="BA209" s="56"/>
      <c r="BB209" s="45"/>
      <c r="BC209" s="45"/>
      <c r="BD209" s="45"/>
      <c r="BE209" s="45"/>
      <c r="BF209" s="47"/>
      <c r="BG209" s="45"/>
      <c r="BH209" s="45"/>
      <c r="BI209" s="45"/>
      <c r="BJ209" s="46"/>
      <c r="BK209" s="46"/>
      <c r="BL209" s="45"/>
      <c r="BM209" s="45"/>
      <c r="BN209" s="45"/>
      <c r="BO209" s="45"/>
      <c r="BP209" s="45"/>
      <c r="BQ209" s="41"/>
    </row>
    <row r="210" spans="1:69" ht="14.4" x14ac:dyDescent="0.3">
      <c r="A210" s="56" t="s">
        <v>79</v>
      </c>
      <c r="B210" s="56">
        <v>37.299999999999997</v>
      </c>
      <c r="C210" s="41"/>
      <c r="D210" s="41"/>
      <c r="E210" s="41"/>
      <c r="F210" s="42"/>
      <c r="G210" s="41">
        <v>6.86</v>
      </c>
      <c r="H210" s="41">
        <v>0.22</v>
      </c>
      <c r="I210" s="41">
        <v>0.28000000000000003</v>
      </c>
      <c r="J210" s="43">
        <f t="shared" si="133"/>
        <v>2.5587800000000001</v>
      </c>
      <c r="K210" s="43">
        <f t="shared" si="134"/>
        <v>8.2059999999999994E-2</v>
      </c>
      <c r="L210" s="43">
        <f t="shared" si="135"/>
        <v>0.10444000000000001</v>
      </c>
      <c r="M210" s="45"/>
      <c r="N210" s="46"/>
      <c r="O210" s="41"/>
      <c r="P210" s="41"/>
      <c r="Q210" s="41"/>
      <c r="R210" s="41"/>
      <c r="S210" s="41"/>
      <c r="T210" s="56"/>
      <c r="U210" s="56"/>
      <c r="V210" s="41"/>
      <c r="W210" s="41"/>
      <c r="X210" s="41"/>
      <c r="Y210" s="42"/>
      <c r="Z210" s="41"/>
      <c r="AA210" s="41"/>
      <c r="AB210" s="41"/>
      <c r="AC210" s="41"/>
      <c r="AD210" s="46"/>
      <c r="AE210" s="41"/>
      <c r="AF210" s="41"/>
      <c r="AG210" s="41"/>
      <c r="AH210" s="41"/>
      <c r="AI210" s="41"/>
      <c r="AJ210" s="56"/>
      <c r="AK210" s="45"/>
      <c r="AL210" s="45"/>
      <c r="AM210" s="45"/>
      <c r="AN210" s="45"/>
      <c r="AO210" s="47"/>
      <c r="AP210" s="45"/>
      <c r="AQ210" s="45"/>
      <c r="AR210" s="45"/>
      <c r="AS210" s="46"/>
      <c r="AT210" s="46"/>
      <c r="AU210" s="45"/>
      <c r="AV210" s="45"/>
      <c r="AW210" s="45"/>
      <c r="AX210" s="45"/>
      <c r="AY210" s="45"/>
      <c r="AZ210" s="41"/>
      <c r="BA210" s="56"/>
      <c r="BB210" s="45"/>
      <c r="BC210" s="45"/>
      <c r="BD210" s="45"/>
      <c r="BE210" s="45"/>
      <c r="BF210" s="47"/>
      <c r="BG210" s="45"/>
      <c r="BH210" s="45"/>
      <c r="BI210" s="45"/>
      <c r="BJ210" s="46"/>
      <c r="BK210" s="46"/>
      <c r="BL210" s="45"/>
      <c r="BM210" s="45"/>
      <c r="BN210" s="45"/>
      <c r="BO210" s="45"/>
      <c r="BP210" s="45"/>
      <c r="BQ210" s="41"/>
    </row>
    <row r="211" spans="1:69" ht="14.4" x14ac:dyDescent="0.3">
      <c r="A211" s="56" t="s">
        <v>78</v>
      </c>
      <c r="B211" s="56">
        <v>30.7</v>
      </c>
      <c r="C211" s="41"/>
      <c r="D211" s="41"/>
      <c r="E211" s="41"/>
      <c r="F211" s="42"/>
      <c r="G211" s="41">
        <v>6.31</v>
      </c>
      <c r="H211" s="41">
        <v>1.85</v>
      </c>
      <c r="I211" s="41">
        <v>0.73</v>
      </c>
      <c r="J211" s="43">
        <f t="shared" si="133"/>
        <v>1.9371699999999998</v>
      </c>
      <c r="K211" s="43">
        <f t="shared" si="134"/>
        <v>0.56795000000000007</v>
      </c>
      <c r="L211" s="43">
        <f t="shared" si="135"/>
        <v>0.22410999999999998</v>
      </c>
      <c r="M211" s="45"/>
      <c r="N211" s="46"/>
      <c r="O211" s="41"/>
      <c r="P211" s="41"/>
      <c r="Q211" s="41"/>
      <c r="R211" s="41"/>
      <c r="S211" s="41"/>
      <c r="T211" s="56"/>
      <c r="U211" s="56"/>
      <c r="V211" s="41"/>
      <c r="W211" s="41"/>
      <c r="X211" s="41"/>
      <c r="Y211" s="42"/>
      <c r="Z211" s="41"/>
      <c r="AA211" s="41"/>
      <c r="AB211" s="41"/>
      <c r="AC211" s="41"/>
      <c r="AD211" s="46"/>
      <c r="AE211" s="41"/>
      <c r="AF211" s="41"/>
      <c r="AG211" s="41"/>
      <c r="AH211" s="41"/>
      <c r="AI211" s="41"/>
      <c r="AJ211" s="56"/>
      <c r="AK211" s="45"/>
      <c r="AL211" s="45"/>
      <c r="AM211" s="45"/>
      <c r="AN211" s="45"/>
      <c r="AO211" s="47"/>
      <c r="AP211" s="45"/>
      <c r="AQ211" s="45"/>
      <c r="AR211" s="45"/>
      <c r="AS211" s="46"/>
      <c r="AT211" s="46"/>
      <c r="AU211" s="45"/>
      <c r="AV211" s="45"/>
      <c r="AW211" s="45"/>
      <c r="AX211" s="45"/>
      <c r="AY211" s="45"/>
      <c r="AZ211" s="41"/>
      <c r="BA211" s="56"/>
      <c r="BB211" s="45"/>
      <c r="BC211" s="45"/>
      <c r="BD211" s="45"/>
      <c r="BE211" s="45"/>
      <c r="BF211" s="47"/>
      <c r="BG211" s="45"/>
      <c r="BH211" s="45"/>
      <c r="BI211" s="45"/>
      <c r="BJ211" s="46"/>
      <c r="BK211" s="46"/>
      <c r="BL211" s="45"/>
      <c r="BM211" s="45"/>
      <c r="BN211" s="45"/>
      <c r="BO211" s="45"/>
      <c r="BP211" s="45"/>
      <c r="BQ211" s="41"/>
    </row>
    <row r="212" spans="1:69" ht="14.4" x14ac:dyDescent="0.3">
      <c r="A212" s="56" t="s">
        <v>81</v>
      </c>
      <c r="B212" s="56">
        <v>19.3</v>
      </c>
      <c r="C212" s="41"/>
      <c r="D212" s="41"/>
      <c r="E212" s="41"/>
      <c r="F212" s="42"/>
      <c r="G212" s="41">
        <v>7.45</v>
      </c>
      <c r="H212" s="41">
        <v>0.35</v>
      </c>
      <c r="I212" s="41">
        <v>0.16</v>
      </c>
      <c r="J212" s="43">
        <f t="shared" si="133"/>
        <v>1.4378500000000001</v>
      </c>
      <c r="K212" s="43">
        <f t="shared" si="134"/>
        <v>6.7549999999999999E-2</v>
      </c>
      <c r="L212" s="43">
        <f t="shared" si="135"/>
        <v>3.0880000000000001E-2</v>
      </c>
      <c r="M212" s="45"/>
      <c r="N212" s="46"/>
      <c r="O212" s="41"/>
      <c r="P212" s="41"/>
      <c r="Q212" s="41"/>
      <c r="R212" s="41"/>
      <c r="S212" s="41"/>
      <c r="T212" s="56"/>
      <c r="U212" s="56"/>
      <c r="V212" s="41"/>
      <c r="W212" s="41"/>
      <c r="X212" s="41"/>
      <c r="Y212" s="42"/>
      <c r="Z212" s="41"/>
      <c r="AA212" s="41"/>
      <c r="AB212" s="41"/>
      <c r="AC212" s="41"/>
      <c r="AD212" s="46"/>
      <c r="AE212" s="41"/>
      <c r="AF212" s="41"/>
      <c r="AG212" s="41"/>
      <c r="AH212" s="41"/>
      <c r="AI212" s="41"/>
      <c r="AJ212" s="56"/>
      <c r="AK212" s="45"/>
      <c r="AL212" s="45"/>
      <c r="AM212" s="45"/>
      <c r="AN212" s="45"/>
      <c r="AO212" s="47"/>
      <c r="AP212" s="45"/>
      <c r="AQ212" s="45"/>
      <c r="AR212" s="45"/>
      <c r="AS212" s="46"/>
      <c r="AT212" s="46"/>
      <c r="AU212" s="45"/>
      <c r="AV212" s="45"/>
      <c r="AW212" s="45"/>
      <c r="AX212" s="45"/>
      <c r="AY212" s="45"/>
      <c r="AZ212" s="41"/>
      <c r="BA212" s="56"/>
      <c r="BB212" s="45"/>
      <c r="BC212" s="45"/>
      <c r="BD212" s="45"/>
      <c r="BE212" s="45"/>
      <c r="BF212" s="47"/>
      <c r="BG212" s="45"/>
      <c r="BH212" s="45"/>
      <c r="BI212" s="45"/>
      <c r="BJ212" s="46"/>
      <c r="BK212" s="46"/>
      <c r="BL212" s="45"/>
      <c r="BM212" s="45"/>
      <c r="BN212" s="45"/>
      <c r="BO212" s="45"/>
      <c r="BP212" s="45"/>
      <c r="BQ212" s="41"/>
    </row>
    <row r="213" spans="1:69" ht="14.4" x14ac:dyDescent="0.3">
      <c r="A213" s="56" t="s">
        <v>72</v>
      </c>
      <c r="B213" s="56">
        <v>20</v>
      </c>
      <c r="C213" s="41"/>
      <c r="D213" s="41"/>
      <c r="E213" s="41"/>
      <c r="F213" s="42"/>
      <c r="G213" s="41">
        <v>6.75</v>
      </c>
      <c r="H213" s="41">
        <v>2.6</v>
      </c>
      <c r="I213" s="41">
        <v>1.0900000000000001</v>
      </c>
      <c r="J213" s="43">
        <f t="shared" si="133"/>
        <v>1.35</v>
      </c>
      <c r="K213" s="43">
        <f t="shared" si="134"/>
        <v>0.52</v>
      </c>
      <c r="L213" s="43">
        <f t="shared" si="135"/>
        <v>0.218</v>
      </c>
      <c r="M213" s="45"/>
      <c r="N213" s="46"/>
      <c r="O213" s="41"/>
      <c r="P213" s="41"/>
      <c r="Q213" s="41"/>
      <c r="R213" s="41"/>
      <c r="S213" s="41"/>
      <c r="T213" s="56"/>
      <c r="U213" s="56"/>
      <c r="V213" s="41"/>
      <c r="W213" s="41"/>
      <c r="X213" s="41"/>
      <c r="Y213" s="42"/>
      <c r="Z213" s="41"/>
      <c r="AA213" s="41"/>
      <c r="AB213" s="41"/>
      <c r="AC213" s="41"/>
      <c r="AD213" s="46"/>
      <c r="AE213" s="41"/>
      <c r="AF213" s="41"/>
      <c r="AG213" s="41"/>
      <c r="AH213" s="41"/>
      <c r="AI213" s="41"/>
      <c r="AJ213" s="56"/>
      <c r="AK213" s="45"/>
      <c r="AL213" s="45"/>
      <c r="AM213" s="45"/>
      <c r="AN213" s="45"/>
      <c r="AO213" s="47"/>
      <c r="AP213" s="45"/>
      <c r="AQ213" s="45"/>
      <c r="AR213" s="45"/>
      <c r="AS213" s="46"/>
      <c r="AT213" s="46"/>
      <c r="AU213" s="45"/>
      <c r="AV213" s="45"/>
      <c r="AW213" s="45"/>
      <c r="AX213" s="45"/>
      <c r="AY213" s="45"/>
      <c r="AZ213" s="41"/>
      <c r="BA213" s="56"/>
      <c r="BB213" s="45"/>
      <c r="BC213" s="45"/>
      <c r="BD213" s="45"/>
      <c r="BE213" s="45"/>
      <c r="BF213" s="47"/>
      <c r="BG213" s="45"/>
      <c r="BH213" s="45"/>
      <c r="BI213" s="45"/>
      <c r="BJ213" s="46"/>
      <c r="BK213" s="46"/>
      <c r="BL213" s="45"/>
      <c r="BM213" s="45"/>
      <c r="BN213" s="45"/>
      <c r="BO213" s="45"/>
      <c r="BP213" s="45"/>
      <c r="BQ213" s="41"/>
    </row>
    <row r="214" spans="1:69" ht="14.4" x14ac:dyDescent="0.3">
      <c r="A214" s="56" t="s">
        <v>84</v>
      </c>
      <c r="B214" s="56">
        <v>28.4</v>
      </c>
      <c r="C214" s="41"/>
      <c r="D214" s="41"/>
      <c r="E214" s="41"/>
      <c r="F214" s="42"/>
      <c r="G214" s="41">
        <v>9.48</v>
      </c>
      <c r="H214" s="41">
        <v>0.33</v>
      </c>
      <c r="I214" s="41">
        <v>0.22</v>
      </c>
      <c r="J214" s="43">
        <f t="shared" si="133"/>
        <v>2.6923199999999996</v>
      </c>
      <c r="K214" s="43">
        <f t="shared" si="134"/>
        <v>9.3719999999999998E-2</v>
      </c>
      <c r="L214" s="43">
        <f t="shared" si="135"/>
        <v>6.2479999999999994E-2</v>
      </c>
      <c r="M214" s="45"/>
      <c r="N214" s="46"/>
      <c r="O214" s="41"/>
      <c r="P214" s="41"/>
      <c r="Q214" s="41"/>
      <c r="R214" s="41"/>
      <c r="S214" s="41"/>
      <c r="T214" s="56"/>
      <c r="U214" s="56"/>
      <c r="V214" s="41"/>
      <c r="W214" s="41"/>
      <c r="X214" s="41"/>
      <c r="Y214" s="42"/>
      <c r="Z214" s="41"/>
      <c r="AA214" s="41"/>
      <c r="AB214" s="41"/>
      <c r="AC214" s="41"/>
      <c r="AD214" s="46"/>
      <c r="AE214" s="41"/>
      <c r="AF214" s="41"/>
      <c r="AG214" s="41"/>
      <c r="AH214" s="41"/>
      <c r="AI214" s="41"/>
      <c r="AJ214" s="56"/>
      <c r="AK214" s="45"/>
      <c r="AL214" s="45"/>
      <c r="AM214" s="45"/>
      <c r="AN214" s="45"/>
      <c r="AO214" s="47"/>
      <c r="AP214" s="45"/>
      <c r="AQ214" s="45"/>
      <c r="AR214" s="45"/>
      <c r="AS214" s="46"/>
      <c r="AT214" s="46"/>
      <c r="AU214" s="45"/>
      <c r="AV214" s="45"/>
      <c r="AW214" s="45"/>
      <c r="AX214" s="45"/>
      <c r="AY214" s="45"/>
      <c r="AZ214" s="41"/>
      <c r="BA214" s="56"/>
      <c r="BB214" s="45"/>
      <c r="BC214" s="45"/>
      <c r="BD214" s="45"/>
      <c r="BE214" s="45"/>
      <c r="BF214" s="47"/>
      <c r="BG214" s="45"/>
      <c r="BH214" s="45"/>
      <c r="BI214" s="45"/>
      <c r="BJ214" s="46"/>
      <c r="BK214" s="46"/>
      <c r="BL214" s="45"/>
      <c r="BM214" s="45"/>
      <c r="BN214" s="45"/>
      <c r="BO214" s="45"/>
      <c r="BP214" s="45"/>
      <c r="BQ214" s="41"/>
    </row>
    <row r="215" spans="1:69" ht="14.4" x14ac:dyDescent="0.3">
      <c r="A215" s="56" t="s">
        <v>86</v>
      </c>
      <c r="B215" s="56">
        <v>18.100000000000001</v>
      </c>
      <c r="C215" s="41"/>
      <c r="D215" s="41"/>
      <c r="E215" s="41"/>
      <c r="F215" s="42"/>
      <c r="G215" s="41">
        <v>11.7</v>
      </c>
      <c r="H215" s="41">
        <v>0.9</v>
      </c>
      <c r="I215" s="41">
        <v>0.28999999999999998</v>
      </c>
      <c r="J215" s="43">
        <f t="shared" si="133"/>
        <v>2.1177000000000001</v>
      </c>
      <c r="K215" s="43">
        <f t="shared" si="134"/>
        <v>0.16290000000000002</v>
      </c>
      <c r="L215" s="43">
        <f t="shared" si="135"/>
        <v>5.2489999999999995E-2</v>
      </c>
      <c r="M215" s="45"/>
      <c r="N215" s="46"/>
      <c r="O215" s="41"/>
      <c r="P215" s="41"/>
      <c r="Q215" s="41"/>
      <c r="R215" s="41"/>
      <c r="S215" s="41"/>
      <c r="T215" s="56"/>
      <c r="U215" s="56"/>
      <c r="V215" s="41"/>
      <c r="W215" s="41"/>
      <c r="X215" s="41"/>
      <c r="Y215" s="42"/>
      <c r="Z215" s="41"/>
      <c r="AA215" s="41"/>
      <c r="AB215" s="41"/>
      <c r="AC215" s="41"/>
      <c r="AD215" s="46"/>
      <c r="AE215" s="41"/>
      <c r="AF215" s="41"/>
      <c r="AG215" s="41"/>
      <c r="AH215" s="41"/>
      <c r="AI215" s="41"/>
      <c r="AJ215" s="56"/>
      <c r="AK215" s="45"/>
      <c r="AL215" s="45"/>
      <c r="AM215" s="45"/>
      <c r="AN215" s="45"/>
      <c r="AO215" s="47"/>
      <c r="AP215" s="45"/>
      <c r="AQ215" s="45"/>
      <c r="AR215" s="45"/>
      <c r="AS215" s="46"/>
      <c r="AT215" s="46"/>
      <c r="AU215" s="45"/>
      <c r="AV215" s="45"/>
      <c r="AW215" s="45"/>
      <c r="AX215" s="45"/>
      <c r="AY215" s="45"/>
      <c r="AZ215" s="41"/>
      <c r="BA215" s="56"/>
      <c r="BB215" s="45"/>
      <c r="BC215" s="45"/>
      <c r="BD215" s="45"/>
      <c r="BE215" s="45"/>
      <c r="BF215" s="47"/>
      <c r="BG215" s="45"/>
      <c r="BH215" s="45"/>
      <c r="BI215" s="45"/>
      <c r="BJ215" s="46"/>
      <c r="BK215" s="46"/>
      <c r="BL215" s="45"/>
      <c r="BM215" s="45"/>
      <c r="BN215" s="45"/>
      <c r="BO215" s="45"/>
      <c r="BP215" s="45"/>
      <c r="BQ215" s="41"/>
    </row>
    <row r="216" spans="1:69" ht="14.4" x14ac:dyDescent="0.3">
      <c r="A216" s="56" t="s">
        <v>87</v>
      </c>
      <c r="B216" s="56">
        <v>26.1</v>
      </c>
      <c r="C216" s="41"/>
      <c r="D216" s="41"/>
      <c r="E216" s="41"/>
      <c r="F216" s="42"/>
      <c r="G216" s="41">
        <v>10.6</v>
      </c>
      <c r="H216" s="41">
        <v>1.1100000000000001</v>
      </c>
      <c r="I216" s="41">
        <v>0.3</v>
      </c>
      <c r="J216" s="43">
        <f t="shared" si="133"/>
        <v>2.7666000000000004</v>
      </c>
      <c r="K216" s="43">
        <f t="shared" si="134"/>
        <v>0.28971000000000002</v>
      </c>
      <c r="L216" s="43">
        <f t="shared" si="135"/>
        <v>7.8299999999999995E-2</v>
      </c>
      <c r="M216" s="45"/>
      <c r="N216" s="46"/>
      <c r="O216" s="41"/>
      <c r="P216" s="41"/>
      <c r="Q216" s="41"/>
      <c r="R216" s="41"/>
      <c r="S216" s="41"/>
      <c r="T216" s="56"/>
      <c r="U216" s="56"/>
      <c r="V216" s="41"/>
      <c r="W216" s="41"/>
      <c r="X216" s="41"/>
      <c r="Y216" s="42"/>
      <c r="Z216" s="41"/>
      <c r="AA216" s="41"/>
      <c r="AB216" s="41"/>
      <c r="AC216" s="41"/>
      <c r="AD216" s="46"/>
      <c r="AE216" s="41"/>
      <c r="AF216" s="41"/>
      <c r="AG216" s="41"/>
      <c r="AH216" s="41"/>
      <c r="AI216" s="41"/>
      <c r="AJ216" s="56"/>
      <c r="AK216" s="45"/>
      <c r="AL216" s="45"/>
      <c r="AM216" s="45"/>
      <c r="AN216" s="45"/>
      <c r="AO216" s="47"/>
      <c r="AP216" s="45"/>
      <c r="AQ216" s="45"/>
      <c r="AR216" s="45"/>
      <c r="AS216" s="46"/>
      <c r="AT216" s="46"/>
      <c r="AU216" s="45"/>
      <c r="AV216" s="45"/>
      <c r="AW216" s="45"/>
      <c r="AX216" s="45"/>
      <c r="AY216" s="45"/>
      <c r="AZ216" s="41"/>
      <c r="BA216" s="56"/>
      <c r="BB216" s="45"/>
      <c r="BC216" s="45"/>
      <c r="BD216" s="45"/>
      <c r="BE216" s="45"/>
      <c r="BF216" s="47"/>
      <c r="BG216" s="45"/>
      <c r="BH216" s="45"/>
      <c r="BI216" s="45"/>
      <c r="BJ216" s="46"/>
      <c r="BK216" s="46"/>
      <c r="BL216" s="45"/>
      <c r="BM216" s="45"/>
      <c r="BN216" s="45"/>
      <c r="BO216" s="45"/>
      <c r="BP216" s="45"/>
      <c r="BQ216" s="41"/>
    </row>
    <row r="217" spans="1:69" ht="14.4" x14ac:dyDescent="0.3">
      <c r="A217" s="56" t="s">
        <v>88</v>
      </c>
      <c r="B217" s="56">
        <v>39.9</v>
      </c>
      <c r="C217" s="41"/>
      <c r="D217" s="41"/>
      <c r="E217" s="41"/>
      <c r="F217" s="42"/>
      <c r="G217" s="41">
        <v>12.3</v>
      </c>
      <c r="H217" s="41">
        <v>2.46</v>
      </c>
      <c r="I217" s="41">
        <v>0</v>
      </c>
      <c r="J217" s="43">
        <f t="shared" si="133"/>
        <v>4.9077000000000002</v>
      </c>
      <c r="K217" s="43">
        <f t="shared" si="134"/>
        <v>0.98153999999999997</v>
      </c>
      <c r="L217" s="43">
        <f t="shared" si="135"/>
        <v>0</v>
      </c>
      <c r="M217" s="45"/>
      <c r="N217" s="46"/>
      <c r="O217" s="41"/>
      <c r="P217" s="41"/>
      <c r="Q217" s="41"/>
      <c r="R217" s="41"/>
      <c r="S217" s="41"/>
      <c r="T217" s="56"/>
      <c r="U217" s="56"/>
      <c r="V217" s="41"/>
      <c r="W217" s="41"/>
      <c r="X217" s="41"/>
      <c r="Y217" s="42"/>
      <c r="Z217" s="41"/>
      <c r="AA217" s="41"/>
      <c r="AB217" s="41"/>
      <c r="AC217" s="41"/>
      <c r="AD217" s="46"/>
      <c r="AE217" s="41"/>
      <c r="AF217" s="41"/>
      <c r="AG217" s="41"/>
      <c r="AH217" s="41"/>
      <c r="AI217" s="41"/>
      <c r="AJ217" s="56"/>
      <c r="AK217" s="45"/>
      <c r="AL217" s="45"/>
      <c r="AM217" s="45"/>
      <c r="AN217" s="45"/>
      <c r="AO217" s="47"/>
      <c r="AP217" s="45"/>
      <c r="AQ217" s="45"/>
      <c r="AR217" s="45"/>
      <c r="AS217" s="46"/>
      <c r="AT217" s="46"/>
      <c r="AU217" s="45"/>
      <c r="AV217" s="45"/>
      <c r="AW217" s="45"/>
      <c r="AX217" s="45"/>
      <c r="AY217" s="45"/>
      <c r="AZ217" s="41"/>
      <c r="BA217" s="56"/>
      <c r="BB217" s="45"/>
      <c r="BC217" s="45"/>
      <c r="BD217" s="45"/>
      <c r="BE217" s="45"/>
      <c r="BF217" s="47"/>
      <c r="BG217" s="45"/>
      <c r="BH217" s="45"/>
      <c r="BI217" s="45"/>
      <c r="BJ217" s="46"/>
      <c r="BK217" s="46"/>
      <c r="BL217" s="45"/>
      <c r="BM217" s="45"/>
      <c r="BN217" s="45"/>
      <c r="BO217" s="45"/>
      <c r="BP217" s="45"/>
      <c r="BQ217" s="41"/>
    </row>
    <row r="218" spans="1:69" ht="14.4" x14ac:dyDescent="0.3">
      <c r="A218" s="56" t="s">
        <v>89</v>
      </c>
      <c r="B218" s="56">
        <v>27.6</v>
      </c>
      <c r="C218" s="41"/>
      <c r="D218" s="41"/>
      <c r="E218" s="41"/>
      <c r="F218" s="42"/>
      <c r="G218" s="41">
        <v>14.3</v>
      </c>
      <c r="H218" s="41">
        <v>1.1100000000000001</v>
      </c>
      <c r="I218" s="41">
        <v>0.22</v>
      </c>
      <c r="J218" s="43">
        <f t="shared" si="133"/>
        <v>3.9468000000000005</v>
      </c>
      <c r="K218" s="43">
        <f t="shared" si="134"/>
        <v>0.30636000000000002</v>
      </c>
      <c r="L218" s="43">
        <f t="shared" si="135"/>
        <v>6.0720000000000003E-2</v>
      </c>
      <c r="M218" s="45"/>
      <c r="N218" s="46"/>
      <c r="O218" s="41"/>
      <c r="P218" s="41"/>
      <c r="Q218" s="41"/>
      <c r="R218" s="41"/>
      <c r="S218" s="41"/>
      <c r="T218" s="56"/>
      <c r="U218" s="56"/>
      <c r="V218" s="41"/>
      <c r="W218" s="41"/>
      <c r="X218" s="41"/>
      <c r="Y218" s="42"/>
      <c r="Z218" s="41"/>
      <c r="AA218" s="41"/>
      <c r="AB218" s="41"/>
      <c r="AC218" s="41"/>
      <c r="AD218" s="46"/>
      <c r="AE218" s="41"/>
      <c r="AF218" s="41"/>
      <c r="AG218" s="41"/>
      <c r="AH218" s="41"/>
      <c r="AI218" s="41"/>
      <c r="AJ218" s="56"/>
      <c r="AK218" s="45"/>
      <c r="AL218" s="45"/>
      <c r="AM218" s="45"/>
      <c r="AN218" s="45"/>
      <c r="AO218" s="47"/>
      <c r="AP218" s="45"/>
      <c r="AQ218" s="45"/>
      <c r="AR218" s="45"/>
      <c r="AS218" s="46"/>
      <c r="AT218" s="46"/>
      <c r="AU218" s="45"/>
      <c r="AV218" s="45"/>
      <c r="AW218" s="45"/>
      <c r="AX218" s="45"/>
      <c r="AY218" s="45"/>
      <c r="AZ218" s="41"/>
      <c r="BA218" s="56"/>
      <c r="BB218" s="45"/>
      <c r="BC218" s="45"/>
      <c r="BD218" s="45"/>
      <c r="BE218" s="45"/>
      <c r="BF218" s="47"/>
      <c r="BG218" s="45"/>
      <c r="BH218" s="45"/>
      <c r="BI218" s="45"/>
      <c r="BJ218" s="46"/>
      <c r="BK218" s="46"/>
      <c r="BL218" s="45"/>
      <c r="BM218" s="45"/>
      <c r="BN218" s="45"/>
      <c r="BO218" s="45"/>
      <c r="BP218" s="45"/>
      <c r="BQ218" s="41"/>
    </row>
    <row r="219" spans="1:69" ht="14.4" x14ac:dyDescent="0.3">
      <c r="A219" s="56" t="s">
        <v>93</v>
      </c>
      <c r="B219" s="56">
        <v>30.2</v>
      </c>
      <c r="C219" s="41"/>
      <c r="D219" s="41"/>
      <c r="E219" s="41"/>
      <c r="F219" s="42"/>
      <c r="G219" s="41">
        <v>15.3</v>
      </c>
      <c r="H219" s="41">
        <v>1.31</v>
      </c>
      <c r="I219" s="41">
        <v>0.09</v>
      </c>
      <c r="J219" s="43">
        <f t="shared" si="133"/>
        <v>4.6205999999999996</v>
      </c>
      <c r="K219" s="43">
        <f t="shared" si="134"/>
        <v>0.39561999999999997</v>
      </c>
      <c r="L219" s="43">
        <f t="shared" si="135"/>
        <v>2.7179999999999999E-2</v>
      </c>
      <c r="M219" s="45"/>
      <c r="N219" s="46"/>
      <c r="O219" s="41"/>
      <c r="P219" s="41"/>
      <c r="Q219" s="41"/>
      <c r="R219" s="41"/>
      <c r="S219" s="41"/>
      <c r="T219" s="56"/>
      <c r="U219" s="56"/>
      <c r="V219" s="41"/>
      <c r="W219" s="41"/>
      <c r="X219" s="41"/>
      <c r="Y219" s="42"/>
      <c r="Z219" s="41"/>
      <c r="AA219" s="41"/>
      <c r="AB219" s="41"/>
      <c r="AC219" s="41"/>
      <c r="AD219" s="46"/>
      <c r="AE219" s="41"/>
      <c r="AF219" s="41"/>
      <c r="AG219" s="41"/>
      <c r="AH219" s="41"/>
      <c r="AI219" s="41"/>
      <c r="AJ219" s="56"/>
      <c r="AK219" s="45"/>
      <c r="AL219" s="45"/>
      <c r="AM219" s="45"/>
      <c r="AN219" s="45"/>
      <c r="AO219" s="47"/>
      <c r="AP219" s="45"/>
      <c r="AQ219" s="45"/>
      <c r="AR219" s="45"/>
      <c r="AS219" s="46"/>
      <c r="AT219" s="46"/>
      <c r="AU219" s="45"/>
      <c r="AV219" s="45"/>
      <c r="AW219" s="45"/>
      <c r="AX219" s="45"/>
      <c r="AY219" s="45"/>
      <c r="AZ219" s="41"/>
      <c r="BA219" s="56"/>
      <c r="BB219" s="45"/>
      <c r="BC219" s="45"/>
      <c r="BD219" s="45"/>
      <c r="BE219" s="45"/>
      <c r="BF219" s="47"/>
      <c r="BG219" s="45"/>
      <c r="BH219" s="45"/>
      <c r="BI219" s="45"/>
      <c r="BJ219" s="46"/>
      <c r="BK219" s="46"/>
      <c r="BL219" s="45"/>
      <c r="BM219" s="45"/>
      <c r="BN219" s="45"/>
      <c r="BO219" s="45"/>
      <c r="BP219" s="45"/>
      <c r="BQ219" s="41"/>
    </row>
    <row r="220" spans="1:69" ht="14.4" x14ac:dyDescent="0.3">
      <c r="A220" s="56" t="s">
        <v>90</v>
      </c>
      <c r="B220" s="56">
        <v>22.8</v>
      </c>
      <c r="C220" s="41"/>
      <c r="D220" s="41"/>
      <c r="E220" s="41"/>
      <c r="F220" s="42"/>
      <c r="G220" s="41">
        <v>15.3</v>
      </c>
      <c r="H220" s="41">
        <v>0.83</v>
      </c>
      <c r="I220" s="41">
        <v>2.7E-2</v>
      </c>
      <c r="J220" s="43">
        <f t="shared" si="133"/>
        <v>3.4884000000000004</v>
      </c>
      <c r="K220" s="43">
        <f t="shared" si="134"/>
        <v>0.18923999999999999</v>
      </c>
      <c r="L220" s="43">
        <f t="shared" si="135"/>
        <v>6.156E-3</v>
      </c>
      <c r="M220" s="45"/>
      <c r="N220" s="46"/>
      <c r="O220" s="41"/>
      <c r="P220" s="41"/>
      <c r="Q220" s="41"/>
      <c r="R220" s="41"/>
      <c r="S220" s="41"/>
      <c r="T220" s="56"/>
      <c r="U220" s="56"/>
      <c r="V220" s="41"/>
      <c r="W220" s="41"/>
      <c r="X220" s="41"/>
      <c r="Y220" s="42"/>
      <c r="Z220" s="41"/>
      <c r="AA220" s="41"/>
      <c r="AB220" s="41"/>
      <c r="AC220" s="41"/>
      <c r="AD220" s="46"/>
      <c r="AE220" s="41"/>
      <c r="AF220" s="41"/>
      <c r="AG220" s="41"/>
      <c r="AH220" s="41"/>
      <c r="AI220" s="41"/>
      <c r="AJ220" s="56"/>
      <c r="AK220" s="45"/>
      <c r="AL220" s="45"/>
      <c r="AM220" s="45"/>
      <c r="AN220" s="45"/>
      <c r="AO220" s="47"/>
      <c r="AP220" s="45"/>
      <c r="AQ220" s="45"/>
      <c r="AR220" s="45"/>
      <c r="AS220" s="46"/>
      <c r="AT220" s="46"/>
      <c r="AU220" s="45"/>
      <c r="AV220" s="45"/>
      <c r="AW220" s="45"/>
      <c r="AX220" s="45"/>
      <c r="AY220" s="45"/>
      <c r="AZ220" s="41"/>
      <c r="BA220" s="56"/>
      <c r="BB220" s="45"/>
      <c r="BC220" s="45"/>
      <c r="BD220" s="45"/>
      <c r="BE220" s="45"/>
      <c r="BF220" s="47"/>
      <c r="BG220" s="45"/>
      <c r="BH220" s="45"/>
      <c r="BI220" s="45"/>
      <c r="BJ220" s="46"/>
      <c r="BK220" s="46"/>
      <c r="BL220" s="45"/>
      <c r="BM220" s="45"/>
      <c r="BN220" s="45"/>
      <c r="BO220" s="45"/>
      <c r="BP220" s="45"/>
      <c r="BQ220" s="41"/>
    </row>
    <row r="221" spans="1:69" ht="14.4" x14ac:dyDescent="0.3">
      <c r="A221" s="56" t="s">
        <v>91</v>
      </c>
      <c r="B221" s="56">
        <v>32.299999999999997</v>
      </c>
      <c r="C221" s="41"/>
      <c r="D221" s="41"/>
      <c r="E221" s="41"/>
      <c r="F221" s="42"/>
      <c r="G221" s="41">
        <v>13.6</v>
      </c>
      <c r="H221" s="41">
        <v>0.47</v>
      </c>
      <c r="I221" s="41">
        <v>0.39</v>
      </c>
      <c r="J221" s="43">
        <f t="shared" si="133"/>
        <v>4.3927999999999994</v>
      </c>
      <c r="K221" s="43">
        <f t="shared" si="134"/>
        <v>0.15180999999999997</v>
      </c>
      <c r="L221" s="43">
        <f t="shared" si="135"/>
        <v>0.12597</v>
      </c>
      <c r="M221" s="45"/>
      <c r="N221" s="46"/>
      <c r="O221" s="41"/>
      <c r="P221" s="41"/>
      <c r="Q221" s="41"/>
      <c r="R221" s="41"/>
      <c r="S221" s="41"/>
      <c r="T221" s="56"/>
      <c r="U221" s="56"/>
      <c r="V221" s="41"/>
      <c r="W221" s="41"/>
      <c r="X221" s="41"/>
      <c r="Y221" s="42"/>
      <c r="Z221" s="41"/>
      <c r="AA221" s="41"/>
      <c r="AB221" s="41"/>
      <c r="AC221" s="41"/>
      <c r="AD221" s="46"/>
      <c r="AE221" s="41"/>
      <c r="AF221" s="41"/>
      <c r="AG221" s="41"/>
      <c r="AH221" s="41"/>
      <c r="AI221" s="41"/>
      <c r="AJ221" s="56"/>
      <c r="AK221" s="45"/>
      <c r="AL221" s="45"/>
      <c r="AM221" s="45"/>
      <c r="AN221" s="45"/>
      <c r="AO221" s="47"/>
      <c r="AP221" s="45"/>
      <c r="AQ221" s="45"/>
      <c r="AR221" s="45"/>
      <c r="AS221" s="46"/>
      <c r="AT221" s="46"/>
      <c r="AU221" s="45"/>
      <c r="AV221" s="45"/>
      <c r="AW221" s="45"/>
      <c r="AX221" s="45"/>
      <c r="AY221" s="45"/>
      <c r="AZ221" s="41"/>
      <c r="BA221" s="56"/>
      <c r="BB221" s="45"/>
      <c r="BC221" s="45"/>
      <c r="BD221" s="45"/>
      <c r="BE221" s="45"/>
      <c r="BF221" s="47"/>
      <c r="BG221" s="45"/>
      <c r="BH221" s="45"/>
      <c r="BI221" s="45"/>
      <c r="BJ221" s="46"/>
      <c r="BK221" s="46"/>
      <c r="BL221" s="45"/>
      <c r="BM221" s="45"/>
      <c r="BN221" s="45"/>
      <c r="BO221" s="45"/>
      <c r="BP221" s="45"/>
      <c r="BQ221" s="41"/>
    </row>
    <row r="222" spans="1:69" ht="14.4" x14ac:dyDescent="0.3">
      <c r="A222" s="56" t="s">
        <v>97</v>
      </c>
      <c r="B222" s="56">
        <v>13.4</v>
      </c>
      <c r="C222" s="41"/>
      <c r="D222" s="41"/>
      <c r="E222" s="41"/>
      <c r="F222" s="42"/>
      <c r="G222" s="41">
        <v>9.25</v>
      </c>
      <c r="H222" s="41">
        <v>0.87</v>
      </c>
      <c r="I222" s="41">
        <v>2.57</v>
      </c>
      <c r="J222" s="43">
        <f t="shared" si="133"/>
        <v>1.2395</v>
      </c>
      <c r="K222" s="43">
        <f t="shared" si="134"/>
        <v>0.11657999999999999</v>
      </c>
      <c r="L222" s="43">
        <f t="shared" si="135"/>
        <v>0.34437999999999996</v>
      </c>
      <c r="M222" s="45"/>
      <c r="N222" s="46"/>
      <c r="O222" s="41"/>
      <c r="P222" s="41"/>
      <c r="Q222" s="41"/>
      <c r="R222" s="41"/>
      <c r="S222" s="41"/>
      <c r="T222" s="56"/>
      <c r="U222" s="56"/>
      <c r="V222" s="41"/>
      <c r="W222" s="41"/>
      <c r="X222" s="41"/>
      <c r="Y222" s="42"/>
      <c r="Z222" s="41"/>
      <c r="AA222" s="41"/>
      <c r="AB222" s="41"/>
      <c r="AC222" s="41"/>
      <c r="AD222" s="46"/>
      <c r="AE222" s="41"/>
      <c r="AF222" s="41"/>
      <c r="AG222" s="41"/>
      <c r="AH222" s="41"/>
      <c r="AI222" s="41"/>
      <c r="AJ222" s="56"/>
      <c r="AK222" s="45"/>
      <c r="AL222" s="45"/>
      <c r="AM222" s="45"/>
      <c r="AN222" s="45"/>
      <c r="AO222" s="47"/>
      <c r="AP222" s="45"/>
      <c r="AQ222" s="45"/>
      <c r="AR222" s="45"/>
      <c r="AS222" s="46"/>
      <c r="AT222" s="46"/>
      <c r="AU222" s="45"/>
      <c r="AV222" s="45"/>
      <c r="AW222" s="45"/>
      <c r="AX222" s="45"/>
      <c r="AY222" s="45"/>
      <c r="AZ222" s="41"/>
      <c r="BA222" s="56"/>
      <c r="BB222" s="45"/>
      <c r="BC222" s="45"/>
      <c r="BD222" s="45"/>
      <c r="BE222" s="45"/>
      <c r="BF222" s="47"/>
      <c r="BG222" s="45"/>
      <c r="BH222" s="45"/>
      <c r="BI222" s="45"/>
      <c r="BJ222" s="46"/>
      <c r="BK222" s="46"/>
      <c r="BL222" s="45"/>
      <c r="BM222" s="45"/>
      <c r="BN222" s="45"/>
      <c r="BO222" s="45"/>
      <c r="BP222" s="45"/>
      <c r="BQ222" s="41"/>
    </row>
    <row r="223" spans="1:69" ht="14.4" x14ac:dyDescent="0.3">
      <c r="A223" s="56" t="s">
        <v>98</v>
      </c>
      <c r="B223" s="56">
        <v>23.9</v>
      </c>
      <c r="C223" s="41"/>
      <c r="D223" s="41"/>
      <c r="E223" s="41"/>
      <c r="F223" s="42"/>
      <c r="G223" s="41">
        <v>26</v>
      </c>
      <c r="H223" s="41">
        <v>1.3</v>
      </c>
      <c r="I223" s="41">
        <v>1.0900000000000001</v>
      </c>
      <c r="J223" s="43">
        <f t="shared" si="133"/>
        <v>6.2139999999999995</v>
      </c>
      <c r="K223" s="43">
        <f t="shared" si="134"/>
        <v>0.31069999999999998</v>
      </c>
      <c r="L223" s="43">
        <f t="shared" si="135"/>
        <v>0.26051000000000002</v>
      </c>
      <c r="M223" s="45"/>
      <c r="N223" s="46"/>
      <c r="O223" s="41"/>
      <c r="P223" s="41"/>
      <c r="Q223" s="41"/>
      <c r="R223" s="41"/>
      <c r="S223" s="41"/>
      <c r="T223" s="56"/>
      <c r="U223" s="56"/>
      <c r="V223" s="41"/>
      <c r="W223" s="41"/>
      <c r="X223" s="41"/>
      <c r="Y223" s="42"/>
      <c r="Z223" s="41"/>
      <c r="AA223" s="41"/>
      <c r="AB223" s="41"/>
      <c r="AC223" s="41"/>
      <c r="AD223" s="46"/>
      <c r="AE223" s="41"/>
      <c r="AF223" s="41"/>
      <c r="AG223" s="41"/>
      <c r="AH223" s="41"/>
      <c r="AI223" s="41"/>
      <c r="AJ223" s="56"/>
      <c r="AK223" s="45"/>
      <c r="AL223" s="45"/>
      <c r="AM223" s="45"/>
      <c r="AN223" s="45"/>
      <c r="AO223" s="47"/>
      <c r="AP223" s="45"/>
      <c r="AQ223" s="45"/>
      <c r="AR223" s="45"/>
      <c r="AS223" s="46"/>
      <c r="AT223" s="46"/>
      <c r="AU223" s="45"/>
      <c r="AV223" s="45"/>
      <c r="AW223" s="45"/>
      <c r="AX223" s="45"/>
      <c r="AY223" s="45"/>
      <c r="AZ223" s="41"/>
      <c r="BA223" s="56"/>
      <c r="BB223" s="45"/>
      <c r="BC223" s="45"/>
      <c r="BD223" s="45"/>
      <c r="BE223" s="45"/>
      <c r="BF223" s="47"/>
      <c r="BG223" s="45"/>
      <c r="BH223" s="45"/>
      <c r="BI223" s="45"/>
      <c r="BJ223" s="46"/>
      <c r="BK223" s="46"/>
      <c r="BL223" s="45"/>
      <c r="BM223" s="45"/>
      <c r="BN223" s="45"/>
      <c r="BO223" s="45"/>
      <c r="BP223" s="45"/>
      <c r="BQ223" s="41"/>
    </row>
    <row r="224" spans="1:69" ht="14.4" x14ac:dyDescent="0.3">
      <c r="A224" s="56" t="s">
        <v>99</v>
      </c>
      <c r="B224" s="56">
        <v>23.9</v>
      </c>
      <c r="C224" s="41"/>
      <c r="D224" s="41"/>
      <c r="E224" s="41"/>
      <c r="F224" s="42"/>
      <c r="G224" s="41">
        <v>10.1</v>
      </c>
      <c r="H224" s="41">
        <v>0.4</v>
      </c>
      <c r="I224" s="41">
        <v>0.89</v>
      </c>
      <c r="J224" s="43">
        <f t="shared" si="133"/>
        <v>2.4138999999999999</v>
      </c>
      <c r="K224" s="43">
        <f t="shared" si="134"/>
        <v>9.5600000000000004E-2</v>
      </c>
      <c r="L224" s="43">
        <f t="shared" si="135"/>
        <v>0.21271000000000001</v>
      </c>
      <c r="M224" s="45"/>
      <c r="N224" s="46"/>
      <c r="O224" s="41"/>
      <c r="P224" s="41"/>
      <c r="Q224" s="41"/>
      <c r="R224" s="41"/>
      <c r="S224" s="41"/>
      <c r="T224" s="56"/>
      <c r="U224" s="56"/>
      <c r="V224" s="41"/>
      <c r="W224" s="41"/>
      <c r="X224" s="41"/>
      <c r="Y224" s="42"/>
      <c r="Z224" s="41"/>
      <c r="AA224" s="41"/>
      <c r="AB224" s="41"/>
      <c r="AC224" s="41"/>
      <c r="AD224" s="46"/>
      <c r="AE224" s="41"/>
      <c r="AF224" s="41"/>
      <c r="AG224" s="41"/>
      <c r="AH224" s="41"/>
      <c r="AI224" s="41"/>
      <c r="AJ224" s="56"/>
      <c r="AK224" s="45"/>
      <c r="AL224" s="45"/>
      <c r="AM224" s="45"/>
      <c r="AN224" s="45"/>
      <c r="AO224" s="47"/>
      <c r="AP224" s="45"/>
      <c r="AQ224" s="45"/>
      <c r="AR224" s="45"/>
      <c r="AS224" s="46"/>
      <c r="AT224" s="46"/>
      <c r="AU224" s="45"/>
      <c r="AV224" s="45"/>
      <c r="AW224" s="45"/>
      <c r="AX224" s="45"/>
      <c r="AY224" s="45"/>
      <c r="AZ224" s="41"/>
      <c r="BA224" s="56"/>
      <c r="BB224" s="45"/>
      <c r="BC224" s="45"/>
      <c r="BD224" s="45"/>
      <c r="BE224" s="45"/>
      <c r="BF224" s="47"/>
      <c r="BG224" s="45"/>
      <c r="BH224" s="45"/>
      <c r="BI224" s="45"/>
      <c r="BJ224" s="46"/>
      <c r="BK224" s="46"/>
      <c r="BL224" s="45"/>
      <c r="BM224" s="45"/>
      <c r="BN224" s="45"/>
      <c r="BO224" s="45"/>
      <c r="BP224" s="45"/>
      <c r="BQ224" s="41"/>
    </row>
    <row r="225" spans="1:69" ht="14.4" x14ac:dyDescent="0.3">
      <c r="A225" s="56" t="s">
        <v>95</v>
      </c>
      <c r="B225" s="56">
        <v>28.4</v>
      </c>
      <c r="C225" s="41"/>
      <c r="D225" s="41"/>
      <c r="E225" s="41"/>
      <c r="F225" s="42"/>
      <c r="G225" s="41">
        <v>18.899999999999999</v>
      </c>
      <c r="H225" s="41">
        <v>1.88</v>
      </c>
      <c r="I225" s="41">
        <v>1.04</v>
      </c>
      <c r="J225" s="43">
        <f t="shared" si="133"/>
        <v>5.3675999999999986</v>
      </c>
      <c r="K225" s="43">
        <f t="shared" si="134"/>
        <v>0.53391999999999995</v>
      </c>
      <c r="L225" s="43">
        <f t="shared" si="135"/>
        <v>0.29535999999999996</v>
      </c>
      <c r="M225" s="45"/>
      <c r="N225" s="46"/>
      <c r="O225" s="41"/>
      <c r="P225" s="41"/>
      <c r="Q225" s="41"/>
      <c r="R225" s="41"/>
      <c r="S225" s="41"/>
      <c r="T225" s="56"/>
      <c r="U225" s="56"/>
      <c r="V225" s="41"/>
      <c r="W225" s="41"/>
      <c r="X225" s="41"/>
      <c r="Y225" s="42"/>
      <c r="Z225" s="41"/>
      <c r="AA225" s="41"/>
      <c r="AB225" s="41"/>
      <c r="AC225" s="41"/>
      <c r="AD225" s="46"/>
      <c r="AE225" s="41"/>
      <c r="AF225" s="41"/>
      <c r="AG225" s="41"/>
      <c r="AH225" s="41"/>
      <c r="AI225" s="41"/>
      <c r="AJ225" s="56"/>
      <c r="AK225" s="45"/>
      <c r="AL225" s="45"/>
      <c r="AM225" s="45"/>
      <c r="AN225" s="45"/>
      <c r="AO225" s="47"/>
      <c r="AP225" s="45"/>
      <c r="AQ225" s="45"/>
      <c r="AR225" s="45"/>
      <c r="AS225" s="46"/>
      <c r="AT225" s="46"/>
      <c r="AU225" s="45"/>
      <c r="AV225" s="45"/>
      <c r="AW225" s="45"/>
      <c r="AX225" s="45"/>
      <c r="AY225" s="45"/>
      <c r="AZ225" s="41"/>
      <c r="BA225" s="56"/>
      <c r="BB225" s="45"/>
      <c r="BC225" s="45"/>
      <c r="BD225" s="45"/>
      <c r="BE225" s="45"/>
      <c r="BF225" s="47"/>
      <c r="BG225" s="45"/>
      <c r="BH225" s="45"/>
      <c r="BI225" s="45"/>
      <c r="BJ225" s="46"/>
      <c r="BK225" s="46"/>
      <c r="BL225" s="45"/>
      <c r="BM225" s="45"/>
      <c r="BN225" s="45"/>
      <c r="BO225" s="45"/>
      <c r="BP225" s="45"/>
      <c r="BQ225" s="41"/>
    </row>
    <row r="226" spans="1:69" ht="14.4" x14ac:dyDescent="0.3">
      <c r="A226" s="56" t="s">
        <v>92</v>
      </c>
      <c r="B226" s="56">
        <v>21.4</v>
      </c>
      <c r="C226" s="41"/>
      <c r="D226" s="41"/>
      <c r="E226" s="41"/>
      <c r="F226" s="42"/>
      <c r="G226" s="41">
        <v>7.3</v>
      </c>
      <c r="H226" s="41">
        <v>1.83</v>
      </c>
      <c r="I226" s="41">
        <v>0.27</v>
      </c>
      <c r="J226" s="43">
        <f t="shared" si="133"/>
        <v>1.5622</v>
      </c>
      <c r="K226" s="43">
        <f t="shared" si="134"/>
        <v>0.39161999999999997</v>
      </c>
      <c r="L226" s="43">
        <f t="shared" si="135"/>
        <v>5.7779999999999998E-2</v>
      </c>
      <c r="M226" s="45"/>
      <c r="N226" s="46"/>
      <c r="O226" s="41"/>
      <c r="P226" s="41"/>
      <c r="Q226" s="41"/>
      <c r="R226" s="41"/>
      <c r="S226" s="41"/>
      <c r="T226" s="56"/>
      <c r="U226" s="56"/>
      <c r="V226" s="41"/>
      <c r="W226" s="41"/>
      <c r="X226" s="41"/>
      <c r="Y226" s="42"/>
      <c r="Z226" s="41"/>
      <c r="AA226" s="41"/>
      <c r="AB226" s="41"/>
      <c r="AC226" s="41"/>
      <c r="AD226" s="46"/>
      <c r="AE226" s="41"/>
      <c r="AF226" s="41"/>
      <c r="AG226" s="41"/>
      <c r="AH226" s="41"/>
      <c r="AI226" s="41"/>
      <c r="AJ226" s="56"/>
      <c r="AK226" s="45"/>
      <c r="AL226" s="45"/>
      <c r="AM226" s="45"/>
      <c r="AN226" s="45"/>
      <c r="AO226" s="47"/>
      <c r="AP226" s="45"/>
      <c r="AQ226" s="45"/>
      <c r="AR226" s="45"/>
      <c r="AS226" s="46"/>
      <c r="AT226" s="46"/>
      <c r="AU226" s="45"/>
      <c r="AV226" s="45"/>
      <c r="AW226" s="45"/>
      <c r="AX226" s="45"/>
      <c r="AY226" s="45"/>
      <c r="AZ226" s="41"/>
      <c r="BA226" s="56"/>
      <c r="BB226" s="45"/>
      <c r="BC226" s="45"/>
      <c r="BD226" s="45"/>
      <c r="BE226" s="45"/>
      <c r="BF226" s="47"/>
      <c r="BG226" s="45"/>
      <c r="BH226" s="45"/>
      <c r="BI226" s="45"/>
      <c r="BJ226" s="46"/>
      <c r="BK226" s="46"/>
      <c r="BL226" s="45"/>
      <c r="BM226" s="45"/>
      <c r="BN226" s="45"/>
      <c r="BO226" s="45"/>
      <c r="BP226" s="45"/>
      <c r="BQ226" s="41"/>
    </row>
    <row r="227" spans="1:69" ht="14.4" x14ac:dyDescent="0.3">
      <c r="A227" s="56" t="s">
        <v>100</v>
      </c>
      <c r="B227" s="56">
        <v>21</v>
      </c>
      <c r="C227" s="41"/>
      <c r="D227" s="41"/>
      <c r="E227" s="41"/>
      <c r="F227" s="42"/>
      <c r="G227" s="41">
        <v>20.9</v>
      </c>
      <c r="H227" s="41">
        <v>6.44</v>
      </c>
      <c r="I227" s="41">
        <v>0.14000000000000001</v>
      </c>
      <c r="J227" s="43">
        <f t="shared" si="133"/>
        <v>4.3889999999999993</v>
      </c>
      <c r="K227" s="43">
        <f t="shared" si="134"/>
        <v>1.3524</v>
      </c>
      <c r="L227" s="43">
        <f t="shared" si="135"/>
        <v>2.9400000000000003E-2</v>
      </c>
      <c r="M227" s="45"/>
      <c r="N227" s="46"/>
      <c r="O227" s="41"/>
      <c r="P227" s="41"/>
      <c r="Q227" s="41"/>
      <c r="R227" s="41"/>
      <c r="S227" s="41"/>
      <c r="T227" s="56"/>
      <c r="U227" s="56"/>
      <c r="V227" s="41"/>
      <c r="W227" s="41"/>
      <c r="X227" s="41"/>
      <c r="Y227" s="42"/>
      <c r="Z227" s="41"/>
      <c r="AA227" s="41"/>
      <c r="AB227" s="41"/>
      <c r="AC227" s="41"/>
      <c r="AD227" s="46"/>
      <c r="AE227" s="41"/>
      <c r="AF227" s="41"/>
      <c r="AG227" s="41"/>
      <c r="AH227" s="41"/>
      <c r="AI227" s="41"/>
      <c r="AJ227" s="56"/>
      <c r="AK227" s="45"/>
      <c r="AL227" s="45"/>
      <c r="AM227" s="45"/>
      <c r="AN227" s="45"/>
      <c r="AO227" s="47"/>
      <c r="AP227" s="45"/>
      <c r="AQ227" s="45"/>
      <c r="AR227" s="45"/>
      <c r="AS227" s="46"/>
      <c r="AT227" s="46"/>
      <c r="AU227" s="45"/>
      <c r="AV227" s="45"/>
      <c r="AW227" s="45"/>
      <c r="AX227" s="45"/>
      <c r="AY227" s="45"/>
      <c r="AZ227" s="41"/>
      <c r="BA227" s="56"/>
      <c r="BB227" s="45"/>
      <c r="BC227" s="45"/>
      <c r="BD227" s="45"/>
      <c r="BE227" s="45"/>
      <c r="BF227" s="47"/>
      <c r="BG227" s="45"/>
      <c r="BH227" s="45"/>
      <c r="BI227" s="45"/>
      <c r="BJ227" s="46"/>
      <c r="BK227" s="46"/>
      <c r="BL227" s="45"/>
      <c r="BM227" s="45"/>
      <c r="BN227" s="45"/>
      <c r="BO227" s="45"/>
      <c r="BP227" s="45"/>
      <c r="BQ227" s="41"/>
    </row>
    <row r="228" spans="1:69" ht="14.4" x14ac:dyDescent="0.3">
      <c r="A228" s="56" t="s">
        <v>101</v>
      </c>
      <c r="B228" s="56">
        <v>15.1</v>
      </c>
      <c r="C228" s="41"/>
      <c r="D228" s="41"/>
      <c r="E228" s="41"/>
      <c r="F228" s="42"/>
      <c r="G228" s="41">
        <v>4.97</v>
      </c>
      <c r="H228" s="41">
        <v>0.32</v>
      </c>
      <c r="I228" s="41">
        <v>0.15</v>
      </c>
      <c r="J228" s="43">
        <f t="shared" si="133"/>
        <v>0.75046999999999997</v>
      </c>
      <c r="K228" s="43">
        <f t="shared" si="134"/>
        <v>4.8320000000000002E-2</v>
      </c>
      <c r="L228" s="43">
        <f t="shared" si="135"/>
        <v>2.2649999999999997E-2</v>
      </c>
      <c r="M228" s="45"/>
      <c r="N228" s="46"/>
      <c r="O228" s="41"/>
      <c r="P228" s="41"/>
      <c r="Q228" s="41"/>
      <c r="R228" s="41"/>
      <c r="S228" s="41"/>
      <c r="T228" s="56"/>
      <c r="U228" s="56"/>
      <c r="V228" s="41"/>
      <c r="W228" s="41"/>
      <c r="X228" s="41"/>
      <c r="Y228" s="42"/>
      <c r="Z228" s="41"/>
      <c r="AA228" s="41"/>
      <c r="AB228" s="41"/>
      <c r="AC228" s="41"/>
      <c r="AD228" s="46"/>
      <c r="AE228" s="41"/>
      <c r="AF228" s="41"/>
      <c r="AG228" s="41"/>
      <c r="AH228" s="41"/>
      <c r="AI228" s="41"/>
      <c r="AJ228" s="56"/>
      <c r="AK228" s="45"/>
      <c r="AL228" s="45"/>
      <c r="AM228" s="45"/>
      <c r="AN228" s="45"/>
      <c r="AO228" s="47"/>
      <c r="AP228" s="45"/>
      <c r="AQ228" s="45"/>
      <c r="AR228" s="45"/>
      <c r="AS228" s="46"/>
      <c r="AT228" s="46"/>
      <c r="AU228" s="45"/>
      <c r="AV228" s="45"/>
      <c r="AW228" s="45"/>
      <c r="AX228" s="45"/>
      <c r="AY228" s="45"/>
      <c r="AZ228" s="41"/>
      <c r="BA228" s="56"/>
      <c r="BB228" s="45"/>
      <c r="BC228" s="45"/>
      <c r="BD228" s="45"/>
      <c r="BE228" s="45"/>
      <c r="BF228" s="47"/>
      <c r="BG228" s="45"/>
      <c r="BH228" s="45"/>
      <c r="BI228" s="45"/>
      <c r="BJ228" s="46"/>
      <c r="BK228" s="46"/>
      <c r="BL228" s="45"/>
      <c r="BM228" s="45"/>
      <c r="BN228" s="45"/>
      <c r="BO228" s="45"/>
      <c r="BP228" s="45"/>
      <c r="BQ228" s="41"/>
    </row>
    <row r="229" spans="1:69" ht="14.4" x14ac:dyDescent="0.3">
      <c r="A229" s="56" t="s">
        <v>96</v>
      </c>
      <c r="B229" s="56">
        <v>24.9</v>
      </c>
      <c r="C229" s="41"/>
      <c r="D229" s="41"/>
      <c r="E229" s="41"/>
      <c r="F229" s="42"/>
      <c r="G229" s="41">
        <v>23.8</v>
      </c>
      <c r="H229" s="41">
        <v>2.97</v>
      </c>
      <c r="I229" s="41">
        <v>0.67</v>
      </c>
      <c r="J229" s="43">
        <f t="shared" si="133"/>
        <v>5.9261999999999997</v>
      </c>
      <c r="K229" s="43">
        <f t="shared" si="134"/>
        <v>0.73953000000000002</v>
      </c>
      <c r="L229" s="43">
        <f t="shared" si="135"/>
        <v>0.16683000000000001</v>
      </c>
      <c r="M229" s="45"/>
      <c r="N229" s="46"/>
      <c r="O229" s="41"/>
      <c r="P229" s="41"/>
      <c r="Q229" s="41"/>
      <c r="R229" s="41"/>
      <c r="S229" s="41"/>
      <c r="T229" s="56"/>
      <c r="U229" s="56"/>
      <c r="V229" s="41"/>
      <c r="W229" s="41"/>
      <c r="X229" s="41"/>
      <c r="Y229" s="42"/>
      <c r="Z229" s="41"/>
      <c r="AA229" s="41"/>
      <c r="AB229" s="41"/>
      <c r="AC229" s="41"/>
      <c r="AD229" s="46"/>
      <c r="AE229" s="41"/>
      <c r="AF229" s="41"/>
      <c r="AG229" s="41"/>
      <c r="AH229" s="41"/>
      <c r="AI229" s="41"/>
      <c r="AJ229" s="56"/>
      <c r="AK229" s="45"/>
      <c r="AL229" s="45"/>
      <c r="AM229" s="45"/>
      <c r="AN229" s="45"/>
      <c r="AO229" s="47"/>
      <c r="AP229" s="45"/>
      <c r="AQ229" s="45"/>
      <c r="AR229" s="45"/>
      <c r="AS229" s="46"/>
      <c r="AT229" s="46"/>
      <c r="AU229" s="45"/>
      <c r="AV229" s="45"/>
      <c r="AW229" s="45"/>
      <c r="AX229" s="45"/>
      <c r="AY229" s="45"/>
      <c r="AZ229" s="41"/>
      <c r="BA229" s="56"/>
      <c r="BB229" s="45"/>
      <c r="BC229" s="45"/>
      <c r="BD229" s="45"/>
      <c r="BE229" s="45"/>
      <c r="BF229" s="47"/>
      <c r="BG229" s="45"/>
      <c r="BH229" s="45"/>
      <c r="BI229" s="45"/>
      <c r="BJ229" s="46"/>
      <c r="BK229" s="46"/>
      <c r="BL229" s="45"/>
      <c r="BM229" s="45"/>
      <c r="BN229" s="45"/>
      <c r="BO229" s="45"/>
      <c r="BP229" s="45"/>
      <c r="BQ229" s="41"/>
    </row>
    <row r="230" spans="1:69" ht="14.4" x14ac:dyDescent="0.3">
      <c r="A230" s="56"/>
      <c r="B230" s="56"/>
      <c r="C230" s="41"/>
      <c r="D230" s="41"/>
      <c r="E230" s="41"/>
      <c r="F230" s="42"/>
      <c r="G230" s="41"/>
      <c r="H230" s="41"/>
      <c r="I230" s="41"/>
      <c r="J230" s="43"/>
      <c r="K230" s="43"/>
      <c r="L230" s="43"/>
      <c r="M230" s="45"/>
      <c r="N230" s="46"/>
      <c r="O230" s="41"/>
      <c r="P230" s="41"/>
      <c r="Q230" s="41"/>
      <c r="R230" s="41"/>
      <c r="S230" s="41"/>
      <c r="T230" s="56"/>
      <c r="U230" s="56"/>
      <c r="V230" s="41"/>
      <c r="W230" s="41"/>
      <c r="X230" s="41"/>
      <c r="Y230" s="42"/>
      <c r="Z230" s="41"/>
      <c r="AA230" s="41"/>
      <c r="AB230" s="41"/>
      <c r="AC230" s="41"/>
      <c r="AD230" s="46"/>
      <c r="AE230" s="41"/>
      <c r="AF230" s="41"/>
      <c r="AG230" s="41"/>
      <c r="AH230" s="41"/>
      <c r="AI230" s="41"/>
      <c r="AJ230" s="56"/>
      <c r="AK230" s="45"/>
      <c r="AL230" s="45"/>
      <c r="AM230" s="45"/>
      <c r="AN230" s="45"/>
      <c r="AO230" s="47"/>
      <c r="AP230" s="45"/>
      <c r="AQ230" s="45"/>
      <c r="AR230" s="45"/>
      <c r="AS230" s="46"/>
      <c r="AT230" s="46"/>
      <c r="AU230" s="45"/>
      <c r="AV230" s="45"/>
      <c r="AW230" s="45"/>
      <c r="AX230" s="45"/>
      <c r="AY230" s="45"/>
      <c r="AZ230" s="41"/>
      <c r="BA230" s="56"/>
      <c r="BB230" s="45"/>
      <c r="BC230" s="45"/>
      <c r="BD230" s="45"/>
      <c r="BE230" s="45"/>
      <c r="BF230" s="47"/>
      <c r="BG230" s="45"/>
      <c r="BH230" s="45"/>
      <c r="BI230" s="45"/>
      <c r="BJ230" s="46"/>
      <c r="BK230" s="46"/>
      <c r="BL230" s="45"/>
      <c r="BM230" s="45"/>
      <c r="BN230" s="45"/>
      <c r="BO230" s="45"/>
      <c r="BP230" s="45"/>
      <c r="BQ230" s="41"/>
    </row>
    <row r="231" spans="1:69" ht="14.4" x14ac:dyDescent="0.3">
      <c r="A231" s="45"/>
      <c r="B231" s="45"/>
      <c r="C231" s="45"/>
      <c r="D231" s="45"/>
      <c r="E231" s="45"/>
      <c r="F231" s="47"/>
      <c r="G231" s="45"/>
      <c r="H231" s="45"/>
      <c r="I231" s="45"/>
      <c r="J231" s="43"/>
      <c r="K231" s="43"/>
      <c r="L231" s="43"/>
      <c r="M231" s="45"/>
      <c r="N231" s="45"/>
      <c r="O231" s="45"/>
      <c r="P231" s="45"/>
      <c r="Q231" s="45"/>
      <c r="R231" s="45"/>
      <c r="S231" s="41"/>
      <c r="T231" s="45"/>
      <c r="U231" s="45"/>
      <c r="V231" s="45"/>
      <c r="W231" s="45"/>
      <c r="X231" s="45"/>
      <c r="Y231" s="47"/>
      <c r="Z231" s="45"/>
      <c r="AA231" s="45"/>
      <c r="AB231" s="45"/>
      <c r="AC231" s="45"/>
      <c r="AD231" s="45"/>
      <c r="AE231" s="45"/>
      <c r="AF231" s="45"/>
      <c r="AG231" s="45"/>
      <c r="AH231" s="45"/>
      <c r="AI231" s="41"/>
      <c r="AJ231" s="45"/>
      <c r="AK231" s="45"/>
      <c r="AL231" s="45"/>
      <c r="AM231" s="45"/>
      <c r="AN231" s="45"/>
      <c r="AO231" s="47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1"/>
      <c r="BA231" s="45"/>
      <c r="BB231" s="45"/>
      <c r="BC231" s="45"/>
      <c r="BD231" s="45"/>
      <c r="BE231" s="45"/>
      <c r="BF231" s="47"/>
      <c r="BG231" s="45"/>
      <c r="BH231" s="45"/>
      <c r="BI231" s="45"/>
      <c r="BJ231" s="45"/>
      <c r="BK231" s="45"/>
      <c r="BL231" s="45"/>
      <c r="BM231" s="45"/>
      <c r="BN231" s="45"/>
      <c r="BO231" s="45"/>
      <c r="BP231" s="45"/>
      <c r="BQ231" s="41"/>
    </row>
    <row r="232" spans="1:69" ht="14.4" x14ac:dyDescent="0.3">
      <c r="A232" s="52" t="s">
        <v>114</v>
      </c>
      <c r="B232" s="58">
        <v>13</v>
      </c>
      <c r="C232" s="41"/>
      <c r="D232" s="41"/>
      <c r="E232" s="41"/>
      <c r="F232" s="53"/>
      <c r="G232" s="59">
        <v>1.54</v>
      </c>
      <c r="H232" s="59">
        <v>0</v>
      </c>
      <c r="I232" s="59">
        <v>1.85</v>
      </c>
      <c r="J232" s="43">
        <f t="shared" si="133"/>
        <v>0.20019999999999999</v>
      </c>
      <c r="K232" s="43">
        <f t="shared" si="134"/>
        <v>0</v>
      </c>
      <c r="L232" s="43">
        <f t="shared" si="135"/>
        <v>0.24050000000000002</v>
      </c>
      <c r="M232" s="41"/>
      <c r="N232" s="41"/>
      <c r="O232" s="41"/>
      <c r="P232" s="41"/>
      <c r="Q232" s="41"/>
      <c r="R232" s="41"/>
      <c r="S232" s="41"/>
      <c r="T232" s="52"/>
      <c r="U232" s="52"/>
      <c r="V232" s="41"/>
      <c r="W232" s="41"/>
      <c r="X232" s="41"/>
      <c r="Y232" s="53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52"/>
      <c r="AK232" s="52"/>
      <c r="AL232" s="41"/>
      <c r="AM232" s="41"/>
      <c r="AN232" s="41"/>
      <c r="AO232" s="53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52"/>
      <c r="BB232" s="52"/>
      <c r="BC232" s="41"/>
      <c r="BD232" s="41"/>
      <c r="BE232" s="41"/>
      <c r="BF232" s="53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</row>
    <row r="233" spans="1:69" ht="14.4" x14ac:dyDescent="0.3">
      <c r="A233" s="52" t="s">
        <v>106</v>
      </c>
      <c r="B233" s="58">
        <v>27.1</v>
      </c>
      <c r="C233" s="41"/>
      <c r="D233" s="41"/>
      <c r="E233" s="41"/>
      <c r="F233" s="53"/>
      <c r="G233" s="59">
        <v>3.3</v>
      </c>
      <c r="H233" s="59">
        <v>2.36</v>
      </c>
      <c r="I233" s="59">
        <v>4.72</v>
      </c>
      <c r="J233" s="43">
        <f t="shared" si="133"/>
        <v>0.89430000000000009</v>
      </c>
      <c r="K233" s="43">
        <f t="shared" si="134"/>
        <v>0.63956000000000002</v>
      </c>
      <c r="L233" s="43">
        <f t="shared" si="135"/>
        <v>1.27912</v>
      </c>
      <c r="M233" s="41"/>
      <c r="N233" s="41"/>
      <c r="O233" s="41"/>
      <c r="P233" s="41"/>
      <c r="Q233" s="41"/>
      <c r="R233" s="41"/>
      <c r="S233" s="41"/>
      <c r="T233" s="52"/>
      <c r="U233" s="52"/>
      <c r="V233" s="41"/>
      <c r="W233" s="41"/>
      <c r="X233" s="41"/>
      <c r="Y233" s="53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52"/>
      <c r="AK233" s="52"/>
      <c r="AL233" s="41"/>
      <c r="AM233" s="41"/>
      <c r="AN233" s="41"/>
      <c r="AO233" s="53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52"/>
      <c r="BB233" s="52"/>
      <c r="BC233" s="41"/>
      <c r="BD233" s="41"/>
      <c r="BE233" s="41"/>
      <c r="BF233" s="53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</row>
    <row r="234" spans="1:69" ht="14.4" x14ac:dyDescent="0.3">
      <c r="A234" s="52" t="s">
        <v>108</v>
      </c>
      <c r="B234" s="58">
        <v>31.6</v>
      </c>
      <c r="C234" s="41"/>
      <c r="D234" s="41"/>
      <c r="E234" s="41"/>
      <c r="F234" s="42"/>
      <c r="G234" s="59">
        <v>0.74</v>
      </c>
      <c r="H234" s="59">
        <v>0.18</v>
      </c>
      <c r="I234" s="59">
        <v>2.58</v>
      </c>
      <c r="J234" s="43">
        <f t="shared" si="133"/>
        <v>0.23383999999999999</v>
      </c>
      <c r="K234" s="43">
        <f t="shared" si="134"/>
        <v>5.688E-2</v>
      </c>
      <c r="L234" s="43">
        <f t="shared" si="135"/>
        <v>0.81528</v>
      </c>
      <c r="M234" s="41"/>
      <c r="N234" s="41"/>
      <c r="O234" s="41"/>
      <c r="P234" s="41"/>
      <c r="Q234" s="41"/>
      <c r="R234" s="41"/>
      <c r="S234" s="41"/>
      <c r="T234" s="52"/>
      <c r="U234" s="56"/>
      <c r="V234" s="41"/>
      <c r="W234" s="41"/>
      <c r="X234" s="41"/>
      <c r="Y234" s="42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52"/>
      <c r="AK234" s="56"/>
      <c r="AL234" s="41"/>
      <c r="AM234" s="41"/>
      <c r="AN234" s="41"/>
      <c r="AO234" s="42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52"/>
      <c r="BB234" s="56"/>
      <c r="BC234" s="41"/>
      <c r="BD234" s="41"/>
      <c r="BE234" s="41"/>
      <c r="BF234" s="42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</row>
    <row r="235" spans="1:69" ht="14.4" x14ac:dyDescent="0.3">
      <c r="A235" s="52" t="s">
        <v>117</v>
      </c>
      <c r="B235" s="58">
        <v>13.1</v>
      </c>
      <c r="C235" s="41"/>
      <c r="D235" s="41"/>
      <c r="E235" s="45"/>
      <c r="F235" s="53"/>
      <c r="G235" s="59">
        <v>6.15</v>
      </c>
      <c r="H235" s="59">
        <v>3.46</v>
      </c>
      <c r="I235" s="59">
        <v>16.2</v>
      </c>
      <c r="J235" s="43">
        <f t="shared" si="133"/>
        <v>0.80564999999999998</v>
      </c>
      <c r="K235" s="43">
        <f t="shared" si="134"/>
        <v>0.45326</v>
      </c>
      <c r="L235" s="43">
        <f t="shared" si="135"/>
        <v>2.1221999999999999</v>
      </c>
      <c r="M235" s="41"/>
      <c r="N235" s="41"/>
      <c r="O235" s="41"/>
      <c r="P235" s="41"/>
      <c r="Q235" s="41"/>
      <c r="R235" s="41"/>
      <c r="S235" s="41"/>
      <c r="T235" s="52"/>
      <c r="U235" s="45"/>
      <c r="V235" s="45"/>
      <c r="W235" s="45"/>
      <c r="X235" s="45"/>
      <c r="Y235" s="53"/>
      <c r="Z235" s="41"/>
      <c r="AA235" s="41"/>
      <c r="AB235" s="41"/>
      <c r="AC235" s="41"/>
      <c r="AD235" s="45"/>
      <c r="AE235" s="45"/>
      <c r="AF235" s="45"/>
      <c r="AG235" s="45"/>
      <c r="AH235" s="45"/>
      <c r="AI235" s="41"/>
      <c r="AJ235" s="52"/>
      <c r="AK235" s="45"/>
      <c r="AL235" s="45"/>
      <c r="AM235" s="45"/>
      <c r="AN235" s="45"/>
      <c r="AO235" s="53"/>
      <c r="AP235" s="41"/>
      <c r="AQ235" s="41"/>
      <c r="AR235" s="41"/>
      <c r="AS235" s="45"/>
      <c r="AT235" s="45"/>
      <c r="AU235" s="45"/>
      <c r="AV235" s="45"/>
      <c r="AW235" s="45"/>
      <c r="AX235" s="45"/>
      <c r="AY235" s="45"/>
      <c r="AZ235" s="41"/>
      <c r="BA235" s="52"/>
      <c r="BB235" s="45"/>
      <c r="BC235" s="45"/>
      <c r="BD235" s="45"/>
      <c r="BE235" s="45"/>
      <c r="BF235" s="53"/>
      <c r="BG235" s="41"/>
      <c r="BH235" s="41"/>
      <c r="BI235" s="41"/>
      <c r="BJ235" s="45"/>
      <c r="BK235" s="45"/>
      <c r="BL235" s="45"/>
      <c r="BM235" s="45"/>
      <c r="BN235" s="45"/>
      <c r="BO235" s="45"/>
      <c r="BP235" s="45"/>
      <c r="BQ235" s="41"/>
    </row>
    <row r="236" spans="1:69" ht="14.4" x14ac:dyDescent="0.3">
      <c r="A236" s="52" t="s">
        <v>103</v>
      </c>
      <c r="B236" s="58">
        <v>16.100000000000001</v>
      </c>
      <c r="C236" s="45"/>
      <c r="D236" s="45"/>
      <c r="E236" s="45"/>
      <c r="F236" s="53"/>
      <c r="G236" s="59">
        <v>6.9</v>
      </c>
      <c r="H236" s="59">
        <v>1.58</v>
      </c>
      <c r="I236" s="59">
        <v>10.6</v>
      </c>
      <c r="J236" s="43">
        <f t="shared" si="133"/>
        <v>1.1109000000000002</v>
      </c>
      <c r="K236" s="43">
        <f t="shared" si="134"/>
        <v>0.25438000000000005</v>
      </c>
      <c r="L236" s="43">
        <f t="shared" si="135"/>
        <v>1.7065999999999999</v>
      </c>
      <c r="M236" s="45"/>
      <c r="N236" s="45"/>
      <c r="O236" s="45"/>
      <c r="P236" s="45"/>
      <c r="Q236" s="45"/>
      <c r="R236" s="45"/>
      <c r="S236" s="41"/>
      <c r="T236" s="52"/>
      <c r="U236" s="45"/>
      <c r="V236" s="45"/>
      <c r="W236" s="45"/>
      <c r="X236" s="45"/>
      <c r="Y236" s="47"/>
      <c r="Z236" s="45"/>
      <c r="AA236" s="45"/>
      <c r="AB236" s="45"/>
      <c r="AC236" s="45"/>
      <c r="AD236" s="45"/>
      <c r="AE236" s="45"/>
      <c r="AF236" s="45"/>
      <c r="AG236" s="45"/>
      <c r="AH236" s="45"/>
      <c r="AI236" s="41"/>
      <c r="AJ236" s="52"/>
      <c r="AK236" s="45"/>
      <c r="AL236" s="45"/>
      <c r="AM236" s="45"/>
      <c r="AN236" s="45"/>
      <c r="AO236" s="53"/>
      <c r="AP236" s="41"/>
      <c r="AQ236" s="41"/>
      <c r="AR236" s="41"/>
      <c r="AS236" s="45"/>
      <c r="AT236" s="45"/>
      <c r="AU236" s="45"/>
      <c r="AV236" s="45"/>
      <c r="AW236" s="45"/>
      <c r="AX236" s="45"/>
      <c r="AY236" s="45"/>
      <c r="AZ236" s="41"/>
      <c r="BA236" s="52"/>
      <c r="BB236" s="45"/>
      <c r="BC236" s="45"/>
      <c r="BD236" s="45"/>
      <c r="BE236" s="45"/>
      <c r="BF236" s="53"/>
      <c r="BG236" s="41"/>
      <c r="BH236" s="41"/>
      <c r="BI236" s="41"/>
      <c r="BJ236" s="45"/>
      <c r="BK236" s="45"/>
      <c r="BL236" s="45"/>
      <c r="BM236" s="45"/>
      <c r="BN236" s="45"/>
      <c r="BO236" s="45"/>
      <c r="BP236" s="45"/>
      <c r="BQ236" s="41"/>
    </row>
    <row r="237" spans="1:69" ht="14.4" x14ac:dyDescent="0.3">
      <c r="A237" s="52" t="s">
        <v>105</v>
      </c>
      <c r="B237" s="58">
        <v>22.1</v>
      </c>
      <c r="C237" s="41"/>
      <c r="D237" s="41"/>
      <c r="E237" s="41"/>
      <c r="F237" s="42"/>
      <c r="G237" s="59">
        <v>2.31</v>
      </c>
      <c r="H237" s="59">
        <v>0.43</v>
      </c>
      <c r="I237" s="59">
        <v>3.35</v>
      </c>
      <c r="J237" s="43">
        <f t="shared" si="133"/>
        <v>0.51051000000000002</v>
      </c>
      <c r="K237" s="43">
        <f t="shared" si="134"/>
        <v>9.5030000000000003E-2</v>
      </c>
      <c r="L237" s="43">
        <f t="shared" si="135"/>
        <v>0.74035000000000006</v>
      </c>
      <c r="M237" s="46"/>
      <c r="N237" s="46"/>
      <c r="O237" s="41"/>
      <c r="P237" s="41"/>
      <c r="Q237" s="41"/>
      <c r="R237" s="41"/>
      <c r="S237" s="41"/>
      <c r="T237" s="52"/>
      <c r="U237" s="45"/>
      <c r="V237" s="45"/>
      <c r="W237" s="45"/>
      <c r="X237" s="45"/>
      <c r="Y237" s="47"/>
      <c r="Z237" s="45"/>
      <c r="AA237" s="45"/>
      <c r="AB237" s="45"/>
      <c r="AC237" s="46"/>
      <c r="AD237" s="46"/>
      <c r="AE237" s="45"/>
      <c r="AF237" s="45"/>
      <c r="AG237" s="45"/>
      <c r="AH237" s="45"/>
      <c r="AI237" s="41"/>
      <c r="AJ237" s="52"/>
      <c r="AK237" s="45"/>
      <c r="AL237" s="45"/>
      <c r="AM237" s="45"/>
      <c r="AN237" s="45"/>
      <c r="AO237" s="47"/>
      <c r="AP237" s="45"/>
      <c r="AQ237" s="45"/>
      <c r="AR237" s="45"/>
      <c r="AS237" s="46"/>
      <c r="AT237" s="46"/>
      <c r="AU237" s="45"/>
      <c r="AV237" s="45"/>
      <c r="AW237" s="45"/>
      <c r="AX237" s="45"/>
      <c r="AY237" s="45"/>
      <c r="AZ237" s="41"/>
      <c r="BA237" s="52"/>
      <c r="BB237" s="45"/>
      <c r="BC237" s="45"/>
      <c r="BD237" s="45"/>
      <c r="BE237" s="45"/>
      <c r="BF237" s="47"/>
      <c r="BG237" s="45"/>
      <c r="BH237" s="45"/>
      <c r="BI237" s="45"/>
      <c r="BJ237" s="46"/>
      <c r="BK237" s="46"/>
      <c r="BL237" s="45"/>
      <c r="BM237" s="45"/>
      <c r="BN237" s="45"/>
      <c r="BO237" s="45"/>
      <c r="BP237" s="45"/>
      <c r="BQ237" s="41"/>
    </row>
    <row r="238" spans="1:69" ht="14.4" x14ac:dyDescent="0.3">
      <c r="A238" s="52" t="s">
        <v>116</v>
      </c>
      <c r="B238" s="58">
        <v>27.8</v>
      </c>
      <c r="C238" s="41"/>
      <c r="D238" s="41"/>
      <c r="E238" s="41"/>
      <c r="F238" s="42"/>
      <c r="G238" s="59">
        <v>2.72</v>
      </c>
      <c r="H238" s="59">
        <v>0.42</v>
      </c>
      <c r="I238" s="59">
        <v>8.3000000000000007</v>
      </c>
      <c r="J238" s="43">
        <f t="shared" si="133"/>
        <v>0.75616000000000017</v>
      </c>
      <c r="K238" s="43">
        <f t="shared" si="134"/>
        <v>0.11676</v>
      </c>
      <c r="L238" s="43">
        <f t="shared" si="135"/>
        <v>2.3074000000000003</v>
      </c>
      <c r="M238" s="46"/>
      <c r="N238" s="46"/>
      <c r="O238" s="41"/>
      <c r="P238" s="41"/>
      <c r="Q238" s="41"/>
      <c r="R238" s="41"/>
      <c r="S238" s="41"/>
      <c r="T238" s="52"/>
      <c r="U238" s="45"/>
      <c r="V238" s="45"/>
      <c r="W238" s="45"/>
      <c r="X238" s="45"/>
      <c r="Y238" s="47"/>
      <c r="Z238" s="45"/>
      <c r="AA238" s="45"/>
      <c r="AB238" s="45"/>
      <c r="AC238" s="46"/>
      <c r="AD238" s="46"/>
      <c r="AE238" s="45"/>
      <c r="AF238" s="45"/>
      <c r="AG238" s="45"/>
      <c r="AH238" s="45"/>
      <c r="AI238" s="41"/>
      <c r="AJ238" s="52"/>
      <c r="AK238" s="45"/>
      <c r="AL238" s="45"/>
      <c r="AM238" s="45"/>
      <c r="AN238" s="45"/>
      <c r="AO238" s="47"/>
      <c r="AP238" s="45"/>
      <c r="AQ238" s="45"/>
      <c r="AR238" s="45"/>
      <c r="AS238" s="46"/>
      <c r="AT238" s="46"/>
      <c r="AU238" s="45"/>
      <c r="AV238" s="45"/>
      <c r="AW238" s="45"/>
      <c r="AX238" s="45"/>
      <c r="AY238" s="45"/>
      <c r="AZ238" s="41"/>
      <c r="BA238" s="52"/>
      <c r="BB238" s="45"/>
      <c r="BC238" s="45"/>
      <c r="BD238" s="45"/>
      <c r="BE238" s="45"/>
      <c r="BF238" s="47"/>
      <c r="BG238" s="45"/>
      <c r="BH238" s="45"/>
      <c r="BI238" s="45"/>
      <c r="BJ238" s="46"/>
      <c r="BK238" s="46"/>
      <c r="BL238" s="45"/>
      <c r="BM238" s="45"/>
      <c r="BN238" s="45"/>
      <c r="BO238" s="45"/>
      <c r="BP238" s="45"/>
      <c r="BQ238" s="41"/>
    </row>
    <row r="239" spans="1:69" ht="14.4" x14ac:dyDescent="0.3">
      <c r="A239" s="52" t="s">
        <v>107</v>
      </c>
      <c r="B239" s="58">
        <v>16.8</v>
      </c>
      <c r="C239" s="41"/>
      <c r="D239" s="41"/>
      <c r="E239" s="41"/>
      <c r="F239" s="42"/>
      <c r="G239" s="59">
        <v>1.45</v>
      </c>
      <c r="H239" s="59">
        <v>0.23</v>
      </c>
      <c r="I239" s="59">
        <v>1.91</v>
      </c>
      <c r="J239" s="43">
        <f t="shared" si="133"/>
        <v>0.24359999999999998</v>
      </c>
      <c r="K239" s="43">
        <f t="shared" si="134"/>
        <v>3.8640000000000001E-2</v>
      </c>
      <c r="L239" s="43">
        <f t="shared" si="135"/>
        <v>0.32088</v>
      </c>
      <c r="M239" s="46"/>
      <c r="N239" s="46"/>
      <c r="O239" s="41"/>
      <c r="P239" s="41"/>
      <c r="Q239" s="41"/>
      <c r="R239" s="41"/>
      <c r="S239" s="41"/>
      <c r="T239" s="52"/>
      <c r="U239" s="45"/>
      <c r="V239" s="45"/>
      <c r="W239" s="45"/>
      <c r="X239" s="45"/>
      <c r="Y239" s="47"/>
      <c r="Z239" s="45"/>
      <c r="AA239" s="45"/>
      <c r="AB239" s="45"/>
      <c r="AC239" s="46"/>
      <c r="AD239" s="46"/>
      <c r="AE239" s="45"/>
      <c r="AF239" s="45"/>
      <c r="AG239" s="45"/>
      <c r="AH239" s="45"/>
      <c r="AI239" s="41"/>
      <c r="AJ239" s="52"/>
      <c r="AK239" s="45"/>
      <c r="AL239" s="45"/>
      <c r="AM239" s="45"/>
      <c r="AN239" s="45"/>
      <c r="AO239" s="47"/>
      <c r="AP239" s="45"/>
      <c r="AQ239" s="45"/>
      <c r="AR239" s="45"/>
      <c r="AS239" s="46"/>
      <c r="AT239" s="46"/>
      <c r="AU239" s="45"/>
      <c r="AV239" s="45"/>
      <c r="AW239" s="45"/>
      <c r="AX239" s="45"/>
      <c r="AY239" s="45"/>
      <c r="AZ239" s="41"/>
      <c r="BA239" s="52"/>
      <c r="BB239" s="45"/>
      <c r="BC239" s="45"/>
      <c r="BD239" s="45"/>
      <c r="BE239" s="45"/>
      <c r="BF239" s="47"/>
      <c r="BG239" s="45"/>
      <c r="BH239" s="45"/>
      <c r="BI239" s="45"/>
      <c r="BJ239" s="46"/>
      <c r="BK239" s="46"/>
      <c r="BL239" s="45"/>
      <c r="BM239" s="45"/>
      <c r="BN239" s="45"/>
      <c r="BO239" s="45"/>
      <c r="BP239" s="45"/>
      <c r="BQ239" s="41"/>
    </row>
    <row r="240" spans="1:69" ht="14.4" x14ac:dyDescent="0.3">
      <c r="A240" s="52" t="s">
        <v>115</v>
      </c>
      <c r="B240" s="58">
        <v>27.5</v>
      </c>
      <c r="C240" s="41"/>
      <c r="D240" s="41"/>
      <c r="E240" s="41"/>
      <c r="F240" s="42"/>
      <c r="G240" s="59">
        <v>1.77</v>
      </c>
      <c r="H240" s="59">
        <v>0.3</v>
      </c>
      <c r="I240" s="59">
        <v>2.02</v>
      </c>
      <c r="J240" s="43">
        <f t="shared" si="133"/>
        <v>0.48674999999999996</v>
      </c>
      <c r="K240" s="43">
        <f t="shared" si="134"/>
        <v>8.2500000000000004E-2</v>
      </c>
      <c r="L240" s="43">
        <f t="shared" si="135"/>
        <v>0.55549999999999999</v>
      </c>
      <c r="M240" s="46"/>
      <c r="N240" s="46"/>
      <c r="O240" s="41"/>
      <c r="P240" s="41"/>
      <c r="Q240" s="41"/>
      <c r="R240" s="41"/>
      <c r="S240" s="41"/>
      <c r="T240" s="52"/>
      <c r="U240" s="45"/>
      <c r="V240" s="45"/>
      <c r="W240" s="45"/>
      <c r="X240" s="45"/>
      <c r="Y240" s="47"/>
      <c r="Z240" s="45"/>
      <c r="AA240" s="45"/>
      <c r="AB240" s="45"/>
      <c r="AC240" s="46"/>
      <c r="AD240" s="46"/>
      <c r="AE240" s="45"/>
      <c r="AF240" s="45"/>
      <c r="AG240" s="45"/>
      <c r="AH240" s="45"/>
      <c r="AI240" s="41"/>
      <c r="AJ240" s="52"/>
      <c r="AK240" s="45"/>
      <c r="AL240" s="45"/>
      <c r="AM240" s="45"/>
      <c r="AN240" s="45"/>
      <c r="AO240" s="47"/>
      <c r="AP240" s="45"/>
      <c r="AQ240" s="45"/>
      <c r="AR240" s="45"/>
      <c r="AS240" s="46"/>
      <c r="AT240" s="46"/>
      <c r="AU240" s="45"/>
      <c r="AV240" s="45"/>
      <c r="AW240" s="45"/>
      <c r="AX240" s="45"/>
      <c r="AY240" s="45"/>
      <c r="AZ240" s="41"/>
      <c r="BA240" s="52"/>
      <c r="BB240" s="45"/>
      <c r="BC240" s="45"/>
      <c r="BD240" s="45"/>
      <c r="BE240" s="45"/>
      <c r="BF240" s="47"/>
      <c r="BG240" s="45"/>
      <c r="BH240" s="45"/>
      <c r="BI240" s="45"/>
      <c r="BJ240" s="46"/>
      <c r="BK240" s="46"/>
      <c r="BL240" s="45"/>
      <c r="BM240" s="45"/>
      <c r="BN240" s="45"/>
      <c r="BO240" s="45"/>
      <c r="BP240" s="45"/>
      <c r="BQ240" s="41"/>
    </row>
    <row r="241" spans="1:69" ht="14.4" x14ac:dyDescent="0.3">
      <c r="A241" s="52" t="s">
        <v>104</v>
      </c>
      <c r="B241" s="58">
        <v>26.3</v>
      </c>
      <c r="C241" s="41"/>
      <c r="D241" s="41"/>
      <c r="E241" s="41"/>
      <c r="F241" s="42"/>
      <c r="G241" s="59">
        <v>1.05</v>
      </c>
      <c r="H241" s="59">
        <v>0.27</v>
      </c>
      <c r="I241" s="59">
        <v>0.64</v>
      </c>
      <c r="J241" s="43">
        <f t="shared" si="133"/>
        <v>0.27615000000000001</v>
      </c>
      <c r="K241" s="43">
        <f t="shared" si="134"/>
        <v>7.1010000000000004E-2</v>
      </c>
      <c r="L241" s="43">
        <f t="shared" si="135"/>
        <v>0.16832</v>
      </c>
      <c r="M241" s="46"/>
      <c r="N241" s="46"/>
      <c r="O241" s="41"/>
      <c r="P241" s="41"/>
      <c r="Q241" s="41"/>
      <c r="R241" s="41"/>
      <c r="S241" s="41"/>
      <c r="T241" s="52"/>
      <c r="U241" s="45"/>
      <c r="V241" s="45"/>
      <c r="W241" s="45"/>
      <c r="X241" s="45"/>
      <c r="Y241" s="47"/>
      <c r="Z241" s="45"/>
      <c r="AA241" s="45"/>
      <c r="AB241" s="45"/>
      <c r="AC241" s="46"/>
      <c r="AD241" s="46"/>
      <c r="AE241" s="45"/>
      <c r="AF241" s="45"/>
      <c r="AG241" s="45"/>
      <c r="AH241" s="45"/>
      <c r="AI241" s="41"/>
      <c r="AJ241" s="52"/>
      <c r="AK241" s="45"/>
      <c r="AL241" s="45"/>
      <c r="AM241" s="45"/>
      <c r="AN241" s="45"/>
      <c r="AO241" s="47"/>
      <c r="AP241" s="45"/>
      <c r="AQ241" s="45"/>
      <c r="AR241" s="45"/>
      <c r="AS241" s="46"/>
      <c r="AT241" s="46"/>
      <c r="AU241" s="45"/>
      <c r="AV241" s="45"/>
      <c r="AW241" s="45"/>
      <c r="AX241" s="45"/>
      <c r="AY241" s="45"/>
      <c r="AZ241" s="41"/>
      <c r="BA241" s="52"/>
      <c r="BB241" s="45"/>
      <c r="BC241" s="45"/>
      <c r="BD241" s="45"/>
      <c r="BE241" s="45"/>
      <c r="BF241" s="47"/>
      <c r="BG241" s="45"/>
      <c r="BH241" s="45"/>
      <c r="BI241" s="45"/>
      <c r="BJ241" s="46"/>
      <c r="BK241" s="46"/>
      <c r="BL241" s="45"/>
      <c r="BM241" s="45"/>
      <c r="BN241" s="45"/>
      <c r="BO241" s="45"/>
      <c r="BP241" s="45"/>
      <c r="BQ241" s="41"/>
    </row>
    <row r="242" spans="1:69" ht="14.4" x14ac:dyDescent="0.3">
      <c r="A242" s="52" t="s">
        <v>127</v>
      </c>
      <c r="B242" s="58">
        <v>17.3</v>
      </c>
      <c r="C242" s="41"/>
      <c r="D242" s="41"/>
      <c r="E242" s="41"/>
      <c r="F242" s="42"/>
      <c r="G242" s="59">
        <v>6.65</v>
      </c>
      <c r="H242" s="59">
        <v>2.4700000000000002</v>
      </c>
      <c r="I242" s="59">
        <v>15</v>
      </c>
      <c r="J242" s="43">
        <f t="shared" si="133"/>
        <v>1.1504500000000002</v>
      </c>
      <c r="K242" s="43">
        <f t="shared" si="134"/>
        <v>0.42731000000000002</v>
      </c>
      <c r="L242" s="43">
        <f t="shared" si="135"/>
        <v>2.5950000000000002</v>
      </c>
      <c r="M242" s="46"/>
      <c r="N242" s="46"/>
      <c r="O242" s="41"/>
      <c r="P242" s="41"/>
      <c r="Q242" s="41"/>
      <c r="R242" s="41"/>
      <c r="S242" s="41"/>
      <c r="T242" s="52"/>
      <c r="U242" s="45"/>
      <c r="V242" s="45"/>
      <c r="W242" s="45"/>
      <c r="X242" s="45"/>
      <c r="Y242" s="47"/>
      <c r="Z242" s="45"/>
      <c r="AA242" s="45"/>
      <c r="AB242" s="45"/>
      <c r="AC242" s="46"/>
      <c r="AD242" s="46"/>
      <c r="AE242" s="45"/>
      <c r="AF242" s="45"/>
      <c r="AG242" s="45"/>
      <c r="AH242" s="45"/>
      <c r="AI242" s="41"/>
      <c r="AJ242" s="52"/>
      <c r="AK242" s="45"/>
      <c r="AL242" s="45"/>
      <c r="AM242" s="45"/>
      <c r="AN242" s="45"/>
      <c r="AO242" s="47"/>
      <c r="AP242" s="45"/>
      <c r="AQ242" s="45"/>
      <c r="AR242" s="45"/>
      <c r="AS242" s="46"/>
      <c r="AT242" s="46"/>
      <c r="AU242" s="45"/>
      <c r="AV242" s="45"/>
      <c r="AW242" s="45"/>
      <c r="AX242" s="45"/>
      <c r="AY242" s="45"/>
      <c r="AZ242" s="41"/>
      <c r="BA242" s="52"/>
      <c r="BB242" s="45"/>
      <c r="BC242" s="45"/>
      <c r="BD242" s="45"/>
      <c r="BE242" s="45"/>
      <c r="BF242" s="47"/>
      <c r="BG242" s="45"/>
      <c r="BH242" s="45"/>
      <c r="BI242" s="45"/>
      <c r="BJ242" s="46"/>
      <c r="BK242" s="46"/>
      <c r="BL242" s="45"/>
      <c r="BM242" s="45"/>
      <c r="BN242" s="45"/>
      <c r="BO242" s="45"/>
      <c r="BP242" s="45"/>
      <c r="BQ242" s="41"/>
    </row>
    <row r="243" spans="1:69" ht="14.4" x14ac:dyDescent="0.3">
      <c r="A243" s="52" t="s">
        <v>128</v>
      </c>
      <c r="B243" s="58">
        <v>16</v>
      </c>
      <c r="C243" s="41"/>
      <c r="D243" s="41"/>
      <c r="E243" s="41"/>
      <c r="F243" s="42"/>
      <c r="G243" s="59">
        <v>4.92</v>
      </c>
      <c r="H243" s="59">
        <v>1.25</v>
      </c>
      <c r="I243" s="59">
        <v>10.7</v>
      </c>
      <c r="J243" s="43">
        <f t="shared" si="133"/>
        <v>0.78720000000000001</v>
      </c>
      <c r="K243" s="43">
        <f t="shared" si="134"/>
        <v>0.2</v>
      </c>
      <c r="L243" s="43">
        <f t="shared" si="135"/>
        <v>1.712</v>
      </c>
      <c r="M243" s="46"/>
      <c r="N243" s="46"/>
      <c r="O243" s="41"/>
      <c r="P243" s="41"/>
      <c r="Q243" s="41"/>
      <c r="R243" s="41"/>
      <c r="S243" s="41"/>
      <c r="T243" s="52"/>
      <c r="U243" s="45"/>
      <c r="V243" s="45"/>
      <c r="W243" s="45"/>
      <c r="X243" s="45"/>
      <c r="Y243" s="47"/>
      <c r="Z243" s="45"/>
      <c r="AA243" s="45"/>
      <c r="AB243" s="45"/>
      <c r="AC243" s="46"/>
      <c r="AD243" s="46"/>
      <c r="AE243" s="45"/>
      <c r="AF243" s="45"/>
      <c r="AG243" s="45"/>
      <c r="AH243" s="45"/>
      <c r="AI243" s="41"/>
      <c r="AJ243" s="52"/>
      <c r="AK243" s="45"/>
      <c r="AL243" s="45"/>
      <c r="AM243" s="45"/>
      <c r="AN243" s="45"/>
      <c r="AO243" s="47"/>
      <c r="AP243" s="45"/>
      <c r="AQ243" s="45"/>
      <c r="AR243" s="45"/>
      <c r="AS243" s="46"/>
      <c r="AT243" s="46"/>
      <c r="AU243" s="45"/>
      <c r="AV243" s="45"/>
      <c r="AW243" s="45"/>
      <c r="AX243" s="45"/>
      <c r="AY243" s="45"/>
      <c r="AZ243" s="41"/>
      <c r="BA243" s="52"/>
      <c r="BB243" s="45"/>
      <c r="BC243" s="45"/>
      <c r="BD243" s="45"/>
      <c r="BE243" s="45"/>
      <c r="BF243" s="47"/>
      <c r="BG243" s="45"/>
      <c r="BH243" s="45"/>
      <c r="BI243" s="45"/>
      <c r="BJ243" s="46"/>
      <c r="BK243" s="46"/>
      <c r="BL243" s="45"/>
      <c r="BM243" s="45"/>
      <c r="BN243" s="45"/>
      <c r="BO243" s="45"/>
      <c r="BP243" s="45"/>
      <c r="BQ243" s="41"/>
    </row>
    <row r="244" spans="1:69" ht="14.4" x14ac:dyDescent="0.3">
      <c r="A244" s="52" t="s">
        <v>118</v>
      </c>
      <c r="B244" s="58">
        <v>8.6300000000000008</v>
      </c>
      <c r="C244" s="41"/>
      <c r="D244" s="41"/>
      <c r="E244" s="41"/>
      <c r="F244" s="42"/>
      <c r="G244" s="59">
        <v>5.32</v>
      </c>
      <c r="H244" s="59">
        <v>1.83</v>
      </c>
      <c r="I244" s="59">
        <v>16.600000000000001</v>
      </c>
      <c r="J244" s="43">
        <f t="shared" si="133"/>
        <v>0.45911600000000008</v>
      </c>
      <c r="K244" s="43">
        <f t="shared" si="134"/>
        <v>0.15792900000000001</v>
      </c>
      <c r="L244" s="43">
        <f t="shared" si="135"/>
        <v>1.4325800000000004</v>
      </c>
      <c r="M244" s="46"/>
      <c r="N244" s="46"/>
      <c r="O244" s="41"/>
      <c r="P244" s="41"/>
      <c r="Q244" s="41"/>
      <c r="R244" s="41"/>
      <c r="S244" s="41"/>
      <c r="T244" s="52"/>
      <c r="U244" s="45"/>
      <c r="V244" s="45"/>
      <c r="W244" s="45"/>
      <c r="X244" s="45"/>
      <c r="Y244" s="47"/>
      <c r="Z244" s="45"/>
      <c r="AA244" s="45"/>
      <c r="AB244" s="45"/>
      <c r="AC244" s="46"/>
      <c r="AD244" s="46"/>
      <c r="AE244" s="45"/>
      <c r="AF244" s="45"/>
      <c r="AG244" s="45"/>
      <c r="AH244" s="45"/>
      <c r="AI244" s="41"/>
      <c r="AJ244" s="52"/>
      <c r="AK244" s="45"/>
      <c r="AL244" s="45"/>
      <c r="AM244" s="45"/>
      <c r="AN244" s="45"/>
      <c r="AO244" s="47"/>
      <c r="AP244" s="45"/>
      <c r="AQ244" s="45"/>
      <c r="AR244" s="45"/>
      <c r="AS244" s="46"/>
      <c r="AT244" s="46"/>
      <c r="AU244" s="45"/>
      <c r="AV244" s="45"/>
      <c r="AW244" s="45"/>
      <c r="AX244" s="45"/>
      <c r="AY244" s="45"/>
      <c r="AZ244" s="41"/>
      <c r="BA244" s="52"/>
      <c r="BB244" s="45"/>
      <c r="BC244" s="45"/>
      <c r="BD244" s="45"/>
      <c r="BE244" s="45"/>
      <c r="BF244" s="47"/>
      <c r="BG244" s="45"/>
      <c r="BH244" s="45"/>
      <c r="BI244" s="45"/>
      <c r="BJ244" s="46"/>
      <c r="BK244" s="46"/>
      <c r="BL244" s="45"/>
      <c r="BM244" s="45"/>
      <c r="BN244" s="45"/>
      <c r="BO244" s="45"/>
      <c r="BP244" s="45"/>
      <c r="BQ244" s="41"/>
    </row>
    <row r="245" spans="1:69" ht="14.4" x14ac:dyDescent="0.3">
      <c r="A245" s="52" t="s">
        <v>123</v>
      </c>
      <c r="B245" s="58">
        <v>61</v>
      </c>
      <c r="C245" s="41"/>
      <c r="D245" s="41"/>
      <c r="E245" s="41"/>
      <c r="F245" s="42"/>
      <c r="G245" s="59">
        <v>3.81</v>
      </c>
      <c r="H245" s="59">
        <v>0.35</v>
      </c>
      <c r="I245" s="59">
        <v>4.6900000000000004</v>
      </c>
      <c r="J245" s="43">
        <f t="shared" si="133"/>
        <v>2.3241000000000001</v>
      </c>
      <c r="K245" s="43">
        <f t="shared" si="134"/>
        <v>0.21349999999999997</v>
      </c>
      <c r="L245" s="43">
        <f t="shared" si="135"/>
        <v>2.8609000000000004</v>
      </c>
      <c r="M245" s="46"/>
      <c r="N245" s="46"/>
      <c r="O245" s="41"/>
      <c r="P245" s="41"/>
      <c r="Q245" s="41"/>
      <c r="R245" s="41"/>
      <c r="S245" s="41"/>
      <c r="T245" s="52"/>
      <c r="U245" s="45"/>
      <c r="V245" s="45"/>
      <c r="W245" s="45"/>
      <c r="X245" s="45"/>
      <c r="Y245" s="47"/>
      <c r="Z245" s="45"/>
      <c r="AA245" s="45"/>
      <c r="AB245" s="45"/>
      <c r="AC245" s="46"/>
      <c r="AD245" s="46"/>
      <c r="AE245" s="45"/>
      <c r="AF245" s="45"/>
      <c r="AG245" s="45"/>
      <c r="AH245" s="45"/>
      <c r="AI245" s="41"/>
      <c r="AJ245" s="52"/>
      <c r="AK245" s="45"/>
      <c r="AL245" s="45"/>
      <c r="AM245" s="45"/>
      <c r="AN245" s="45"/>
      <c r="AO245" s="47"/>
      <c r="AP245" s="45"/>
      <c r="AQ245" s="45"/>
      <c r="AR245" s="45"/>
      <c r="AS245" s="46"/>
      <c r="AT245" s="46"/>
      <c r="AU245" s="45"/>
      <c r="AV245" s="45"/>
      <c r="AW245" s="45"/>
      <c r="AX245" s="45"/>
      <c r="AY245" s="45"/>
      <c r="AZ245" s="41"/>
      <c r="BA245" s="52"/>
      <c r="BB245" s="45"/>
      <c r="BC245" s="45"/>
      <c r="BD245" s="45"/>
      <c r="BE245" s="45"/>
      <c r="BF245" s="47"/>
      <c r="BG245" s="45"/>
      <c r="BH245" s="45"/>
      <c r="BI245" s="45"/>
      <c r="BJ245" s="46"/>
      <c r="BK245" s="46"/>
      <c r="BL245" s="45"/>
      <c r="BM245" s="45"/>
      <c r="BN245" s="45"/>
      <c r="BO245" s="45"/>
      <c r="BP245" s="45"/>
      <c r="BQ245" s="41"/>
    </row>
    <row r="246" spans="1:69" ht="14.4" x14ac:dyDescent="0.3">
      <c r="A246" s="52" t="s">
        <v>129</v>
      </c>
      <c r="B246" s="58">
        <v>43.8</v>
      </c>
      <c r="C246" s="41"/>
      <c r="D246" s="41"/>
      <c r="E246" s="41"/>
      <c r="F246" s="42"/>
      <c r="G246" s="59">
        <v>8.51</v>
      </c>
      <c r="H246" s="59">
        <v>0.44</v>
      </c>
      <c r="I246" s="59">
        <v>6.63</v>
      </c>
      <c r="J246" s="43">
        <f t="shared" si="133"/>
        <v>3.7273799999999992</v>
      </c>
      <c r="K246" s="43">
        <f t="shared" si="134"/>
        <v>0.19271999999999997</v>
      </c>
      <c r="L246" s="43">
        <f t="shared" si="135"/>
        <v>2.9039399999999995</v>
      </c>
      <c r="M246" s="46"/>
      <c r="N246" s="41"/>
      <c r="O246" s="41"/>
      <c r="P246" s="41"/>
      <c r="Q246" s="41"/>
      <c r="R246" s="41"/>
      <c r="S246" s="41"/>
      <c r="T246" s="52"/>
      <c r="U246" s="45"/>
      <c r="V246" s="45"/>
      <c r="W246" s="45"/>
      <c r="X246" s="45"/>
      <c r="Y246" s="47"/>
      <c r="Z246" s="45"/>
      <c r="AA246" s="45"/>
      <c r="AB246" s="45"/>
      <c r="AC246" s="45"/>
      <c r="AD246" s="45"/>
      <c r="AE246" s="45"/>
      <c r="AF246" s="45"/>
      <c r="AG246" s="45"/>
      <c r="AH246" s="45"/>
      <c r="AI246" s="41"/>
      <c r="AJ246" s="52"/>
      <c r="AK246" s="45"/>
      <c r="AL246" s="45"/>
      <c r="AM246" s="45"/>
      <c r="AN246" s="45"/>
      <c r="AO246" s="47"/>
      <c r="AP246" s="45"/>
      <c r="AQ246" s="45"/>
      <c r="AR246" s="45"/>
      <c r="AS246" s="48"/>
      <c r="AT246" s="45"/>
      <c r="AU246" s="45"/>
      <c r="AV246" s="45"/>
      <c r="AW246" s="45"/>
      <c r="AX246" s="45"/>
      <c r="AY246" s="45"/>
      <c r="AZ246" s="41"/>
      <c r="BA246" s="52"/>
      <c r="BB246" s="45"/>
      <c r="BC246" s="45"/>
      <c r="BD246" s="45"/>
      <c r="BE246" s="45"/>
      <c r="BF246" s="47"/>
      <c r="BG246" s="45"/>
      <c r="BH246" s="45"/>
      <c r="BI246" s="45"/>
      <c r="BJ246" s="48"/>
      <c r="BK246" s="45"/>
      <c r="BL246" s="45"/>
      <c r="BM246" s="45"/>
      <c r="BN246" s="45"/>
      <c r="BO246" s="45"/>
      <c r="BP246" s="45"/>
      <c r="BQ246" s="41"/>
    </row>
    <row r="247" spans="1:69" ht="14.4" x14ac:dyDescent="0.3">
      <c r="A247" s="52" t="s">
        <v>130</v>
      </c>
      <c r="B247" s="58">
        <v>68.3</v>
      </c>
      <c r="C247" s="45"/>
      <c r="D247" s="45"/>
      <c r="E247" s="45"/>
      <c r="F247" s="47"/>
      <c r="G247" s="59">
        <v>4.07</v>
      </c>
      <c r="H247" s="59">
        <v>0.14000000000000001</v>
      </c>
      <c r="I247" s="59">
        <v>3.48</v>
      </c>
      <c r="J247" s="43">
        <f t="shared" si="133"/>
        <v>2.7798099999999999</v>
      </c>
      <c r="K247" s="43">
        <f t="shared" si="134"/>
        <v>9.5620000000000011E-2</v>
      </c>
      <c r="L247" s="43">
        <f t="shared" si="135"/>
        <v>2.3768400000000001</v>
      </c>
      <c r="M247" s="46"/>
      <c r="N247" s="41"/>
      <c r="O247" s="41"/>
      <c r="P247" s="41"/>
      <c r="Q247" s="41"/>
      <c r="R247" s="41"/>
      <c r="S247" s="41"/>
      <c r="T247" s="52"/>
      <c r="U247" s="45"/>
      <c r="V247" s="45"/>
      <c r="W247" s="45"/>
      <c r="X247" s="45"/>
      <c r="Y247" s="47"/>
      <c r="Z247" s="45"/>
      <c r="AA247" s="45"/>
      <c r="AB247" s="45"/>
      <c r="AC247" s="46"/>
      <c r="AD247" s="45"/>
      <c r="AE247" s="45"/>
      <c r="AF247" s="45"/>
      <c r="AG247" s="45"/>
      <c r="AH247" s="45"/>
      <c r="AI247" s="41"/>
      <c r="AJ247" s="52"/>
      <c r="AK247" s="45"/>
      <c r="AL247" s="45"/>
      <c r="AM247" s="45"/>
      <c r="AN247" s="45"/>
      <c r="AO247" s="47"/>
      <c r="AP247" s="45"/>
      <c r="AQ247" s="45"/>
      <c r="AR247" s="45"/>
      <c r="AS247" s="46"/>
      <c r="AT247" s="45"/>
      <c r="AU247" s="45"/>
      <c r="AV247" s="45"/>
      <c r="AW247" s="45"/>
      <c r="AX247" s="45"/>
      <c r="AY247" s="45"/>
      <c r="AZ247" s="41"/>
      <c r="BA247" s="52"/>
      <c r="BB247" s="45"/>
      <c r="BC247" s="45"/>
      <c r="BD247" s="45"/>
      <c r="BE247" s="45"/>
      <c r="BF247" s="47"/>
      <c r="BG247" s="45"/>
      <c r="BH247" s="45"/>
      <c r="BI247" s="45"/>
      <c r="BJ247" s="46"/>
      <c r="BK247" s="45"/>
      <c r="BL247" s="45"/>
      <c r="BM247" s="45"/>
      <c r="BN247" s="45"/>
      <c r="BO247" s="45"/>
      <c r="BP247" s="45"/>
      <c r="BQ247" s="41"/>
    </row>
    <row r="248" spans="1:69" ht="14.4" x14ac:dyDescent="0.3">
      <c r="A248" s="52" t="s">
        <v>124</v>
      </c>
      <c r="B248" s="58">
        <v>48.6</v>
      </c>
      <c r="C248" s="45"/>
      <c r="D248" s="45"/>
      <c r="E248" s="45"/>
      <c r="F248" s="47"/>
      <c r="G248" s="59">
        <v>6.61</v>
      </c>
      <c r="H248" s="59">
        <v>0.26</v>
      </c>
      <c r="I248" s="59">
        <v>8.94</v>
      </c>
      <c r="J248" s="43">
        <f t="shared" si="133"/>
        <v>3.2124600000000005</v>
      </c>
      <c r="K248" s="43">
        <f t="shared" si="134"/>
        <v>0.12636</v>
      </c>
      <c r="L248" s="43">
        <f t="shared" si="135"/>
        <v>4.3448399999999996</v>
      </c>
      <c r="M248" s="46"/>
      <c r="N248" s="41"/>
      <c r="O248" s="41"/>
      <c r="P248" s="41"/>
      <c r="Q248" s="41"/>
      <c r="R248" s="41"/>
      <c r="S248" s="41"/>
      <c r="T248" s="52"/>
      <c r="U248" s="45"/>
      <c r="V248" s="45"/>
      <c r="W248" s="45"/>
      <c r="X248" s="45"/>
      <c r="Y248" s="47"/>
      <c r="Z248" s="45"/>
      <c r="AA248" s="45"/>
      <c r="AB248" s="45"/>
      <c r="AC248" s="46"/>
      <c r="AD248" s="45"/>
      <c r="AE248" s="45"/>
      <c r="AF248" s="45"/>
      <c r="AG248" s="45"/>
      <c r="AH248" s="45"/>
      <c r="AI248" s="41"/>
      <c r="AJ248" s="52"/>
      <c r="AK248" s="45"/>
      <c r="AL248" s="45"/>
      <c r="AM248" s="45"/>
      <c r="AN248" s="45"/>
      <c r="AO248" s="47"/>
      <c r="AP248" s="45"/>
      <c r="AQ248" s="45"/>
      <c r="AR248" s="45"/>
      <c r="AS248" s="46"/>
      <c r="AT248" s="45"/>
      <c r="AU248" s="45"/>
      <c r="AV248" s="45"/>
      <c r="AW248" s="45"/>
      <c r="AX248" s="45"/>
      <c r="AY248" s="45"/>
      <c r="AZ248" s="41"/>
      <c r="BA248" s="52"/>
      <c r="BB248" s="45"/>
      <c r="BC248" s="45"/>
      <c r="BD248" s="45"/>
      <c r="BE248" s="45"/>
      <c r="BF248" s="47"/>
      <c r="BG248" s="45"/>
      <c r="BH248" s="45"/>
      <c r="BI248" s="45"/>
      <c r="BJ248" s="46"/>
      <c r="BK248" s="45"/>
      <c r="BL248" s="45"/>
      <c r="BM248" s="45"/>
      <c r="BN248" s="45"/>
      <c r="BO248" s="45"/>
      <c r="BP248" s="45"/>
      <c r="BQ248" s="41"/>
    </row>
    <row r="249" spans="1:69" ht="14.4" x14ac:dyDescent="0.3">
      <c r="A249" s="52" t="s">
        <v>121</v>
      </c>
      <c r="B249" s="58">
        <v>36.6</v>
      </c>
      <c r="C249" s="45"/>
      <c r="D249" s="45"/>
      <c r="E249" s="45"/>
      <c r="F249" s="47"/>
      <c r="G249" s="59">
        <v>7.09</v>
      </c>
      <c r="H249" s="59">
        <v>0.62</v>
      </c>
      <c r="I249" s="59">
        <v>8.9499999999999993</v>
      </c>
      <c r="J249" s="43">
        <f t="shared" si="133"/>
        <v>2.5949400000000002</v>
      </c>
      <c r="K249" s="43">
        <f t="shared" si="134"/>
        <v>0.22692000000000001</v>
      </c>
      <c r="L249" s="43">
        <f t="shared" si="135"/>
        <v>3.2757000000000001</v>
      </c>
      <c r="M249" s="46"/>
      <c r="N249" s="41"/>
      <c r="O249" s="41"/>
      <c r="P249" s="41"/>
      <c r="Q249" s="41"/>
      <c r="R249" s="41"/>
      <c r="S249" s="41"/>
      <c r="T249" s="52"/>
      <c r="U249" s="45"/>
      <c r="V249" s="45"/>
      <c r="W249" s="45"/>
      <c r="X249" s="45"/>
      <c r="Y249" s="47"/>
      <c r="Z249" s="45"/>
      <c r="AA249" s="45"/>
      <c r="AB249" s="45"/>
      <c r="AC249" s="46"/>
      <c r="AD249" s="45"/>
      <c r="AE249" s="45"/>
      <c r="AF249" s="45"/>
      <c r="AG249" s="45"/>
      <c r="AH249" s="45"/>
      <c r="AI249" s="41"/>
      <c r="AJ249" s="52"/>
      <c r="AK249" s="45"/>
      <c r="AL249" s="45"/>
      <c r="AM249" s="45"/>
      <c r="AN249" s="45"/>
      <c r="AO249" s="47"/>
      <c r="AP249" s="45"/>
      <c r="AQ249" s="45"/>
      <c r="AR249" s="45"/>
      <c r="AS249" s="46"/>
      <c r="AT249" s="45"/>
      <c r="AU249" s="45"/>
      <c r="AV249" s="45"/>
      <c r="AW249" s="45"/>
      <c r="AX249" s="45"/>
      <c r="AY249" s="45"/>
      <c r="AZ249" s="41"/>
      <c r="BA249" s="52"/>
      <c r="BB249" s="45"/>
      <c r="BC249" s="45"/>
      <c r="BD249" s="45"/>
      <c r="BE249" s="45"/>
      <c r="BF249" s="47"/>
      <c r="BG249" s="45"/>
      <c r="BH249" s="45"/>
      <c r="BI249" s="45"/>
      <c r="BJ249" s="46"/>
      <c r="BK249" s="45"/>
      <c r="BL249" s="45"/>
      <c r="BM249" s="45"/>
      <c r="BN249" s="45"/>
      <c r="BO249" s="45"/>
      <c r="BP249" s="45"/>
      <c r="BQ249" s="41"/>
    </row>
    <row r="250" spans="1:69" ht="14.4" x14ac:dyDescent="0.3">
      <c r="A250" s="52" t="s">
        <v>131</v>
      </c>
      <c r="B250" s="58">
        <v>42.4</v>
      </c>
      <c r="C250" s="45"/>
      <c r="D250" s="45"/>
      <c r="E250" s="45"/>
      <c r="F250" s="47"/>
      <c r="G250" s="59">
        <v>10.5</v>
      </c>
      <c r="H250" s="59">
        <v>0.72</v>
      </c>
      <c r="I250" s="59">
        <v>7.57</v>
      </c>
      <c r="J250" s="43">
        <f t="shared" si="133"/>
        <v>4.452</v>
      </c>
      <c r="K250" s="43">
        <f t="shared" si="134"/>
        <v>0.30528</v>
      </c>
      <c r="L250" s="43">
        <f t="shared" si="135"/>
        <v>3.2096800000000001</v>
      </c>
      <c r="M250" s="46"/>
      <c r="N250" s="41"/>
      <c r="O250" s="41"/>
      <c r="P250" s="41"/>
      <c r="Q250" s="41"/>
      <c r="R250" s="41"/>
      <c r="S250" s="41"/>
      <c r="T250" s="52"/>
      <c r="U250" s="45"/>
      <c r="V250" s="45"/>
      <c r="W250" s="45"/>
      <c r="X250" s="45"/>
      <c r="Y250" s="47"/>
      <c r="Z250" s="45"/>
      <c r="AA250" s="45"/>
      <c r="AB250" s="45"/>
      <c r="AC250" s="46"/>
      <c r="AD250" s="45"/>
      <c r="AE250" s="45"/>
      <c r="AF250" s="45"/>
      <c r="AG250" s="45"/>
      <c r="AH250" s="45"/>
      <c r="AI250" s="41"/>
      <c r="AJ250" s="52"/>
      <c r="AK250" s="45"/>
      <c r="AL250" s="45"/>
      <c r="AM250" s="45"/>
      <c r="AN250" s="45"/>
      <c r="AO250" s="47"/>
      <c r="AP250" s="45"/>
      <c r="AQ250" s="45"/>
      <c r="AR250" s="45"/>
      <c r="AS250" s="46"/>
      <c r="AT250" s="45"/>
      <c r="AU250" s="45"/>
      <c r="AV250" s="45"/>
      <c r="AW250" s="45"/>
      <c r="AX250" s="45"/>
      <c r="AY250" s="45"/>
      <c r="AZ250" s="41"/>
      <c r="BA250" s="52"/>
      <c r="BB250" s="45"/>
      <c r="BC250" s="45"/>
      <c r="BD250" s="45"/>
      <c r="BE250" s="45"/>
      <c r="BF250" s="47"/>
      <c r="BG250" s="45"/>
      <c r="BH250" s="45"/>
      <c r="BI250" s="45"/>
      <c r="BJ250" s="46"/>
      <c r="BK250" s="45"/>
      <c r="BL250" s="45"/>
      <c r="BM250" s="45"/>
      <c r="BN250" s="45"/>
      <c r="BO250" s="45"/>
      <c r="BP250" s="45"/>
      <c r="BQ250" s="41"/>
    </row>
    <row r="251" spans="1:69" ht="14.4" x14ac:dyDescent="0.3">
      <c r="A251" s="52" t="s">
        <v>132</v>
      </c>
      <c r="B251" s="58">
        <v>37</v>
      </c>
      <c r="C251" s="45"/>
      <c r="D251" s="45"/>
      <c r="E251" s="45"/>
      <c r="F251" s="47"/>
      <c r="G251" s="59">
        <v>4.13</v>
      </c>
      <c r="H251" s="59">
        <v>0.1</v>
      </c>
      <c r="I251" s="59">
        <v>0.36</v>
      </c>
      <c r="J251" s="43">
        <f t="shared" si="133"/>
        <v>1.5281</v>
      </c>
      <c r="K251" s="43">
        <f t="shared" si="134"/>
        <v>3.7000000000000005E-2</v>
      </c>
      <c r="L251" s="43">
        <f t="shared" si="135"/>
        <v>0.13320000000000001</v>
      </c>
      <c r="M251" s="46"/>
      <c r="N251" s="41"/>
      <c r="O251" s="41"/>
      <c r="P251" s="41"/>
      <c r="Q251" s="41"/>
      <c r="R251" s="41"/>
      <c r="S251" s="41"/>
      <c r="T251" s="52"/>
      <c r="U251" s="45"/>
      <c r="V251" s="45"/>
      <c r="W251" s="45"/>
      <c r="X251" s="45"/>
      <c r="Y251" s="47"/>
      <c r="Z251" s="45"/>
      <c r="AA251" s="45"/>
      <c r="AB251" s="45"/>
      <c r="AC251" s="46"/>
      <c r="AD251" s="45"/>
      <c r="AE251" s="45"/>
      <c r="AF251" s="45"/>
      <c r="AG251" s="45"/>
      <c r="AH251" s="45"/>
      <c r="AI251" s="41"/>
      <c r="AJ251" s="52"/>
      <c r="AK251" s="45"/>
      <c r="AL251" s="45"/>
      <c r="AM251" s="45"/>
      <c r="AN251" s="45"/>
      <c r="AO251" s="47"/>
      <c r="AP251" s="45"/>
      <c r="AQ251" s="45"/>
      <c r="AR251" s="45"/>
      <c r="AS251" s="46"/>
      <c r="AT251" s="45"/>
      <c r="AU251" s="45"/>
      <c r="AV251" s="45"/>
      <c r="AW251" s="45"/>
      <c r="AX251" s="45"/>
      <c r="AY251" s="45"/>
      <c r="AZ251" s="41"/>
      <c r="BA251" s="52"/>
      <c r="BB251" s="45"/>
      <c r="BC251" s="45"/>
      <c r="BD251" s="45"/>
      <c r="BE251" s="45"/>
      <c r="BF251" s="47"/>
      <c r="BG251" s="45"/>
      <c r="BH251" s="45"/>
      <c r="BI251" s="45"/>
      <c r="BJ251" s="46"/>
      <c r="BK251" s="45"/>
      <c r="BL251" s="45"/>
      <c r="BM251" s="45"/>
      <c r="BN251" s="45"/>
      <c r="BO251" s="45"/>
      <c r="BP251" s="45"/>
      <c r="BQ251" s="41"/>
    </row>
    <row r="252" spans="1:69" ht="14.4" x14ac:dyDescent="0.3">
      <c r="A252" s="52" t="s">
        <v>120</v>
      </c>
      <c r="B252" s="58">
        <v>35.5</v>
      </c>
      <c r="C252" s="45"/>
      <c r="D252" s="45"/>
      <c r="E252" s="45"/>
      <c r="F252" s="47"/>
      <c r="G252" s="59">
        <v>3.45</v>
      </c>
      <c r="H252" s="59">
        <v>0.59</v>
      </c>
      <c r="I252" s="59">
        <v>0.85</v>
      </c>
      <c r="J252" s="43">
        <f t="shared" si="133"/>
        <v>1.22475</v>
      </c>
      <c r="K252" s="43">
        <f t="shared" si="134"/>
        <v>0.20945</v>
      </c>
      <c r="L252" s="43">
        <f t="shared" si="135"/>
        <v>0.30175000000000002</v>
      </c>
      <c r="M252" s="46"/>
      <c r="N252" s="41"/>
      <c r="O252" s="41"/>
      <c r="P252" s="41"/>
      <c r="Q252" s="41"/>
      <c r="R252" s="41"/>
      <c r="S252" s="41"/>
      <c r="T252" s="52"/>
      <c r="U252" s="45"/>
      <c r="V252" s="45"/>
      <c r="W252" s="45"/>
      <c r="X252" s="45"/>
      <c r="Y252" s="47"/>
      <c r="Z252" s="45"/>
      <c r="AA252" s="45"/>
      <c r="AB252" s="45"/>
      <c r="AC252" s="46"/>
      <c r="AD252" s="45"/>
      <c r="AE252" s="45"/>
      <c r="AF252" s="45"/>
      <c r="AG252" s="45"/>
      <c r="AH252" s="45"/>
      <c r="AI252" s="41"/>
      <c r="AJ252" s="52"/>
      <c r="AK252" s="45"/>
      <c r="AL252" s="45"/>
      <c r="AM252" s="45"/>
      <c r="AN252" s="45"/>
      <c r="AO252" s="47"/>
      <c r="AP252" s="45"/>
      <c r="AQ252" s="45"/>
      <c r="AR252" s="45"/>
      <c r="AS252" s="46"/>
      <c r="AT252" s="45"/>
      <c r="AU252" s="45"/>
      <c r="AV252" s="45"/>
      <c r="AW252" s="45"/>
      <c r="AX252" s="45"/>
      <c r="AY252" s="45"/>
      <c r="AZ252" s="41"/>
      <c r="BA252" s="52"/>
      <c r="BB252" s="45"/>
      <c r="BC252" s="45"/>
      <c r="BD252" s="45"/>
      <c r="BE252" s="45"/>
      <c r="BF252" s="47"/>
      <c r="BG252" s="45"/>
      <c r="BH252" s="45"/>
      <c r="BI252" s="45"/>
      <c r="BJ252" s="46"/>
      <c r="BK252" s="45"/>
      <c r="BL252" s="45"/>
      <c r="BM252" s="45"/>
      <c r="BN252" s="45"/>
      <c r="BO252" s="45"/>
      <c r="BP252" s="45"/>
      <c r="BQ252" s="41"/>
    </row>
    <row r="253" spans="1:69" ht="14.4" x14ac:dyDescent="0.3">
      <c r="A253" s="52" t="s">
        <v>122</v>
      </c>
      <c r="B253" s="58">
        <v>47.7</v>
      </c>
      <c r="C253" s="45"/>
      <c r="D253" s="45"/>
      <c r="E253" s="45"/>
      <c r="F253" s="47"/>
      <c r="G253" s="59">
        <v>3.84</v>
      </c>
      <c r="H253" s="59">
        <v>0.18</v>
      </c>
      <c r="I253" s="59">
        <v>0.37</v>
      </c>
      <c r="J253" s="43">
        <f t="shared" si="133"/>
        <v>1.83168</v>
      </c>
      <c r="K253" s="43">
        <f t="shared" si="134"/>
        <v>8.5860000000000006E-2</v>
      </c>
      <c r="L253" s="43">
        <f t="shared" si="135"/>
        <v>0.17649000000000001</v>
      </c>
      <c r="M253" s="46"/>
      <c r="N253" s="41"/>
      <c r="O253" s="41"/>
      <c r="P253" s="41"/>
      <c r="Q253" s="41"/>
      <c r="R253" s="41"/>
      <c r="S253" s="41"/>
      <c r="T253" s="52"/>
      <c r="U253" s="45"/>
      <c r="V253" s="45"/>
      <c r="W253" s="45"/>
      <c r="X253" s="45"/>
      <c r="Y253" s="47"/>
      <c r="Z253" s="45"/>
      <c r="AA253" s="45"/>
      <c r="AB253" s="45"/>
      <c r="AC253" s="46"/>
      <c r="AD253" s="45"/>
      <c r="AE253" s="45"/>
      <c r="AF253" s="45"/>
      <c r="AG253" s="45"/>
      <c r="AH253" s="45"/>
      <c r="AI253" s="41"/>
      <c r="AJ253" s="52"/>
      <c r="AK253" s="45"/>
      <c r="AL253" s="45"/>
      <c r="AM253" s="45"/>
      <c r="AN253" s="45"/>
      <c r="AO253" s="47"/>
      <c r="AP253" s="45"/>
      <c r="AQ253" s="45"/>
      <c r="AR253" s="45"/>
      <c r="AS253" s="46"/>
      <c r="AT253" s="45"/>
      <c r="AU253" s="45"/>
      <c r="AV253" s="45"/>
      <c r="AW253" s="45"/>
      <c r="AX253" s="45"/>
      <c r="AY253" s="45"/>
      <c r="AZ253" s="41"/>
      <c r="BA253" s="52"/>
      <c r="BB253" s="45"/>
      <c r="BC253" s="45"/>
      <c r="BD253" s="45"/>
      <c r="BE253" s="45"/>
      <c r="BF253" s="47"/>
      <c r="BG253" s="45"/>
      <c r="BH253" s="45"/>
      <c r="BI253" s="45"/>
      <c r="BJ253" s="46"/>
      <c r="BK253" s="45"/>
      <c r="BL253" s="45"/>
      <c r="BM253" s="45"/>
      <c r="BN253" s="45"/>
      <c r="BO253" s="45"/>
      <c r="BP253" s="45"/>
      <c r="BQ253" s="41"/>
    </row>
    <row r="254" spans="1:69" ht="14.4" x14ac:dyDescent="0.3">
      <c r="A254" s="52" t="s">
        <v>119</v>
      </c>
      <c r="B254" s="58">
        <v>31</v>
      </c>
      <c r="C254" s="45"/>
      <c r="D254" s="45"/>
      <c r="E254" s="45"/>
      <c r="F254" s="47"/>
      <c r="G254" s="59">
        <v>2.95</v>
      </c>
      <c r="H254" s="59">
        <v>0.14000000000000001</v>
      </c>
      <c r="I254" s="59">
        <v>0.45</v>
      </c>
      <c r="J254" s="43">
        <f t="shared" si="133"/>
        <v>0.91449999999999998</v>
      </c>
      <c r="K254" s="43">
        <f t="shared" si="134"/>
        <v>4.3400000000000008E-2</v>
      </c>
      <c r="L254" s="43">
        <f t="shared" si="135"/>
        <v>0.13950000000000001</v>
      </c>
      <c r="M254" s="46"/>
      <c r="N254" s="41"/>
      <c r="O254" s="41"/>
      <c r="P254" s="41"/>
      <c r="Q254" s="41"/>
      <c r="R254" s="41"/>
      <c r="S254" s="41"/>
      <c r="T254" s="52"/>
      <c r="U254" s="45"/>
      <c r="V254" s="45"/>
      <c r="W254" s="45"/>
      <c r="X254" s="45"/>
      <c r="Y254" s="47"/>
      <c r="Z254" s="45"/>
      <c r="AA254" s="45"/>
      <c r="AB254" s="45"/>
      <c r="AC254" s="46"/>
      <c r="AD254" s="45"/>
      <c r="AE254" s="45"/>
      <c r="AF254" s="45"/>
      <c r="AG254" s="45"/>
      <c r="AH254" s="45"/>
      <c r="AI254" s="41"/>
      <c r="AJ254" s="52"/>
      <c r="AK254" s="45"/>
      <c r="AL254" s="45"/>
      <c r="AM254" s="45"/>
      <c r="AN254" s="45"/>
      <c r="AO254" s="47"/>
      <c r="AP254" s="45"/>
      <c r="AQ254" s="45"/>
      <c r="AR254" s="45"/>
      <c r="AS254" s="46"/>
      <c r="AT254" s="45"/>
      <c r="AU254" s="45"/>
      <c r="AV254" s="45"/>
      <c r="AW254" s="45"/>
      <c r="AX254" s="45"/>
      <c r="AY254" s="45"/>
      <c r="AZ254" s="41"/>
      <c r="BA254" s="52"/>
      <c r="BB254" s="45"/>
      <c r="BC254" s="45"/>
      <c r="BD254" s="45"/>
      <c r="BE254" s="45"/>
      <c r="BF254" s="47"/>
      <c r="BG254" s="45"/>
      <c r="BH254" s="45"/>
      <c r="BI254" s="45"/>
      <c r="BJ254" s="46"/>
      <c r="BK254" s="45"/>
      <c r="BL254" s="45"/>
      <c r="BM254" s="45"/>
      <c r="BN254" s="45"/>
      <c r="BO254" s="45"/>
      <c r="BP254" s="45"/>
      <c r="BQ254" s="41"/>
    </row>
    <row r="255" spans="1:69" ht="14.4" x14ac:dyDescent="0.3">
      <c r="A255" s="52" t="s">
        <v>112</v>
      </c>
      <c r="B255" s="58">
        <v>39.200000000000003</v>
      </c>
      <c r="C255" s="45"/>
      <c r="D255" s="45"/>
      <c r="E255" s="45"/>
      <c r="F255" s="47"/>
      <c r="G255" s="59">
        <v>5.27</v>
      </c>
      <c r="H255" s="59">
        <v>0.06</v>
      </c>
      <c r="I255" s="59">
        <v>0.69</v>
      </c>
      <c r="J255" s="43">
        <f t="shared" si="133"/>
        <v>2.0658400000000001</v>
      </c>
      <c r="K255" s="43">
        <f t="shared" si="134"/>
        <v>2.3519999999999999E-2</v>
      </c>
      <c r="L255" s="43">
        <f t="shared" si="135"/>
        <v>0.27048</v>
      </c>
      <c r="M255" s="46"/>
      <c r="N255" s="41"/>
      <c r="O255" s="41"/>
      <c r="P255" s="41"/>
      <c r="Q255" s="41"/>
      <c r="R255" s="41"/>
      <c r="S255" s="41"/>
      <c r="T255" s="52"/>
      <c r="U255" s="45"/>
      <c r="V255" s="45"/>
      <c r="W255" s="45"/>
      <c r="X255" s="45"/>
      <c r="Y255" s="47"/>
      <c r="Z255" s="45"/>
      <c r="AA255" s="45"/>
      <c r="AB255" s="45"/>
      <c r="AC255" s="46"/>
      <c r="AD255" s="45"/>
      <c r="AE255" s="45"/>
      <c r="AF255" s="45"/>
      <c r="AG255" s="45"/>
      <c r="AH255" s="45"/>
      <c r="AI255" s="41"/>
      <c r="AJ255" s="52"/>
      <c r="AK255" s="45"/>
      <c r="AL255" s="45"/>
      <c r="AM255" s="45"/>
      <c r="AN255" s="45"/>
      <c r="AO255" s="47"/>
      <c r="AP255" s="45"/>
      <c r="AQ255" s="45"/>
      <c r="AR255" s="45"/>
      <c r="AS255" s="46"/>
      <c r="AT255" s="45"/>
      <c r="AU255" s="45"/>
      <c r="AV255" s="45"/>
      <c r="AW255" s="45"/>
      <c r="AX255" s="45"/>
      <c r="AY255" s="45"/>
      <c r="AZ255" s="41"/>
      <c r="BA255" s="52"/>
      <c r="BB255" s="45"/>
      <c r="BC255" s="45"/>
      <c r="BD255" s="45"/>
      <c r="BE255" s="45"/>
      <c r="BF255" s="47"/>
      <c r="BG255" s="45"/>
      <c r="BH255" s="45"/>
      <c r="BI255" s="45"/>
      <c r="BJ255" s="46"/>
      <c r="BK255" s="45"/>
      <c r="BL255" s="45"/>
      <c r="BM255" s="45"/>
      <c r="BN255" s="45"/>
      <c r="BO255" s="45"/>
      <c r="BP255" s="45"/>
      <c r="BQ255" s="41"/>
    </row>
    <row r="256" spans="1:69" ht="14.4" x14ac:dyDescent="0.3">
      <c r="A256" s="52" t="s">
        <v>110</v>
      </c>
      <c r="B256" s="58">
        <v>21.5</v>
      </c>
      <c r="C256" s="45"/>
      <c r="D256" s="45"/>
      <c r="E256" s="45"/>
      <c r="F256" s="47"/>
      <c r="G256" s="59">
        <v>3.64</v>
      </c>
      <c r="H256" s="59">
        <v>0.65</v>
      </c>
      <c r="I256" s="59">
        <v>0.69</v>
      </c>
      <c r="J256" s="43">
        <f t="shared" si="133"/>
        <v>0.78260000000000007</v>
      </c>
      <c r="K256" s="43">
        <f t="shared" si="134"/>
        <v>0.13974999999999999</v>
      </c>
      <c r="L256" s="43">
        <f t="shared" si="135"/>
        <v>0.14834999999999998</v>
      </c>
      <c r="M256" s="46"/>
      <c r="N256" s="41"/>
      <c r="O256" s="41"/>
      <c r="P256" s="41"/>
      <c r="Q256" s="41"/>
      <c r="R256" s="41"/>
      <c r="S256" s="41"/>
      <c r="T256" s="52"/>
      <c r="U256" s="45"/>
      <c r="V256" s="45"/>
      <c r="W256" s="45"/>
      <c r="X256" s="45"/>
      <c r="Y256" s="47"/>
      <c r="Z256" s="45"/>
      <c r="AA256" s="45"/>
      <c r="AB256" s="45"/>
      <c r="AC256" s="46"/>
      <c r="AD256" s="45"/>
      <c r="AE256" s="45"/>
      <c r="AF256" s="45"/>
      <c r="AG256" s="45"/>
      <c r="AH256" s="45"/>
      <c r="AI256" s="41"/>
      <c r="AJ256" s="52"/>
      <c r="AK256" s="45"/>
      <c r="AL256" s="45"/>
      <c r="AM256" s="45"/>
      <c r="AN256" s="45"/>
      <c r="AO256" s="47"/>
      <c r="AP256" s="45"/>
      <c r="AQ256" s="45"/>
      <c r="AR256" s="45"/>
      <c r="AS256" s="46"/>
      <c r="AT256" s="45"/>
      <c r="AU256" s="45"/>
      <c r="AV256" s="45"/>
      <c r="AW256" s="45"/>
      <c r="AX256" s="45"/>
      <c r="AY256" s="45"/>
      <c r="AZ256" s="41"/>
      <c r="BA256" s="52"/>
      <c r="BB256" s="45"/>
      <c r="BC256" s="45"/>
      <c r="BD256" s="45"/>
      <c r="BE256" s="45"/>
      <c r="BF256" s="47"/>
      <c r="BG256" s="45"/>
      <c r="BH256" s="45"/>
      <c r="BI256" s="45"/>
      <c r="BJ256" s="46"/>
      <c r="BK256" s="45"/>
      <c r="BL256" s="45"/>
      <c r="BM256" s="45"/>
      <c r="BN256" s="45"/>
      <c r="BO256" s="45"/>
      <c r="BP256" s="45"/>
      <c r="BQ256" s="41"/>
    </row>
    <row r="257" spans="1:69" ht="14.4" x14ac:dyDescent="0.3">
      <c r="A257" s="52" t="s">
        <v>125</v>
      </c>
      <c r="B257" s="58">
        <v>31.3</v>
      </c>
      <c r="C257" s="45"/>
      <c r="D257" s="45"/>
      <c r="E257" s="45"/>
      <c r="F257" s="47"/>
      <c r="G257" s="59">
        <v>1.79</v>
      </c>
      <c r="H257" s="59">
        <v>0.2</v>
      </c>
      <c r="I257" s="59">
        <v>0.6</v>
      </c>
      <c r="J257" s="43">
        <f t="shared" si="133"/>
        <v>0.56027000000000005</v>
      </c>
      <c r="K257" s="43">
        <f t="shared" si="134"/>
        <v>6.2600000000000003E-2</v>
      </c>
      <c r="L257" s="43">
        <f t="shared" si="135"/>
        <v>0.18780000000000002</v>
      </c>
      <c r="M257" s="46"/>
      <c r="N257" s="41"/>
      <c r="O257" s="41"/>
      <c r="P257" s="41"/>
      <c r="Q257" s="41"/>
      <c r="R257" s="41"/>
      <c r="S257" s="41"/>
      <c r="T257" s="52"/>
      <c r="U257" s="45"/>
      <c r="V257" s="45"/>
      <c r="W257" s="45"/>
      <c r="X257" s="45"/>
      <c r="Y257" s="47"/>
      <c r="Z257" s="45"/>
      <c r="AA257" s="45"/>
      <c r="AB257" s="45"/>
      <c r="AC257" s="46"/>
      <c r="AD257" s="45"/>
      <c r="AE257" s="45"/>
      <c r="AF257" s="45"/>
      <c r="AG257" s="45"/>
      <c r="AH257" s="45"/>
      <c r="AI257" s="41"/>
      <c r="AJ257" s="52"/>
      <c r="AK257" s="45"/>
      <c r="AL257" s="45"/>
      <c r="AM257" s="45"/>
      <c r="AN257" s="45"/>
      <c r="AO257" s="47"/>
      <c r="AP257" s="45"/>
      <c r="AQ257" s="45"/>
      <c r="AR257" s="45"/>
      <c r="AS257" s="46"/>
      <c r="AT257" s="45"/>
      <c r="AU257" s="45"/>
      <c r="AV257" s="45"/>
      <c r="AW257" s="45"/>
      <c r="AX257" s="45"/>
      <c r="AY257" s="45"/>
      <c r="AZ257" s="41"/>
      <c r="BA257" s="52"/>
      <c r="BB257" s="45"/>
      <c r="BC257" s="45"/>
      <c r="BD257" s="45"/>
      <c r="BE257" s="45"/>
      <c r="BF257" s="47"/>
      <c r="BG257" s="45"/>
      <c r="BH257" s="45"/>
      <c r="BI257" s="45"/>
      <c r="BJ257" s="46"/>
      <c r="BK257" s="45"/>
      <c r="BL257" s="45"/>
      <c r="BM257" s="45"/>
      <c r="BN257" s="45"/>
      <c r="BO257" s="45"/>
      <c r="BP257" s="45"/>
      <c r="BQ257" s="41"/>
    </row>
    <row r="258" spans="1:69" ht="14.4" x14ac:dyDescent="0.3">
      <c r="A258" s="52" t="s">
        <v>109</v>
      </c>
      <c r="B258" s="58">
        <v>24.7</v>
      </c>
      <c r="C258" s="45"/>
      <c r="D258" s="45"/>
      <c r="E258" s="45"/>
      <c r="F258" s="47"/>
      <c r="G258" s="59">
        <v>11.9</v>
      </c>
      <c r="H258" s="59">
        <v>1.65</v>
      </c>
      <c r="I258" s="59">
        <v>2.85</v>
      </c>
      <c r="J258" s="43">
        <f t="shared" si="133"/>
        <v>2.9393000000000002</v>
      </c>
      <c r="K258" s="43">
        <f t="shared" si="134"/>
        <v>0.40754999999999997</v>
      </c>
      <c r="L258" s="43">
        <f t="shared" si="135"/>
        <v>0.70394999999999996</v>
      </c>
      <c r="M258" s="46"/>
      <c r="N258" s="41"/>
      <c r="O258" s="41"/>
      <c r="P258" s="41"/>
      <c r="Q258" s="41"/>
      <c r="R258" s="41"/>
      <c r="S258" s="41"/>
      <c r="T258" s="52"/>
      <c r="U258" s="45"/>
      <c r="V258" s="45"/>
      <c r="W258" s="45"/>
      <c r="X258" s="45"/>
      <c r="Y258" s="47"/>
      <c r="Z258" s="45"/>
      <c r="AA258" s="45"/>
      <c r="AB258" s="45"/>
      <c r="AC258" s="46"/>
      <c r="AD258" s="45"/>
      <c r="AE258" s="45"/>
      <c r="AF258" s="45"/>
      <c r="AG258" s="45"/>
      <c r="AH258" s="45"/>
      <c r="AI258" s="41"/>
      <c r="AJ258" s="52"/>
      <c r="AK258" s="45"/>
      <c r="AL258" s="45"/>
      <c r="AM258" s="45"/>
      <c r="AN258" s="45"/>
      <c r="AO258" s="47"/>
      <c r="AP258" s="45"/>
      <c r="AQ258" s="45"/>
      <c r="AR258" s="45"/>
      <c r="AS258" s="46"/>
      <c r="AT258" s="45"/>
      <c r="AU258" s="45"/>
      <c r="AV258" s="45"/>
      <c r="AW258" s="45"/>
      <c r="AX258" s="45"/>
      <c r="AY258" s="45"/>
      <c r="AZ258" s="41"/>
      <c r="BA258" s="52"/>
      <c r="BB258" s="45"/>
      <c r="BC258" s="45"/>
      <c r="BD258" s="45"/>
      <c r="BE258" s="45"/>
      <c r="BF258" s="47"/>
      <c r="BG258" s="45"/>
      <c r="BH258" s="45"/>
      <c r="BI258" s="45"/>
      <c r="BJ258" s="46"/>
      <c r="BK258" s="45"/>
      <c r="BL258" s="45"/>
      <c r="BM258" s="45"/>
      <c r="BN258" s="45"/>
      <c r="BO258" s="45"/>
      <c r="BP258" s="45"/>
      <c r="BQ258" s="41"/>
    </row>
    <row r="259" spans="1:69" ht="14.4" x14ac:dyDescent="0.3">
      <c r="A259" s="52" t="s">
        <v>113</v>
      </c>
      <c r="B259" s="58">
        <v>31</v>
      </c>
      <c r="C259" s="41"/>
      <c r="D259" s="41"/>
      <c r="E259" s="46"/>
      <c r="F259" s="41"/>
      <c r="G259" s="59">
        <v>5.35</v>
      </c>
      <c r="H259" s="59">
        <v>0.45</v>
      </c>
      <c r="I259" s="59">
        <v>0.86</v>
      </c>
      <c r="J259" s="43">
        <f t="shared" si="133"/>
        <v>1.6584999999999999</v>
      </c>
      <c r="K259" s="43">
        <f t="shared" si="134"/>
        <v>0.13950000000000001</v>
      </c>
      <c r="L259" s="43">
        <f t="shared" si="135"/>
        <v>0.2666</v>
      </c>
      <c r="M259" s="45"/>
      <c r="N259" s="46"/>
      <c r="O259" s="45"/>
      <c r="P259" s="52"/>
      <c r="Q259" s="52"/>
      <c r="R259" s="45"/>
      <c r="S259" s="45"/>
      <c r="T259" s="46"/>
      <c r="U259" s="46"/>
      <c r="V259" s="45"/>
      <c r="W259" s="52"/>
      <c r="X259" s="52"/>
      <c r="Y259" s="45"/>
      <c r="Z259" s="45"/>
      <c r="AA259" s="46"/>
      <c r="AB259" s="46"/>
      <c r="AC259" s="46"/>
      <c r="AD259" s="46"/>
      <c r="AE259" s="46"/>
      <c r="AF259" s="45"/>
      <c r="AG259" s="45"/>
      <c r="AH259" s="45"/>
      <c r="AI259" s="46"/>
      <c r="AJ259" s="46"/>
      <c r="AK259" s="46"/>
      <c r="AL259" s="45"/>
      <c r="AM259" s="45"/>
      <c r="AN259" s="45"/>
      <c r="AO259" s="46"/>
      <c r="AP259" s="46"/>
      <c r="AQ259" s="46"/>
      <c r="AR259" s="45"/>
      <c r="AS259" s="45"/>
      <c r="AT259" s="45"/>
      <c r="AU259" s="46"/>
      <c r="AV259" s="46"/>
      <c r="AW259" s="46"/>
      <c r="AX259" s="45"/>
      <c r="AY259" s="45"/>
      <c r="AZ259" s="45"/>
      <c r="BA259" s="46"/>
      <c r="BB259" s="46"/>
      <c r="BC259" s="46"/>
      <c r="BD259" s="45"/>
      <c r="BE259" s="45"/>
      <c r="BF259" s="45"/>
      <c r="BG259" s="45"/>
      <c r="BH259" s="45"/>
      <c r="BI259" s="45"/>
      <c r="BJ259" s="45"/>
      <c r="BK259" s="45"/>
      <c r="BL259" s="45"/>
      <c r="BM259" s="45"/>
      <c r="BN259" s="45"/>
      <c r="BO259" s="45"/>
      <c r="BP259" s="45"/>
      <c r="BQ259" s="45"/>
    </row>
    <row r="260" spans="1:69" ht="14.4" x14ac:dyDescent="0.3">
      <c r="A260" s="52" t="s">
        <v>111</v>
      </c>
      <c r="B260" s="58">
        <v>59.3</v>
      </c>
      <c r="C260" s="41"/>
      <c r="D260" s="41"/>
      <c r="E260" s="46"/>
      <c r="F260" s="41"/>
      <c r="G260" s="59">
        <v>3.12</v>
      </c>
      <c r="H260" s="59">
        <v>0.27</v>
      </c>
      <c r="I260" s="59">
        <v>0.31</v>
      </c>
      <c r="J260" s="43">
        <f t="shared" si="133"/>
        <v>1.8501599999999998</v>
      </c>
      <c r="K260" s="43">
        <f t="shared" si="134"/>
        <v>0.16011</v>
      </c>
      <c r="L260" s="43">
        <f t="shared" si="135"/>
        <v>0.18382999999999999</v>
      </c>
      <c r="M260" s="45"/>
      <c r="N260" s="46"/>
      <c r="O260" s="45"/>
      <c r="P260" s="52"/>
      <c r="Q260" s="52"/>
      <c r="R260" s="45"/>
      <c r="S260" s="45"/>
      <c r="T260" s="46"/>
      <c r="U260" s="46"/>
      <c r="V260" s="45"/>
      <c r="W260" s="52"/>
      <c r="X260" s="52"/>
      <c r="Y260" s="45"/>
      <c r="Z260" s="45"/>
      <c r="AA260" s="46"/>
      <c r="AB260" s="46"/>
      <c r="AC260" s="46"/>
      <c r="AD260" s="46"/>
      <c r="AE260" s="46"/>
      <c r="AF260" s="45"/>
      <c r="AG260" s="45"/>
      <c r="AH260" s="45"/>
      <c r="AI260" s="46"/>
      <c r="AJ260" s="46"/>
      <c r="AK260" s="46"/>
      <c r="AL260" s="45"/>
      <c r="AM260" s="45"/>
      <c r="AN260" s="45"/>
      <c r="AO260" s="46"/>
      <c r="AP260" s="46"/>
      <c r="AQ260" s="46"/>
      <c r="AR260" s="45"/>
      <c r="AS260" s="45"/>
      <c r="AT260" s="45"/>
      <c r="AU260" s="46"/>
      <c r="AV260" s="46"/>
      <c r="AW260" s="46"/>
      <c r="AX260" s="45"/>
      <c r="AY260" s="45"/>
      <c r="AZ260" s="45"/>
      <c r="BA260" s="46"/>
      <c r="BB260" s="46"/>
      <c r="BC260" s="46"/>
      <c r="BD260" s="45"/>
      <c r="BE260" s="45"/>
      <c r="BF260" s="45"/>
      <c r="BG260" s="45"/>
      <c r="BH260" s="45"/>
      <c r="BI260" s="45"/>
      <c r="BJ260" s="45"/>
      <c r="BK260" s="45"/>
      <c r="BL260" s="45"/>
      <c r="BM260" s="45"/>
      <c r="BN260" s="45"/>
      <c r="BO260" s="45"/>
      <c r="BP260" s="45"/>
      <c r="BQ260" s="45"/>
    </row>
    <row r="261" spans="1:69" ht="14.4" x14ac:dyDescent="0.3">
      <c r="A261" s="52"/>
      <c r="B261" s="52"/>
      <c r="C261" s="41"/>
      <c r="D261" s="41"/>
      <c r="E261" s="46"/>
      <c r="F261" s="41"/>
      <c r="G261" s="59"/>
      <c r="H261" s="59"/>
      <c r="I261" s="59"/>
      <c r="J261" s="43"/>
      <c r="K261" s="43"/>
      <c r="L261" s="43"/>
      <c r="M261" s="52"/>
      <c r="N261" s="52"/>
      <c r="O261" s="45"/>
      <c r="P261" s="45"/>
      <c r="Q261" s="48"/>
      <c r="R261" s="45"/>
      <c r="S261" s="45"/>
      <c r="T261" s="52"/>
      <c r="U261" s="52"/>
      <c r="V261" s="45"/>
      <c r="W261" s="45"/>
      <c r="X261" s="48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</row>
    <row r="262" spans="1:69" ht="14.4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  <c r="BL262" s="45"/>
      <c r="BM262" s="45"/>
      <c r="BN262" s="45"/>
      <c r="BO262" s="45"/>
      <c r="BP262" s="45"/>
      <c r="BQ262" s="45"/>
    </row>
    <row r="263" spans="1:69" ht="14.4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  <c r="BL263" s="45"/>
      <c r="BM263" s="45"/>
      <c r="BN263" s="45"/>
      <c r="BO263" s="45"/>
      <c r="BP263" s="45"/>
      <c r="BQ263" s="45"/>
    </row>
    <row r="264" spans="1:69" x14ac:dyDescent="0.3">
      <c r="A264" s="60" t="s">
        <v>153</v>
      </c>
      <c r="B264" s="60"/>
      <c r="C264" s="60"/>
      <c r="D264" s="60"/>
      <c r="E264" s="60"/>
      <c r="F264" s="61"/>
      <c r="G264" s="60"/>
      <c r="H264" s="60"/>
      <c r="I264" s="60"/>
      <c r="J264" s="60"/>
      <c r="K264" s="60"/>
      <c r="L264" s="60"/>
      <c r="M264" s="60"/>
      <c r="N264" s="4"/>
      <c r="O264" s="4"/>
      <c r="P264" s="4"/>
      <c r="Q264" s="62"/>
      <c r="R264" s="62"/>
      <c r="S264" s="62"/>
      <c r="T264" s="62"/>
      <c r="U264" s="62"/>
      <c r="V264" s="63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3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3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</row>
    <row r="265" spans="1:69" x14ac:dyDescent="0.3">
      <c r="A265" s="60" t="s">
        <v>3</v>
      </c>
      <c r="B265" s="60"/>
      <c r="C265" s="60"/>
      <c r="D265" s="60"/>
      <c r="E265" s="60"/>
      <c r="F265" s="61"/>
      <c r="G265" s="60"/>
      <c r="H265" s="60"/>
      <c r="I265" s="60"/>
      <c r="J265" s="60"/>
      <c r="K265" s="60"/>
      <c r="L265" s="60"/>
      <c r="M265" s="60"/>
      <c r="N265" s="4"/>
      <c r="O265" s="4"/>
      <c r="P265" s="4"/>
      <c r="Q265" s="60" t="s">
        <v>4</v>
      </c>
      <c r="R265" s="60"/>
      <c r="S265" s="60"/>
      <c r="T265" s="60"/>
      <c r="U265" s="60"/>
      <c r="V265" s="61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 t="s">
        <v>5</v>
      </c>
      <c r="AH265" s="60"/>
      <c r="AI265" s="60"/>
      <c r="AJ265" s="60"/>
      <c r="AK265" s="60"/>
      <c r="AL265" s="61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 t="s">
        <v>6</v>
      </c>
      <c r="AY265" s="60"/>
      <c r="AZ265" s="60"/>
      <c r="BA265" s="60"/>
      <c r="BB265" s="60"/>
      <c r="BC265" s="61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</row>
    <row r="266" spans="1:69" ht="41.4" x14ac:dyDescent="0.3">
      <c r="A266" s="60"/>
      <c r="B266" s="60" t="s">
        <v>134</v>
      </c>
      <c r="C266" s="60" t="s">
        <v>135</v>
      </c>
      <c r="D266" s="60" t="s">
        <v>136</v>
      </c>
      <c r="E266" s="60" t="s">
        <v>137</v>
      </c>
      <c r="F266" s="64" t="s">
        <v>138</v>
      </c>
      <c r="G266" s="60" t="s">
        <v>154</v>
      </c>
      <c r="H266" s="60" t="s">
        <v>155</v>
      </c>
      <c r="I266" s="60" t="s">
        <v>156</v>
      </c>
      <c r="J266" s="60" t="s">
        <v>157</v>
      </c>
      <c r="K266" s="60" t="s">
        <v>158</v>
      </c>
      <c r="L266" s="60" t="s">
        <v>159</v>
      </c>
      <c r="M266" s="65" t="s">
        <v>160</v>
      </c>
      <c r="N266" s="66" t="s">
        <v>161</v>
      </c>
      <c r="O266" s="66" t="s">
        <v>162</v>
      </c>
      <c r="P266" s="66" t="s">
        <v>163</v>
      </c>
      <c r="Q266" s="60"/>
      <c r="R266" s="60" t="s">
        <v>134</v>
      </c>
      <c r="S266" s="60" t="s">
        <v>135</v>
      </c>
      <c r="T266" s="60" t="s">
        <v>136</v>
      </c>
      <c r="U266" s="60" t="s">
        <v>137</v>
      </c>
      <c r="V266" s="64" t="s">
        <v>138</v>
      </c>
      <c r="W266" s="60" t="s">
        <v>154</v>
      </c>
      <c r="X266" s="60" t="s">
        <v>155</v>
      </c>
      <c r="Y266" s="60" t="s">
        <v>156</v>
      </c>
      <c r="Z266" s="60" t="s">
        <v>157</v>
      </c>
      <c r="AA266" s="60" t="s">
        <v>158</v>
      </c>
      <c r="AB266" s="60" t="s">
        <v>159</v>
      </c>
      <c r="AC266" s="65" t="s">
        <v>160</v>
      </c>
      <c r="AD266" s="66" t="s">
        <v>162</v>
      </c>
      <c r="AE266" s="66" t="s">
        <v>164</v>
      </c>
      <c r="AF266" s="66" t="s">
        <v>163</v>
      </c>
      <c r="AG266" s="60"/>
      <c r="AH266" s="60" t="s">
        <v>134</v>
      </c>
      <c r="AI266" s="60" t="s">
        <v>135</v>
      </c>
      <c r="AJ266" s="60" t="s">
        <v>136</v>
      </c>
      <c r="AK266" s="60" t="s">
        <v>137</v>
      </c>
      <c r="AL266" s="64" t="s">
        <v>138</v>
      </c>
      <c r="AM266" s="60" t="s">
        <v>154</v>
      </c>
      <c r="AN266" s="60" t="s">
        <v>155</v>
      </c>
      <c r="AO266" s="60" t="s">
        <v>156</v>
      </c>
      <c r="AP266" s="60" t="s">
        <v>157</v>
      </c>
      <c r="AQ266" s="60" t="s">
        <v>158</v>
      </c>
      <c r="AR266" s="60" t="s">
        <v>165</v>
      </c>
      <c r="AS266" s="60" t="s">
        <v>159</v>
      </c>
      <c r="AT266" s="65" t="s">
        <v>160</v>
      </c>
      <c r="AU266" s="66" t="s">
        <v>161</v>
      </c>
      <c r="AV266" s="66" t="s">
        <v>162</v>
      </c>
      <c r="AW266" s="66" t="s">
        <v>163</v>
      </c>
      <c r="AX266" s="60"/>
      <c r="AY266" s="60" t="s">
        <v>134</v>
      </c>
      <c r="AZ266" s="60" t="s">
        <v>135</v>
      </c>
      <c r="BA266" s="60" t="s">
        <v>136</v>
      </c>
      <c r="BB266" s="60" t="s">
        <v>137</v>
      </c>
      <c r="BC266" s="64" t="s">
        <v>138</v>
      </c>
      <c r="BD266" s="60" t="s">
        <v>154</v>
      </c>
      <c r="BE266" s="60" t="s">
        <v>155</v>
      </c>
      <c r="BF266" s="60" t="s">
        <v>156</v>
      </c>
      <c r="BG266" s="60" t="s">
        <v>157</v>
      </c>
      <c r="BH266" s="60" t="s">
        <v>158</v>
      </c>
      <c r="BI266" s="60" t="s">
        <v>165</v>
      </c>
      <c r="BJ266" s="60" t="s">
        <v>159</v>
      </c>
      <c r="BK266" s="65" t="s">
        <v>160</v>
      </c>
      <c r="BL266" s="66" t="s">
        <v>161</v>
      </c>
      <c r="BM266" s="66" t="s">
        <v>162</v>
      </c>
      <c r="BN266" s="66" t="s">
        <v>163</v>
      </c>
    </row>
    <row r="267" spans="1:69" x14ac:dyDescent="0.3">
      <c r="A267" s="7" t="s">
        <v>32</v>
      </c>
      <c r="B267" s="7">
        <v>3.33</v>
      </c>
      <c r="C267" s="8"/>
      <c r="D267" s="8"/>
      <c r="E267" s="8"/>
      <c r="F267" s="13"/>
      <c r="G267" s="8"/>
      <c r="H267" s="8"/>
      <c r="I267" s="8">
        <v>5.63</v>
      </c>
      <c r="J267" s="8"/>
      <c r="K267" s="8">
        <v>0.23</v>
      </c>
      <c r="L267" s="8">
        <f>K267/I267</f>
        <v>4.0852575488454709E-2</v>
      </c>
      <c r="M267" s="8"/>
      <c r="N267" s="67">
        <f>I267*B267/100</f>
        <v>0.18747900000000001</v>
      </c>
      <c r="O267" s="67">
        <f>K267*B267/100</f>
        <v>7.659E-3</v>
      </c>
      <c r="P267" s="67">
        <f>L267*B267/100</f>
        <v>1.3603907637655419E-3</v>
      </c>
      <c r="Q267" s="7" t="s">
        <v>32</v>
      </c>
      <c r="R267" s="7">
        <v>1.84</v>
      </c>
      <c r="S267" s="8"/>
      <c r="T267" s="8"/>
      <c r="U267" s="8"/>
      <c r="V267" s="13"/>
      <c r="W267" s="8"/>
      <c r="X267" s="8">
        <v>12.9</v>
      </c>
      <c r="Y267" s="8">
        <v>24.1</v>
      </c>
      <c r="Z267" s="8"/>
      <c r="AA267" s="8"/>
      <c r="AB267" s="8">
        <f>X267/Y267</f>
        <v>0.53526970954356845</v>
      </c>
      <c r="AC267" s="8"/>
      <c r="AD267" s="67">
        <f>X267*R267/100</f>
        <v>0.23736000000000002</v>
      </c>
      <c r="AE267" s="67">
        <f>Y267*R267/100</f>
        <v>0.44344</v>
      </c>
      <c r="AF267" s="67">
        <f>AB267*R267/100</f>
        <v>9.8489626556016591E-3</v>
      </c>
      <c r="AG267" s="7" t="s">
        <v>32</v>
      </c>
      <c r="AH267" s="7">
        <v>3.55</v>
      </c>
      <c r="AI267" s="8"/>
      <c r="AJ267" s="8"/>
      <c r="AK267" s="8"/>
      <c r="AL267" s="13"/>
      <c r="AM267" s="8"/>
      <c r="AN267" s="8">
        <v>1</v>
      </c>
      <c r="AO267" s="8">
        <v>12.2</v>
      </c>
      <c r="AP267" s="8"/>
      <c r="AQ267" s="8"/>
      <c r="AR267" s="8"/>
      <c r="AS267" s="8">
        <f>AN267/AO267</f>
        <v>8.1967213114754106E-2</v>
      </c>
      <c r="AT267" s="8"/>
      <c r="AU267" s="67">
        <f>AH267*AO267/100</f>
        <v>0.43309999999999993</v>
      </c>
      <c r="AV267" s="67">
        <f>AN267*AH267/100</f>
        <v>3.5499999999999997E-2</v>
      </c>
      <c r="AW267" s="67">
        <f>AS267*AH267/100</f>
        <v>2.9098360655737702E-3</v>
      </c>
      <c r="AX267" s="7" t="s">
        <v>32</v>
      </c>
      <c r="AY267" s="7">
        <v>3.26</v>
      </c>
      <c r="AZ267" s="8"/>
      <c r="BA267" s="8"/>
      <c r="BB267" s="8"/>
      <c r="BC267" s="13"/>
      <c r="BD267" s="8"/>
      <c r="BE267" s="8">
        <v>0.32</v>
      </c>
      <c r="BF267" s="8">
        <v>11.9</v>
      </c>
      <c r="BG267" s="8"/>
      <c r="BH267" s="8"/>
      <c r="BI267" s="8"/>
      <c r="BJ267" s="8">
        <f>BE267/BF267</f>
        <v>2.6890756302521007E-2</v>
      </c>
      <c r="BK267" s="8"/>
      <c r="BL267" s="67">
        <f>BF267*AY267/100</f>
        <v>0.38793999999999995</v>
      </c>
      <c r="BM267" s="67">
        <f>BE267*AY267/100</f>
        <v>1.0431999999999999E-2</v>
      </c>
      <c r="BN267" s="67">
        <f>BJ267*AY267/100</f>
        <v>8.7663865546218486E-4</v>
      </c>
    </row>
    <row r="268" spans="1:69" x14ac:dyDescent="0.3">
      <c r="A268" s="7" t="s">
        <v>14</v>
      </c>
      <c r="B268" s="7">
        <v>4.54</v>
      </c>
      <c r="C268" s="8"/>
      <c r="D268" s="8"/>
      <c r="E268" s="8"/>
      <c r="F268" s="13"/>
      <c r="G268" s="8"/>
      <c r="H268" s="8"/>
      <c r="I268" s="8">
        <v>38.6</v>
      </c>
      <c r="J268" s="8"/>
      <c r="K268" s="8">
        <v>0.44</v>
      </c>
      <c r="L268" s="8">
        <f t="shared" ref="L268:L291" si="136">K268/I268</f>
        <v>1.1398963730569948E-2</v>
      </c>
      <c r="M268" s="8"/>
      <c r="N268" s="67">
        <f t="shared" ref="N268:N291" si="137">I268*B268/100</f>
        <v>1.75244</v>
      </c>
      <c r="O268" s="67">
        <f t="shared" ref="O268:O291" si="138">K268*B268/100</f>
        <v>1.9976000000000001E-2</v>
      </c>
      <c r="P268" s="67">
        <f t="shared" ref="P268:P291" si="139">L268*B268/100</f>
        <v>5.1751295336787567E-4</v>
      </c>
      <c r="Q268" s="7" t="s">
        <v>14</v>
      </c>
      <c r="R268" s="7">
        <v>4.71</v>
      </c>
      <c r="S268" s="8"/>
      <c r="T268" s="8"/>
      <c r="U268" s="8"/>
      <c r="V268" s="13"/>
      <c r="W268" s="8"/>
      <c r="X268" s="8">
        <v>1.91</v>
      </c>
      <c r="Y268" s="8">
        <v>42.8</v>
      </c>
      <c r="Z268" s="8"/>
      <c r="AA268" s="8"/>
      <c r="AB268" s="8">
        <f t="shared" ref="AB268:AB272" si="140">X268/Y268</f>
        <v>4.4626168224299066E-2</v>
      </c>
      <c r="AC268" s="8"/>
      <c r="AD268" s="67">
        <f t="shared" ref="AD268:AD272" si="141">X268*R268/100</f>
        <v>8.9960999999999999E-2</v>
      </c>
      <c r="AE268" s="67">
        <f t="shared" ref="AE268:AE272" si="142">Y268*R268/100</f>
        <v>2.0158800000000001</v>
      </c>
      <c r="AF268" s="67">
        <f t="shared" ref="AF268:AF272" si="143">AB268*R268/100</f>
        <v>2.101892523364486E-3</v>
      </c>
      <c r="AG268" s="7" t="s">
        <v>14</v>
      </c>
      <c r="AH268" s="7">
        <v>3.55</v>
      </c>
      <c r="AI268" s="8"/>
      <c r="AJ268" s="8"/>
      <c r="AK268" s="8"/>
      <c r="AL268" s="13"/>
      <c r="AM268" s="8"/>
      <c r="AN268" s="8">
        <v>1.4</v>
      </c>
      <c r="AO268" s="8">
        <v>46.4</v>
      </c>
      <c r="AP268" s="8"/>
      <c r="AQ268" s="8"/>
      <c r="AR268" s="8"/>
      <c r="AS268" s="8">
        <f t="shared" ref="AS268:AS291" si="144">AN268/AO268</f>
        <v>3.0172413793103446E-2</v>
      </c>
      <c r="AT268" s="8"/>
      <c r="AU268" s="67">
        <f t="shared" ref="AU268:AU291" si="145">AH268*AO268/100</f>
        <v>1.6472</v>
      </c>
      <c r="AV268" s="67">
        <f t="shared" ref="AV268:AV291" si="146">AN268*AH268/100</f>
        <v>4.9699999999999994E-2</v>
      </c>
      <c r="AW268" s="67">
        <f t="shared" ref="AW268:AW291" si="147">AS268*AH268/100</f>
        <v>1.0711206896551722E-3</v>
      </c>
      <c r="AX268" s="7" t="s">
        <v>14</v>
      </c>
      <c r="AY268" s="7">
        <v>4.74</v>
      </c>
      <c r="AZ268" s="8"/>
      <c r="BA268" s="8"/>
      <c r="BB268" s="8"/>
      <c r="BC268" s="13"/>
      <c r="BD268" s="8"/>
      <c r="BE268" s="8">
        <v>1.42</v>
      </c>
      <c r="BF268" s="8">
        <v>44</v>
      </c>
      <c r="BG268" s="8"/>
      <c r="BH268" s="8"/>
      <c r="BI268" s="8"/>
      <c r="BJ268" s="8">
        <f t="shared" ref="BJ268:BJ271" si="148">BE268/BF268</f>
        <v>3.2272727272727272E-2</v>
      </c>
      <c r="BK268" s="8"/>
      <c r="BL268" s="67">
        <f t="shared" ref="BL268:BL271" si="149">BF268*AY268/100</f>
        <v>2.0855999999999999</v>
      </c>
      <c r="BM268" s="67">
        <f t="shared" ref="BM268:BM271" si="150">BE268*AY268/100</f>
        <v>6.7308000000000007E-2</v>
      </c>
      <c r="BN268" s="67">
        <f t="shared" ref="BN268:BN271" si="151">BJ268*AY268/100</f>
        <v>1.5297272727272729E-3</v>
      </c>
    </row>
    <row r="269" spans="1:69" x14ac:dyDescent="0.3">
      <c r="A269" s="7" t="s">
        <v>17</v>
      </c>
      <c r="B269" s="7">
        <v>4.0599999999999996</v>
      </c>
      <c r="C269" s="8"/>
      <c r="D269" s="8"/>
      <c r="E269" s="8"/>
      <c r="F269" s="13"/>
      <c r="G269" s="8"/>
      <c r="H269" s="8"/>
      <c r="I269" s="8">
        <v>28.9</v>
      </c>
      <c r="J269" s="8"/>
      <c r="K269" s="8">
        <v>2.0099999999999998</v>
      </c>
      <c r="L269" s="8">
        <f t="shared" si="136"/>
        <v>6.955017301038062E-2</v>
      </c>
      <c r="M269" s="8"/>
      <c r="N269" s="67">
        <f t="shared" si="137"/>
        <v>1.1733399999999998</v>
      </c>
      <c r="O269" s="67">
        <f t="shared" si="138"/>
        <v>8.1605999999999984E-2</v>
      </c>
      <c r="P269" s="67">
        <f t="shared" si="139"/>
        <v>2.8237370242214527E-3</v>
      </c>
      <c r="Q269" s="7" t="s">
        <v>17</v>
      </c>
      <c r="R269" s="7">
        <v>7.73</v>
      </c>
      <c r="S269" s="8"/>
      <c r="T269" s="8"/>
      <c r="U269" s="8"/>
      <c r="V269" s="13"/>
      <c r="W269" s="8"/>
      <c r="X269" s="8">
        <v>1.86</v>
      </c>
      <c r="Y269" s="8">
        <v>43.4</v>
      </c>
      <c r="Z269" s="8"/>
      <c r="AA269" s="8"/>
      <c r="AB269" s="8">
        <f t="shared" si="140"/>
        <v>4.2857142857142858E-2</v>
      </c>
      <c r="AC269" s="8"/>
      <c r="AD269" s="67">
        <f t="shared" si="141"/>
        <v>0.14377800000000002</v>
      </c>
      <c r="AE269" s="67">
        <f t="shared" si="142"/>
        <v>3.3548200000000001</v>
      </c>
      <c r="AF269" s="67">
        <f t="shared" si="143"/>
        <v>3.312857142857143E-3</v>
      </c>
      <c r="AG269" s="7" t="s">
        <v>17</v>
      </c>
      <c r="AH269" s="7">
        <v>3.83</v>
      </c>
      <c r="AI269" s="8"/>
      <c r="AJ269" s="8"/>
      <c r="AK269" s="8"/>
      <c r="AL269" s="13"/>
      <c r="AM269" s="8"/>
      <c r="AN269" s="8">
        <v>2.2799999999999998</v>
      </c>
      <c r="AO269" s="8">
        <v>22.4</v>
      </c>
      <c r="AP269" s="8"/>
      <c r="AQ269" s="8"/>
      <c r="AR269" s="8"/>
      <c r="AS269" s="8">
        <f t="shared" si="144"/>
        <v>0.10178571428571428</v>
      </c>
      <c r="AT269" s="8"/>
      <c r="AU269" s="67">
        <f t="shared" si="145"/>
        <v>0.85792000000000002</v>
      </c>
      <c r="AV269" s="67">
        <f t="shared" si="146"/>
        <v>8.7323999999999999E-2</v>
      </c>
      <c r="AW269" s="67">
        <f t="shared" si="147"/>
        <v>3.8983928571428572E-3</v>
      </c>
      <c r="AX269" s="7" t="s">
        <v>17</v>
      </c>
      <c r="AY269" s="7">
        <v>8.15</v>
      </c>
      <c r="AZ269" s="8"/>
      <c r="BA269" s="8"/>
      <c r="BB269" s="8"/>
      <c r="BC269" s="13"/>
      <c r="BD269" s="8"/>
      <c r="BE269" s="8">
        <v>1.2</v>
      </c>
      <c r="BF269" s="8">
        <v>29.6</v>
      </c>
      <c r="BG269" s="8"/>
      <c r="BH269" s="8"/>
      <c r="BI269" s="8"/>
      <c r="BJ269" s="8">
        <f t="shared" si="148"/>
        <v>4.0540540540540536E-2</v>
      </c>
      <c r="BK269" s="8"/>
      <c r="BL269" s="67">
        <f t="shared" si="149"/>
        <v>2.4123999999999999</v>
      </c>
      <c r="BM269" s="67">
        <f t="shared" si="150"/>
        <v>9.7799999999999998E-2</v>
      </c>
      <c r="BN269" s="67">
        <f t="shared" si="151"/>
        <v>3.3040540540540536E-3</v>
      </c>
    </row>
    <row r="270" spans="1:69" x14ac:dyDescent="0.3">
      <c r="A270" s="7" t="s">
        <v>18</v>
      </c>
      <c r="B270" s="7">
        <v>3.99</v>
      </c>
      <c r="C270" s="8"/>
      <c r="D270" s="8"/>
      <c r="E270" s="8"/>
      <c r="F270" s="13"/>
      <c r="G270" s="8"/>
      <c r="H270" s="8"/>
      <c r="I270" s="8">
        <v>36.700000000000003</v>
      </c>
      <c r="J270" s="8"/>
      <c r="K270" s="8">
        <v>2.67</v>
      </c>
      <c r="L270" s="8">
        <f t="shared" si="136"/>
        <v>7.2752043596730237E-2</v>
      </c>
      <c r="M270" s="8"/>
      <c r="N270" s="67">
        <f t="shared" si="137"/>
        <v>1.4643300000000001</v>
      </c>
      <c r="O270" s="67">
        <f t="shared" si="138"/>
        <v>0.106533</v>
      </c>
      <c r="P270" s="67">
        <f t="shared" si="139"/>
        <v>2.9028065395095364E-3</v>
      </c>
      <c r="Q270" s="7" t="s">
        <v>18</v>
      </c>
      <c r="R270" s="7">
        <v>7.93</v>
      </c>
      <c r="S270" s="8"/>
      <c r="T270" s="8"/>
      <c r="U270" s="8"/>
      <c r="V270" s="13"/>
      <c r="W270" s="8"/>
      <c r="X270" s="8">
        <v>0.78</v>
      </c>
      <c r="Y270" s="8">
        <v>31.9</v>
      </c>
      <c r="Z270" s="8"/>
      <c r="AA270" s="8"/>
      <c r="AB270" s="8">
        <f t="shared" si="140"/>
        <v>2.4451410658307211E-2</v>
      </c>
      <c r="AC270" s="8"/>
      <c r="AD270" s="67">
        <f t="shared" si="141"/>
        <v>6.1853999999999992E-2</v>
      </c>
      <c r="AE270" s="67">
        <f t="shared" si="142"/>
        <v>2.5296699999999999</v>
      </c>
      <c r="AF270" s="67">
        <f t="shared" si="143"/>
        <v>1.9389968652037618E-3</v>
      </c>
      <c r="AG270" s="7" t="s">
        <v>18</v>
      </c>
      <c r="AH270" s="7">
        <v>5.77</v>
      </c>
      <c r="AI270" s="8"/>
      <c r="AJ270" s="8"/>
      <c r="AK270" s="8"/>
      <c r="AL270" s="13"/>
      <c r="AM270" s="8"/>
      <c r="AN270" s="8">
        <v>3.97</v>
      </c>
      <c r="AO270" s="8">
        <v>28.3</v>
      </c>
      <c r="AP270" s="8"/>
      <c r="AQ270" s="8"/>
      <c r="AR270" s="8"/>
      <c r="AS270" s="8">
        <f t="shared" si="144"/>
        <v>0.1402826855123675</v>
      </c>
      <c r="AT270" s="8"/>
      <c r="AU270" s="67">
        <f t="shared" si="145"/>
        <v>1.6329099999999999</v>
      </c>
      <c r="AV270" s="67">
        <f t="shared" si="146"/>
        <v>0.22906899999999999</v>
      </c>
      <c r="AW270" s="67">
        <f t="shared" si="147"/>
        <v>8.0943109540636046E-3</v>
      </c>
      <c r="AX270" s="7" t="s">
        <v>18</v>
      </c>
      <c r="AY270" s="7">
        <v>2.64</v>
      </c>
      <c r="AZ270" s="8"/>
      <c r="BA270" s="8"/>
      <c r="BB270" s="8"/>
      <c r="BC270" s="13"/>
      <c r="BD270" s="8"/>
      <c r="BE270" s="8">
        <v>3.21</v>
      </c>
      <c r="BF270" s="8">
        <v>25.4</v>
      </c>
      <c r="BG270" s="8"/>
      <c r="BH270" s="8"/>
      <c r="BI270" s="8"/>
      <c r="BJ270" s="8">
        <f t="shared" si="148"/>
        <v>0.12637795275590552</v>
      </c>
      <c r="BK270" s="8"/>
      <c r="BL270" s="67">
        <f t="shared" si="149"/>
        <v>0.67055999999999993</v>
      </c>
      <c r="BM270" s="67">
        <f t="shared" si="150"/>
        <v>8.4744000000000014E-2</v>
      </c>
      <c r="BN270" s="67">
        <f t="shared" si="151"/>
        <v>3.3363779527559056E-3</v>
      </c>
    </row>
    <row r="271" spans="1:69" x14ac:dyDescent="0.3">
      <c r="A271" s="7" t="s">
        <v>21</v>
      </c>
      <c r="B271" s="7">
        <v>4.22</v>
      </c>
      <c r="C271" s="8"/>
      <c r="D271" s="8"/>
      <c r="E271" s="8"/>
      <c r="F271" s="13"/>
      <c r="G271" s="8"/>
      <c r="H271" s="8"/>
      <c r="I271" s="8">
        <v>15.8</v>
      </c>
      <c r="J271" s="8"/>
      <c r="K271" s="8">
        <v>0.6</v>
      </c>
      <c r="L271" s="8">
        <f t="shared" si="136"/>
        <v>3.7974683544303792E-2</v>
      </c>
      <c r="M271" s="8"/>
      <c r="N271" s="67">
        <f t="shared" si="137"/>
        <v>0.66676000000000002</v>
      </c>
      <c r="O271" s="67">
        <f t="shared" si="138"/>
        <v>2.5319999999999995E-2</v>
      </c>
      <c r="P271" s="67">
        <f t="shared" si="139"/>
        <v>1.6025316455696198E-3</v>
      </c>
      <c r="Q271" s="7" t="s">
        <v>21</v>
      </c>
      <c r="R271" s="7">
        <v>3.29</v>
      </c>
      <c r="S271" s="8"/>
      <c r="T271" s="8"/>
      <c r="U271" s="8"/>
      <c r="V271" s="13"/>
      <c r="W271" s="8"/>
      <c r="X271" s="8">
        <v>1.56</v>
      </c>
      <c r="Y271" s="8">
        <v>51.6</v>
      </c>
      <c r="Z271" s="8"/>
      <c r="AA271" s="8"/>
      <c r="AB271" s="8">
        <f t="shared" si="140"/>
        <v>3.0232558139534883E-2</v>
      </c>
      <c r="AC271" s="8"/>
      <c r="AD271" s="67">
        <f t="shared" si="141"/>
        <v>5.1324000000000009E-2</v>
      </c>
      <c r="AE271" s="67">
        <f t="shared" si="142"/>
        <v>1.69764</v>
      </c>
      <c r="AF271" s="67">
        <f t="shared" si="143"/>
        <v>9.9465116279069763E-4</v>
      </c>
      <c r="AG271" s="7" t="s">
        <v>21</v>
      </c>
      <c r="AH271" s="7">
        <v>3.11</v>
      </c>
      <c r="AI271" s="8"/>
      <c r="AJ271" s="8"/>
      <c r="AK271" s="8"/>
      <c r="AL271" s="13"/>
      <c r="AM271" s="8"/>
      <c r="AN271" s="8">
        <v>0.64</v>
      </c>
      <c r="AO271" s="8">
        <v>22.6</v>
      </c>
      <c r="AP271" s="8"/>
      <c r="AQ271" s="8"/>
      <c r="AR271" s="8"/>
      <c r="AS271" s="8">
        <f t="shared" si="144"/>
        <v>2.831858407079646E-2</v>
      </c>
      <c r="AT271" s="8"/>
      <c r="AU271" s="67">
        <f t="shared" si="145"/>
        <v>0.70286000000000004</v>
      </c>
      <c r="AV271" s="67">
        <f t="shared" si="146"/>
        <v>1.9903999999999998E-2</v>
      </c>
      <c r="AW271" s="67">
        <f t="shared" si="147"/>
        <v>8.8070796460176987E-4</v>
      </c>
      <c r="AX271" s="7" t="s">
        <v>21</v>
      </c>
      <c r="AY271" s="7">
        <v>3.17</v>
      </c>
      <c r="AZ271" s="8"/>
      <c r="BA271" s="8"/>
      <c r="BB271" s="8"/>
      <c r="BC271" s="13"/>
      <c r="BD271" s="8"/>
      <c r="BE271" s="8">
        <v>0.53</v>
      </c>
      <c r="BF271" s="8">
        <v>29.9</v>
      </c>
      <c r="BG271" s="8"/>
      <c r="BH271" s="8"/>
      <c r="BI271" s="8"/>
      <c r="BJ271" s="8">
        <f t="shared" si="148"/>
        <v>1.7725752508361205E-2</v>
      </c>
      <c r="BK271" s="8"/>
      <c r="BL271" s="67">
        <f t="shared" si="149"/>
        <v>0.94782999999999984</v>
      </c>
      <c r="BM271" s="67">
        <f t="shared" si="150"/>
        <v>1.6801E-2</v>
      </c>
      <c r="BN271" s="67">
        <f t="shared" si="151"/>
        <v>5.6190635451505017E-4</v>
      </c>
    </row>
    <row r="272" spans="1:69" x14ac:dyDescent="0.3">
      <c r="A272" s="7" t="s">
        <v>22</v>
      </c>
      <c r="B272" s="7">
        <v>3.1</v>
      </c>
      <c r="C272" s="8"/>
      <c r="D272" s="8"/>
      <c r="E272" s="8"/>
      <c r="F272" s="13"/>
      <c r="G272" s="8"/>
      <c r="H272" s="8"/>
      <c r="I272" s="8">
        <v>15.6</v>
      </c>
      <c r="J272" s="8"/>
      <c r="K272" s="8">
        <v>2.9</v>
      </c>
      <c r="L272" s="8">
        <f t="shared" si="136"/>
        <v>0.1858974358974359</v>
      </c>
      <c r="M272" s="8"/>
      <c r="N272" s="67">
        <f t="shared" si="137"/>
        <v>0.48359999999999997</v>
      </c>
      <c r="O272" s="67">
        <f t="shared" si="138"/>
        <v>8.9900000000000008E-2</v>
      </c>
      <c r="P272" s="67">
        <f t="shared" si="139"/>
        <v>5.7628205128205136E-3</v>
      </c>
      <c r="Q272" s="7" t="s">
        <v>22</v>
      </c>
      <c r="R272" s="7">
        <v>1.77</v>
      </c>
      <c r="S272" s="8"/>
      <c r="T272" s="8"/>
      <c r="U272" s="8"/>
      <c r="V272" s="13"/>
      <c r="W272" s="8"/>
      <c r="X272" s="8">
        <v>2.25</v>
      </c>
      <c r="Y272" s="8">
        <v>27.7</v>
      </c>
      <c r="Z272" s="8"/>
      <c r="AA272" s="8"/>
      <c r="AB272" s="8">
        <f t="shared" si="140"/>
        <v>8.1227436823104696E-2</v>
      </c>
      <c r="AC272" s="8"/>
      <c r="AD272" s="67">
        <f t="shared" si="141"/>
        <v>3.9824999999999999E-2</v>
      </c>
      <c r="AE272" s="67">
        <f t="shared" si="142"/>
        <v>0.49028999999999995</v>
      </c>
      <c r="AF272" s="67">
        <f t="shared" si="143"/>
        <v>1.4377256317689533E-3</v>
      </c>
      <c r="AG272" s="7" t="s">
        <v>22</v>
      </c>
      <c r="AH272" s="7">
        <v>2.1</v>
      </c>
      <c r="AI272" s="8"/>
      <c r="AJ272" s="8"/>
      <c r="AK272" s="8"/>
      <c r="AL272" s="13"/>
      <c r="AM272" s="8"/>
      <c r="AN272" s="8">
        <v>1.0900000000000001</v>
      </c>
      <c r="AO272" s="8">
        <v>20.100000000000001</v>
      </c>
      <c r="AP272" s="8"/>
      <c r="AQ272" s="8"/>
      <c r="AR272" s="8"/>
      <c r="AS272" s="8">
        <f t="shared" si="144"/>
        <v>5.4228855721393035E-2</v>
      </c>
      <c r="AT272" s="8"/>
      <c r="AU272" s="67">
        <f t="shared" si="145"/>
        <v>0.42210000000000009</v>
      </c>
      <c r="AV272" s="67">
        <f t="shared" si="146"/>
        <v>2.2890000000000001E-2</v>
      </c>
      <c r="AW272" s="67">
        <f t="shared" si="147"/>
        <v>1.1388059701492538E-3</v>
      </c>
      <c r="AX272" s="7" t="s">
        <v>22</v>
      </c>
      <c r="AY272" s="68"/>
      <c r="AZ272" s="60"/>
      <c r="BA272" s="60"/>
      <c r="BB272" s="60"/>
      <c r="BC272" s="61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</row>
    <row r="273" spans="1:66" ht="27.6" x14ac:dyDescent="0.3">
      <c r="A273" s="7" t="s">
        <v>29</v>
      </c>
      <c r="B273" s="7">
        <v>2.31</v>
      </c>
      <c r="C273" s="8"/>
      <c r="D273" s="8"/>
      <c r="E273" s="8"/>
      <c r="F273" s="13"/>
      <c r="G273" s="8"/>
      <c r="H273" s="8"/>
      <c r="I273" s="8">
        <v>32</v>
      </c>
      <c r="J273" s="8"/>
      <c r="K273" s="8">
        <v>16.899999999999999</v>
      </c>
      <c r="L273" s="8">
        <f t="shared" si="136"/>
        <v>0.52812499999999996</v>
      </c>
      <c r="M273" s="8"/>
      <c r="N273" s="67">
        <f t="shared" si="137"/>
        <v>0.73919999999999997</v>
      </c>
      <c r="O273" s="67">
        <f t="shared" si="138"/>
        <v>0.39038999999999996</v>
      </c>
      <c r="P273" s="67">
        <f t="shared" si="139"/>
        <v>1.2199687499999999E-2</v>
      </c>
      <c r="Q273" s="7" t="s">
        <v>29</v>
      </c>
      <c r="R273" s="68"/>
      <c r="S273" s="60"/>
      <c r="T273" s="60"/>
      <c r="U273" s="60"/>
      <c r="V273" s="61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7" t="s">
        <v>29</v>
      </c>
      <c r="AH273" s="7">
        <v>3.18</v>
      </c>
      <c r="AI273" s="8"/>
      <c r="AJ273" s="8"/>
      <c r="AK273" s="8"/>
      <c r="AL273" s="13"/>
      <c r="AM273" s="8"/>
      <c r="AN273" s="85"/>
      <c r="AO273" s="85"/>
      <c r="AP273" s="85"/>
      <c r="AQ273" s="85"/>
      <c r="AR273" s="85"/>
      <c r="AS273" s="85"/>
      <c r="AT273" s="85"/>
      <c r="AU273" s="86"/>
      <c r="AV273" s="86"/>
      <c r="AW273" s="86"/>
      <c r="AX273" s="7" t="s">
        <v>29</v>
      </c>
      <c r="AY273" s="68"/>
      <c r="AZ273" s="60"/>
      <c r="BA273" s="60"/>
      <c r="BB273" s="60"/>
      <c r="BC273" s="61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</row>
    <row r="274" spans="1:66" ht="27.6" x14ac:dyDescent="0.3">
      <c r="A274" s="7" t="s">
        <v>26</v>
      </c>
      <c r="B274" s="7">
        <v>2.4</v>
      </c>
      <c r="C274" s="8"/>
      <c r="D274" s="8"/>
      <c r="E274" s="8"/>
      <c r="F274" s="13"/>
      <c r="G274" s="8"/>
      <c r="H274" s="8"/>
      <c r="I274" s="85"/>
      <c r="J274" s="85"/>
      <c r="K274" s="85"/>
      <c r="L274" s="85"/>
      <c r="M274" s="85"/>
      <c r="N274" s="86"/>
      <c r="O274" s="86"/>
      <c r="P274" s="86"/>
      <c r="Q274" s="7" t="s">
        <v>26</v>
      </c>
      <c r="R274" s="7">
        <v>1.72</v>
      </c>
      <c r="S274" s="8"/>
      <c r="T274" s="8"/>
      <c r="U274" s="8"/>
      <c r="V274" s="13"/>
      <c r="W274" s="8"/>
      <c r="X274" s="85"/>
      <c r="Y274" s="85"/>
      <c r="Z274" s="85"/>
      <c r="AA274" s="85"/>
      <c r="AB274" s="85"/>
      <c r="AC274" s="85"/>
      <c r="AD274" s="86"/>
      <c r="AE274" s="86"/>
      <c r="AF274" s="86"/>
      <c r="AG274" s="7" t="s">
        <v>26</v>
      </c>
      <c r="AH274" s="7">
        <v>2.0099999999999998</v>
      </c>
      <c r="AI274" s="8"/>
      <c r="AJ274" s="8"/>
      <c r="AK274" s="8"/>
      <c r="AL274" s="13"/>
      <c r="AM274" s="8"/>
      <c r="AN274" s="85"/>
      <c r="AO274" s="85"/>
      <c r="AP274" s="85"/>
      <c r="AQ274" s="85"/>
      <c r="AR274" s="85"/>
      <c r="AS274" s="85"/>
      <c r="AT274" s="85"/>
      <c r="AU274" s="86"/>
      <c r="AV274" s="86"/>
      <c r="AW274" s="86"/>
      <c r="AX274" s="7" t="s">
        <v>26</v>
      </c>
      <c r="AY274" s="7">
        <v>1.46</v>
      </c>
      <c r="AZ274" s="8"/>
      <c r="BA274" s="8"/>
      <c r="BB274" s="8"/>
      <c r="BC274" s="13"/>
      <c r="BD274" s="8"/>
      <c r="BE274" s="85"/>
      <c r="BF274" s="85"/>
      <c r="BG274" s="85"/>
      <c r="BH274" s="85"/>
      <c r="BI274" s="85"/>
      <c r="BJ274" s="85"/>
      <c r="BK274" s="85"/>
      <c r="BL274" s="86"/>
      <c r="BM274" s="86"/>
      <c r="BN274" s="86"/>
    </row>
    <row r="275" spans="1:66" ht="27.6" x14ac:dyDescent="0.3">
      <c r="A275" s="7" t="s">
        <v>27</v>
      </c>
      <c r="B275" s="7">
        <v>3.61</v>
      </c>
      <c r="C275" s="8"/>
      <c r="D275" s="8"/>
      <c r="E275" s="8"/>
      <c r="F275" s="13"/>
      <c r="G275" s="8"/>
      <c r="H275" s="8"/>
      <c r="I275" s="8">
        <v>39.299999999999997</v>
      </c>
      <c r="J275" s="8"/>
      <c r="K275" s="8">
        <v>31</v>
      </c>
      <c r="L275" s="8">
        <f t="shared" si="136"/>
        <v>0.78880407124681939</v>
      </c>
      <c r="M275" s="8"/>
      <c r="N275" s="67">
        <f t="shared" si="137"/>
        <v>1.4187299999999998</v>
      </c>
      <c r="O275" s="67">
        <f t="shared" si="138"/>
        <v>1.1191</v>
      </c>
      <c r="P275" s="67">
        <f t="shared" si="139"/>
        <v>2.847582697201018E-2</v>
      </c>
      <c r="Q275" s="7" t="s">
        <v>27</v>
      </c>
      <c r="R275" s="7">
        <v>0.41</v>
      </c>
      <c r="S275" s="8"/>
      <c r="T275" s="8"/>
      <c r="U275" s="8"/>
      <c r="V275" s="13"/>
      <c r="W275" s="8"/>
      <c r="X275" s="85"/>
      <c r="Y275" s="85"/>
      <c r="Z275" s="85"/>
      <c r="AA275" s="85"/>
      <c r="AB275" s="85"/>
      <c r="AC275" s="85"/>
      <c r="AD275" s="86"/>
      <c r="AE275" s="86"/>
      <c r="AF275" s="86"/>
      <c r="AG275" s="7" t="s">
        <v>27</v>
      </c>
      <c r="AH275" s="7">
        <v>1.4</v>
      </c>
      <c r="AI275" s="8"/>
      <c r="AJ275" s="8"/>
      <c r="AK275" s="8"/>
      <c r="AL275" s="13"/>
      <c r="AM275" s="8"/>
      <c r="AN275" s="85"/>
      <c r="AO275" s="85"/>
      <c r="AP275" s="85"/>
      <c r="AQ275" s="85"/>
      <c r="AR275" s="85"/>
      <c r="AS275" s="85"/>
      <c r="AT275" s="85"/>
      <c r="AU275" s="86"/>
      <c r="AV275" s="86"/>
      <c r="AW275" s="86"/>
      <c r="AX275" s="7" t="s">
        <v>27</v>
      </c>
      <c r="AY275" s="7">
        <v>0.49</v>
      </c>
      <c r="AZ275" s="8"/>
      <c r="BA275" s="8"/>
      <c r="BB275" s="8"/>
      <c r="BC275" s="13"/>
      <c r="BD275" s="8"/>
      <c r="BE275" s="85"/>
      <c r="BF275" s="85"/>
      <c r="BG275" s="85"/>
      <c r="BH275" s="85"/>
      <c r="BI275" s="85"/>
      <c r="BJ275" s="85"/>
      <c r="BK275" s="85"/>
      <c r="BL275" s="86"/>
      <c r="BM275" s="86"/>
      <c r="BN275" s="86"/>
    </row>
    <row r="276" spans="1:66" ht="27.6" x14ac:dyDescent="0.3">
      <c r="A276" s="7" t="s">
        <v>30</v>
      </c>
      <c r="B276" s="7">
        <v>2.59</v>
      </c>
      <c r="C276" s="8"/>
      <c r="D276" s="8"/>
      <c r="E276" s="8"/>
      <c r="F276" s="13"/>
      <c r="G276" s="8"/>
      <c r="H276" s="8"/>
      <c r="I276" s="85"/>
      <c r="J276" s="85"/>
      <c r="K276" s="85"/>
      <c r="L276" s="85"/>
      <c r="M276" s="85"/>
      <c r="N276" s="86"/>
      <c r="O276" s="86"/>
      <c r="P276" s="86"/>
      <c r="Q276" s="7" t="s">
        <v>30</v>
      </c>
      <c r="R276" s="7">
        <v>2.69</v>
      </c>
      <c r="S276" s="8"/>
      <c r="T276" s="8"/>
      <c r="U276" s="8"/>
      <c r="V276" s="13"/>
      <c r="W276" s="8"/>
      <c r="X276" s="8">
        <v>8.9700000000000006</v>
      </c>
      <c r="Y276" s="8">
        <v>24.4</v>
      </c>
      <c r="Z276" s="8"/>
      <c r="AA276" s="8"/>
      <c r="AB276" s="8">
        <f t="shared" ref="AB276:AB283" si="152">X276/Y276</f>
        <v>0.36762295081967217</v>
      </c>
      <c r="AC276" s="8"/>
      <c r="AD276" s="67">
        <f t="shared" ref="AD276:AD283" si="153">X276*R276/100</f>
        <v>0.24129300000000001</v>
      </c>
      <c r="AE276" s="67">
        <f t="shared" ref="AE276:AE283" si="154">Y276*R276/100</f>
        <v>0.65635999999999994</v>
      </c>
      <c r="AF276" s="67">
        <f t="shared" ref="AF276:AF283" si="155">AB276*R276/100</f>
        <v>9.8890573770491815E-3</v>
      </c>
      <c r="AG276" s="7" t="s">
        <v>30</v>
      </c>
      <c r="AH276" s="7">
        <v>3.08</v>
      </c>
      <c r="AI276" s="8"/>
      <c r="AJ276" s="8"/>
      <c r="AK276" s="8"/>
      <c r="AL276" s="13"/>
      <c r="AM276" s="8"/>
      <c r="AN276" s="8">
        <v>15.9</v>
      </c>
      <c r="AO276" s="8">
        <v>23.1</v>
      </c>
      <c r="AP276" s="8"/>
      <c r="AQ276" s="8"/>
      <c r="AR276" s="8"/>
      <c r="AS276" s="8">
        <f t="shared" si="144"/>
        <v>0.68831168831168832</v>
      </c>
      <c r="AT276" s="8"/>
      <c r="AU276" s="67">
        <f t="shared" si="145"/>
        <v>0.71148000000000011</v>
      </c>
      <c r="AV276" s="67">
        <f t="shared" si="146"/>
        <v>0.48971999999999999</v>
      </c>
      <c r="AW276" s="67">
        <f t="shared" si="147"/>
        <v>2.12E-2</v>
      </c>
      <c r="AX276" s="7" t="s">
        <v>30</v>
      </c>
      <c r="AY276" s="7">
        <v>2.6</v>
      </c>
      <c r="AZ276" s="8"/>
      <c r="BA276" s="8"/>
      <c r="BB276" s="8"/>
      <c r="BC276" s="13"/>
      <c r="BD276" s="8"/>
      <c r="BE276" s="8">
        <v>13.9</v>
      </c>
      <c r="BF276" s="8">
        <v>16.899999999999999</v>
      </c>
      <c r="BG276" s="8"/>
      <c r="BH276" s="8"/>
      <c r="BI276" s="8"/>
      <c r="BJ276" s="8">
        <f t="shared" ref="BJ276:BJ280" si="156">BE276/BF276</f>
        <v>0.82248520710059181</v>
      </c>
      <c r="BK276" s="8"/>
      <c r="BL276" s="67">
        <f t="shared" ref="BL276:BL280" si="157">BF276*AY276/100</f>
        <v>0.43939999999999996</v>
      </c>
      <c r="BM276" s="67">
        <f t="shared" ref="BM276:BM283" si="158">BE276*AY276/100</f>
        <v>0.3614</v>
      </c>
      <c r="BN276" s="67">
        <f t="shared" ref="BN276:BN280" si="159">BJ276*AY276/100</f>
        <v>2.1384615384615387E-2</v>
      </c>
    </row>
    <row r="277" spans="1:66" ht="27.6" x14ac:dyDescent="0.3">
      <c r="A277" s="7" t="s">
        <v>31</v>
      </c>
      <c r="B277" s="7">
        <v>1.49</v>
      </c>
      <c r="C277" s="8"/>
      <c r="D277" s="8"/>
      <c r="E277" s="8"/>
      <c r="F277" s="13"/>
      <c r="G277" s="8"/>
      <c r="H277" s="8"/>
      <c r="I277" s="8">
        <v>29.8</v>
      </c>
      <c r="J277" s="8"/>
      <c r="K277" s="8">
        <v>34.1</v>
      </c>
      <c r="L277" s="8">
        <f t="shared" si="136"/>
        <v>1.1442953020134228</v>
      </c>
      <c r="M277" s="8"/>
      <c r="N277" s="67">
        <f t="shared" si="137"/>
        <v>0.44402000000000003</v>
      </c>
      <c r="O277" s="67">
        <f t="shared" si="138"/>
        <v>0.50809000000000004</v>
      </c>
      <c r="P277" s="67">
        <f t="shared" si="139"/>
        <v>1.7049999999999999E-2</v>
      </c>
      <c r="Q277" s="7" t="s">
        <v>31</v>
      </c>
      <c r="R277" s="7">
        <v>3.84</v>
      </c>
      <c r="S277" s="8"/>
      <c r="T277" s="8"/>
      <c r="U277" s="8"/>
      <c r="V277" s="13"/>
      <c r="W277" s="8"/>
      <c r="X277" s="8">
        <v>12.5</v>
      </c>
      <c r="Y277" s="8">
        <v>28.9</v>
      </c>
      <c r="Z277" s="8"/>
      <c r="AA277" s="8"/>
      <c r="AB277" s="8">
        <f t="shared" si="152"/>
        <v>0.43252595155709345</v>
      </c>
      <c r="AC277" s="8"/>
      <c r="AD277" s="67">
        <f t="shared" si="153"/>
        <v>0.48</v>
      </c>
      <c r="AE277" s="67">
        <f t="shared" si="154"/>
        <v>1.1097599999999999</v>
      </c>
      <c r="AF277" s="67">
        <f t="shared" si="155"/>
        <v>1.6608996539792385E-2</v>
      </c>
      <c r="AG277" s="7" t="s">
        <v>31</v>
      </c>
      <c r="AH277" s="7">
        <v>4.2699999999999996</v>
      </c>
      <c r="AI277" s="8"/>
      <c r="AJ277" s="8"/>
      <c r="AK277" s="8"/>
      <c r="AL277" s="13"/>
      <c r="AM277" s="8"/>
      <c r="AN277" s="8">
        <v>24.6</v>
      </c>
      <c r="AO277" s="8">
        <v>16.5</v>
      </c>
      <c r="AP277" s="8"/>
      <c r="AQ277" s="8"/>
      <c r="AR277" s="8"/>
      <c r="AS277" s="8">
        <f t="shared" si="144"/>
        <v>1.490909090909091</v>
      </c>
      <c r="AT277" s="8"/>
      <c r="AU277" s="67">
        <f t="shared" si="145"/>
        <v>0.70455000000000001</v>
      </c>
      <c r="AV277" s="67">
        <f t="shared" si="146"/>
        <v>1.0504199999999999</v>
      </c>
      <c r="AW277" s="67">
        <f t="shared" si="147"/>
        <v>6.3661818181818181E-2</v>
      </c>
      <c r="AX277" s="7" t="s">
        <v>31</v>
      </c>
      <c r="AY277" s="7">
        <v>3.76</v>
      </c>
      <c r="AZ277" s="8"/>
      <c r="BA277" s="8"/>
      <c r="BB277" s="8"/>
      <c r="BC277" s="13"/>
      <c r="BD277" s="8"/>
      <c r="BE277" s="8">
        <v>17.100000000000001</v>
      </c>
      <c r="BF277" s="8">
        <v>15</v>
      </c>
      <c r="BG277" s="8"/>
      <c r="BH277" s="8"/>
      <c r="BI277" s="8"/>
      <c r="BJ277" s="8">
        <f t="shared" si="156"/>
        <v>1.1400000000000001</v>
      </c>
      <c r="BK277" s="8"/>
      <c r="BL277" s="67">
        <f t="shared" si="157"/>
        <v>0.56399999999999995</v>
      </c>
      <c r="BM277" s="67">
        <f t="shared" si="158"/>
        <v>0.64296000000000009</v>
      </c>
      <c r="BN277" s="67">
        <f t="shared" si="159"/>
        <v>4.2864000000000006E-2</v>
      </c>
    </row>
    <row r="278" spans="1:66" x14ac:dyDescent="0.3">
      <c r="A278" s="7" t="s">
        <v>19</v>
      </c>
      <c r="B278" s="7">
        <v>1.3</v>
      </c>
      <c r="C278" s="8"/>
      <c r="D278" s="8"/>
      <c r="E278" s="8"/>
      <c r="F278" s="13"/>
      <c r="G278" s="8"/>
      <c r="H278" s="8"/>
      <c r="I278" s="8">
        <v>13.9</v>
      </c>
      <c r="J278" s="8"/>
      <c r="K278" s="8">
        <v>3.71</v>
      </c>
      <c r="L278" s="8">
        <f t="shared" si="136"/>
        <v>0.2669064748201439</v>
      </c>
      <c r="M278" s="8"/>
      <c r="N278" s="67">
        <f t="shared" si="137"/>
        <v>0.1807</v>
      </c>
      <c r="O278" s="67">
        <f t="shared" si="138"/>
        <v>4.8230000000000002E-2</v>
      </c>
      <c r="P278" s="67">
        <f t="shared" si="139"/>
        <v>3.469784172661871E-3</v>
      </c>
      <c r="Q278" s="7" t="s">
        <v>19</v>
      </c>
      <c r="R278" s="7">
        <v>3.3</v>
      </c>
      <c r="S278" s="8"/>
      <c r="T278" s="8"/>
      <c r="U278" s="8"/>
      <c r="V278" s="13"/>
      <c r="W278" s="8"/>
      <c r="X278" s="85"/>
      <c r="Y278" s="85"/>
      <c r="Z278" s="85"/>
      <c r="AA278" s="85"/>
      <c r="AB278" s="85"/>
      <c r="AC278" s="85"/>
      <c r="AD278" s="86"/>
      <c r="AE278" s="86"/>
      <c r="AF278" s="86"/>
      <c r="AG278" s="7" t="s">
        <v>19</v>
      </c>
      <c r="AH278" s="7">
        <v>4.17</v>
      </c>
      <c r="AI278" s="8"/>
      <c r="AJ278" s="8"/>
      <c r="AK278" s="8"/>
      <c r="AL278" s="13"/>
      <c r="AM278" s="8"/>
      <c r="AN278" s="8">
        <v>7.25</v>
      </c>
      <c r="AO278" s="8">
        <v>31.4</v>
      </c>
      <c r="AP278" s="8"/>
      <c r="AQ278" s="8"/>
      <c r="AR278" s="8"/>
      <c r="AS278" s="8">
        <f t="shared" si="144"/>
        <v>0.23089171974522293</v>
      </c>
      <c r="AT278" s="8"/>
      <c r="AU278" s="67">
        <f t="shared" si="145"/>
        <v>1.30938</v>
      </c>
      <c r="AV278" s="67">
        <f t="shared" si="146"/>
        <v>0.30232499999999995</v>
      </c>
      <c r="AW278" s="67">
        <f t="shared" si="147"/>
        <v>9.6281847133757956E-3</v>
      </c>
      <c r="AX278" s="7" t="s">
        <v>19</v>
      </c>
      <c r="AY278" s="7">
        <v>1.94</v>
      </c>
      <c r="AZ278" s="8"/>
      <c r="BA278" s="8"/>
      <c r="BB278" s="8"/>
      <c r="BC278" s="13"/>
      <c r="BD278" s="8"/>
      <c r="BE278" s="8">
        <v>4.97</v>
      </c>
      <c r="BF278" s="8">
        <v>40.5</v>
      </c>
      <c r="BG278" s="8"/>
      <c r="BH278" s="8"/>
      <c r="BI278" s="8"/>
      <c r="BJ278" s="8">
        <f t="shared" si="156"/>
        <v>0.12271604938271605</v>
      </c>
      <c r="BK278" s="8"/>
      <c r="BL278" s="67">
        <f t="shared" si="157"/>
        <v>0.78569999999999995</v>
      </c>
      <c r="BM278" s="67">
        <f t="shared" si="158"/>
        <v>9.6418000000000004E-2</v>
      </c>
      <c r="BN278" s="67">
        <f t="shared" si="159"/>
        <v>2.3806913580246914E-3</v>
      </c>
    </row>
    <row r="279" spans="1:66" ht="27.6" x14ac:dyDescent="0.3">
      <c r="A279" s="7" t="s">
        <v>166</v>
      </c>
      <c r="B279" s="7">
        <v>3.74</v>
      </c>
      <c r="C279" s="8"/>
      <c r="D279" s="8"/>
      <c r="E279" s="8"/>
      <c r="F279" s="13"/>
      <c r="G279" s="8"/>
      <c r="H279" s="8"/>
      <c r="I279" s="8">
        <v>13.6</v>
      </c>
      <c r="J279" s="8"/>
      <c r="K279" s="8">
        <v>2.8000000000000001E-2</v>
      </c>
      <c r="L279" s="8">
        <f t="shared" si="136"/>
        <v>2.0588235294117649E-3</v>
      </c>
      <c r="M279" s="8"/>
      <c r="N279" s="67">
        <f t="shared" si="137"/>
        <v>0.50864000000000009</v>
      </c>
      <c r="O279" s="67">
        <f t="shared" si="138"/>
        <v>1.0472000000000001E-3</v>
      </c>
      <c r="P279" s="67">
        <f t="shared" si="139"/>
        <v>7.7000000000000015E-5</v>
      </c>
      <c r="Q279" s="7" t="s">
        <v>166</v>
      </c>
      <c r="R279" s="7">
        <v>2.94</v>
      </c>
      <c r="S279" s="8"/>
      <c r="T279" s="8"/>
      <c r="U279" s="8"/>
      <c r="V279" s="13"/>
      <c r="W279" s="8"/>
      <c r="X279" s="8">
        <v>0.82</v>
      </c>
      <c r="Y279" s="8">
        <v>37.200000000000003</v>
      </c>
      <c r="Z279" s="8"/>
      <c r="AA279" s="8"/>
      <c r="AB279" s="8">
        <f t="shared" si="152"/>
        <v>2.2043010752688171E-2</v>
      </c>
      <c r="AC279" s="8"/>
      <c r="AD279" s="67">
        <f t="shared" si="153"/>
        <v>2.4107999999999997E-2</v>
      </c>
      <c r="AE279" s="67">
        <f t="shared" si="154"/>
        <v>1.09368</v>
      </c>
      <c r="AF279" s="67">
        <f t="shared" si="155"/>
        <v>6.4806451612903215E-4</v>
      </c>
      <c r="AG279" s="7" t="s">
        <v>166</v>
      </c>
      <c r="AH279" s="7">
        <v>5.83</v>
      </c>
      <c r="AI279" s="8"/>
      <c r="AJ279" s="8"/>
      <c r="AK279" s="8"/>
      <c r="AL279" s="13"/>
      <c r="AM279" s="8"/>
      <c r="AN279" s="8">
        <v>0.45</v>
      </c>
      <c r="AO279" s="8">
        <v>27.5</v>
      </c>
      <c r="AP279" s="8"/>
      <c r="AQ279" s="8"/>
      <c r="AR279" s="8"/>
      <c r="AS279" s="8">
        <f t="shared" si="144"/>
        <v>1.6363636363636365E-2</v>
      </c>
      <c r="AT279" s="8"/>
      <c r="AU279" s="67">
        <f t="shared" si="145"/>
        <v>1.6032499999999998</v>
      </c>
      <c r="AV279" s="67">
        <f t="shared" si="146"/>
        <v>2.6234999999999998E-2</v>
      </c>
      <c r="AW279" s="67">
        <f t="shared" si="147"/>
        <v>9.540000000000001E-4</v>
      </c>
      <c r="AX279" s="7" t="s">
        <v>166</v>
      </c>
      <c r="AY279" s="7">
        <v>4.45</v>
      </c>
      <c r="AZ279" s="8"/>
      <c r="BA279" s="8"/>
      <c r="BB279" s="8"/>
      <c r="BC279" s="13"/>
      <c r="BD279" s="8"/>
      <c r="BE279" s="8">
        <v>0.25</v>
      </c>
      <c r="BF279" s="8">
        <v>27.4</v>
      </c>
      <c r="BG279" s="8"/>
      <c r="BH279" s="8"/>
      <c r="BI279" s="8"/>
      <c r="BJ279" s="8">
        <f t="shared" si="156"/>
        <v>9.1240875912408769E-3</v>
      </c>
      <c r="BK279" s="8"/>
      <c r="BL279" s="67">
        <f t="shared" si="157"/>
        <v>1.2192999999999998</v>
      </c>
      <c r="BM279" s="67">
        <f t="shared" si="158"/>
        <v>1.1125000000000001E-2</v>
      </c>
      <c r="BN279" s="67">
        <f t="shared" si="159"/>
        <v>4.0602189781021903E-4</v>
      </c>
    </row>
    <row r="280" spans="1:66" x14ac:dyDescent="0.3">
      <c r="A280" s="7" t="s">
        <v>20</v>
      </c>
      <c r="B280" s="7">
        <v>4.63</v>
      </c>
      <c r="C280" s="8"/>
      <c r="D280" s="8"/>
      <c r="E280" s="8"/>
      <c r="F280" s="13"/>
      <c r="G280" s="8"/>
      <c r="H280" s="8"/>
      <c r="I280" s="85"/>
      <c r="J280" s="85"/>
      <c r="K280" s="85"/>
      <c r="L280" s="85"/>
      <c r="M280" s="85"/>
      <c r="N280" s="86"/>
      <c r="O280" s="86"/>
      <c r="P280" s="86"/>
      <c r="Q280" s="7" t="s">
        <v>20</v>
      </c>
      <c r="R280" s="7">
        <v>2.59</v>
      </c>
      <c r="S280" s="8"/>
      <c r="T280" s="8"/>
      <c r="U280" s="8"/>
      <c r="V280" s="13"/>
      <c r="W280" s="8"/>
      <c r="X280" s="85"/>
      <c r="Y280" s="85"/>
      <c r="Z280" s="85"/>
      <c r="AA280" s="85"/>
      <c r="AB280" s="85"/>
      <c r="AC280" s="85"/>
      <c r="AD280" s="86"/>
      <c r="AE280" s="86"/>
      <c r="AF280" s="86"/>
      <c r="AG280" s="7" t="s">
        <v>20</v>
      </c>
      <c r="AH280" s="7">
        <v>2.1800000000000002</v>
      </c>
      <c r="AI280" s="8"/>
      <c r="AJ280" s="8"/>
      <c r="AK280" s="8"/>
      <c r="AL280" s="13"/>
      <c r="AM280" s="8"/>
      <c r="AN280" s="8">
        <v>0.28999999999999998</v>
      </c>
      <c r="AO280" s="8">
        <v>11</v>
      </c>
      <c r="AP280" s="8"/>
      <c r="AQ280" s="8"/>
      <c r="AR280" s="8"/>
      <c r="AS280" s="8">
        <f t="shared" si="144"/>
        <v>2.6363636363636363E-2</v>
      </c>
      <c r="AT280" s="8"/>
      <c r="AU280" s="67">
        <f t="shared" si="145"/>
        <v>0.23980000000000001</v>
      </c>
      <c r="AV280" s="67">
        <f t="shared" si="146"/>
        <v>6.3219999999999995E-3</v>
      </c>
      <c r="AW280" s="67">
        <f t="shared" si="147"/>
        <v>5.7472727272727276E-4</v>
      </c>
      <c r="AX280" s="7" t="s">
        <v>20</v>
      </c>
      <c r="AY280" s="7">
        <v>3.6</v>
      </c>
      <c r="AZ280" s="8"/>
      <c r="BA280" s="8"/>
      <c r="BB280" s="8"/>
      <c r="BC280" s="13"/>
      <c r="BD280" s="8"/>
      <c r="BE280" s="8">
        <v>0.88</v>
      </c>
      <c r="BF280" s="8">
        <v>29.2</v>
      </c>
      <c r="BG280" s="8"/>
      <c r="BH280" s="8"/>
      <c r="BI280" s="8"/>
      <c r="BJ280" s="8">
        <f t="shared" si="156"/>
        <v>3.0136986301369864E-2</v>
      </c>
      <c r="BK280" s="8"/>
      <c r="BL280" s="67">
        <f t="shared" si="157"/>
        <v>1.0512000000000001</v>
      </c>
      <c r="BM280" s="67">
        <f t="shared" si="158"/>
        <v>3.168E-2</v>
      </c>
      <c r="BN280" s="67">
        <f t="shared" si="159"/>
        <v>1.084931506849315E-3</v>
      </c>
    </row>
    <row r="281" spans="1:66" x14ac:dyDescent="0.3">
      <c r="A281" s="7" t="s">
        <v>38</v>
      </c>
      <c r="B281" s="7">
        <v>7.23</v>
      </c>
      <c r="C281" s="8"/>
      <c r="D281" s="8"/>
      <c r="E281" s="8"/>
      <c r="F281" s="13"/>
      <c r="G281" s="8"/>
      <c r="H281" s="8"/>
      <c r="I281" s="8">
        <v>15</v>
      </c>
      <c r="J281" s="8"/>
      <c r="K281" s="8">
        <v>7.4999999999999997E-2</v>
      </c>
      <c r="L281" s="8">
        <f t="shared" si="136"/>
        <v>5.0000000000000001E-3</v>
      </c>
      <c r="M281" s="8"/>
      <c r="N281" s="67">
        <f t="shared" si="137"/>
        <v>1.0845</v>
      </c>
      <c r="O281" s="67">
        <f t="shared" si="138"/>
        <v>5.4225000000000002E-3</v>
      </c>
      <c r="P281" s="67">
        <f t="shared" si="139"/>
        <v>3.615E-4</v>
      </c>
      <c r="Q281" s="7" t="s">
        <v>38</v>
      </c>
      <c r="R281" s="7">
        <v>2.68</v>
      </c>
      <c r="S281" s="8"/>
      <c r="T281" s="8"/>
      <c r="U281" s="8"/>
      <c r="V281" s="13"/>
      <c r="W281" s="8"/>
      <c r="X281" s="8">
        <v>2.59</v>
      </c>
      <c r="Y281" s="8">
        <v>43.1</v>
      </c>
      <c r="Z281" s="8"/>
      <c r="AA281" s="8"/>
      <c r="AB281" s="8">
        <f t="shared" si="152"/>
        <v>6.0092807424593962E-2</v>
      </c>
      <c r="AC281" s="8"/>
      <c r="AD281" s="67">
        <f t="shared" si="153"/>
        <v>6.9412000000000001E-2</v>
      </c>
      <c r="AE281" s="67">
        <f t="shared" si="154"/>
        <v>1.1550800000000001</v>
      </c>
      <c r="AF281" s="67">
        <f t="shared" si="155"/>
        <v>1.6104872389791183E-3</v>
      </c>
      <c r="AG281" s="7" t="s">
        <v>38</v>
      </c>
      <c r="AH281" s="7">
        <v>3.63</v>
      </c>
      <c r="AI281" s="8"/>
      <c r="AJ281" s="8"/>
      <c r="AK281" s="8"/>
      <c r="AL281" s="13"/>
      <c r="AM281" s="8"/>
      <c r="AN281" s="8">
        <v>1.24</v>
      </c>
      <c r="AO281" s="8">
        <v>27.7</v>
      </c>
      <c r="AP281" s="8"/>
      <c r="AQ281" s="8"/>
      <c r="AR281" s="8"/>
      <c r="AS281" s="8">
        <f t="shared" si="144"/>
        <v>4.4765342960288806E-2</v>
      </c>
      <c r="AT281" s="8"/>
      <c r="AU281" s="67">
        <f t="shared" si="145"/>
        <v>1.0055099999999999</v>
      </c>
      <c r="AV281" s="67">
        <f t="shared" si="146"/>
        <v>4.5011999999999996E-2</v>
      </c>
      <c r="AW281" s="67">
        <f t="shared" si="147"/>
        <v>1.6249819494584836E-3</v>
      </c>
      <c r="AX281" s="7" t="s">
        <v>38</v>
      </c>
      <c r="AY281" s="68"/>
      <c r="AZ281" s="60"/>
      <c r="BA281" s="60"/>
      <c r="BB281" s="60"/>
      <c r="BC281" s="61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</row>
    <row r="282" spans="1:66" x14ac:dyDescent="0.3">
      <c r="A282" s="7" t="s">
        <v>39</v>
      </c>
      <c r="B282" s="7">
        <v>3.08</v>
      </c>
      <c r="C282" s="8"/>
      <c r="D282" s="8"/>
      <c r="E282" s="8"/>
      <c r="F282" s="13"/>
      <c r="G282" s="8"/>
      <c r="H282" s="8"/>
      <c r="I282" s="8">
        <v>33.4</v>
      </c>
      <c r="J282" s="8"/>
      <c r="K282" s="8">
        <v>0.19</v>
      </c>
      <c r="L282" s="8">
        <f t="shared" si="136"/>
        <v>5.6886227544910182E-3</v>
      </c>
      <c r="M282" s="8"/>
      <c r="N282" s="67">
        <f t="shared" si="137"/>
        <v>1.0287200000000001</v>
      </c>
      <c r="O282" s="67">
        <f t="shared" si="138"/>
        <v>5.8520000000000004E-3</v>
      </c>
      <c r="P282" s="67">
        <f t="shared" si="139"/>
        <v>1.7520958083832336E-4</v>
      </c>
      <c r="Q282" s="7" t="s">
        <v>39</v>
      </c>
      <c r="R282" s="7">
        <v>4.5999999999999996</v>
      </c>
      <c r="S282" s="8"/>
      <c r="T282" s="8"/>
      <c r="U282" s="8"/>
      <c r="V282" s="13"/>
      <c r="W282" s="8"/>
      <c r="X282" s="8">
        <v>1.78</v>
      </c>
      <c r="Y282" s="8">
        <v>45</v>
      </c>
      <c r="Z282" s="8"/>
      <c r="AA282" s="8"/>
      <c r="AB282" s="8">
        <f t="shared" si="152"/>
        <v>3.9555555555555559E-2</v>
      </c>
      <c r="AC282" s="8"/>
      <c r="AD282" s="67">
        <f t="shared" si="153"/>
        <v>8.1879999999999994E-2</v>
      </c>
      <c r="AE282" s="67">
        <f t="shared" si="154"/>
        <v>2.0699999999999998</v>
      </c>
      <c r="AF282" s="67">
        <f t="shared" si="155"/>
        <v>1.8195555555555556E-3</v>
      </c>
      <c r="AG282" s="7" t="s">
        <v>39</v>
      </c>
      <c r="AH282" s="7">
        <v>4.1100000000000003</v>
      </c>
      <c r="AI282" s="8"/>
      <c r="AJ282" s="8"/>
      <c r="AK282" s="8"/>
      <c r="AL282" s="13"/>
      <c r="AM282" s="8"/>
      <c r="AN282" s="8">
        <v>0.72</v>
      </c>
      <c r="AO282" s="8">
        <v>27.8</v>
      </c>
      <c r="AP282" s="8"/>
      <c r="AQ282" s="8"/>
      <c r="AR282" s="8"/>
      <c r="AS282" s="8">
        <f t="shared" si="144"/>
        <v>2.5899280575539568E-2</v>
      </c>
      <c r="AT282" s="8"/>
      <c r="AU282" s="67">
        <f t="shared" si="145"/>
        <v>1.1425800000000002</v>
      </c>
      <c r="AV282" s="67">
        <f t="shared" si="146"/>
        <v>2.9592E-2</v>
      </c>
      <c r="AW282" s="67">
        <f t="shared" si="147"/>
        <v>1.0644604316546763E-3</v>
      </c>
      <c r="AX282" s="7" t="s">
        <v>39</v>
      </c>
      <c r="AY282" s="7">
        <v>2.56</v>
      </c>
      <c r="AZ282" s="8"/>
      <c r="BA282" s="8"/>
      <c r="BB282" s="8"/>
      <c r="BC282" s="13"/>
      <c r="BD282" s="8"/>
      <c r="BE282" s="8">
        <v>1.6</v>
      </c>
      <c r="BF282" s="8">
        <v>48.1</v>
      </c>
      <c r="BG282" s="8"/>
      <c r="BH282" s="8"/>
      <c r="BI282" s="8"/>
      <c r="BJ282" s="8">
        <f t="shared" ref="BJ282:BJ283" si="160">BE282/BF282</f>
        <v>3.3264033264033266E-2</v>
      </c>
      <c r="BK282" s="8"/>
      <c r="BL282" s="67">
        <f t="shared" ref="BL282:BL283" si="161">BF282*AY282/100</f>
        <v>1.23136</v>
      </c>
      <c r="BM282" s="67">
        <f t="shared" si="158"/>
        <v>4.0960000000000003E-2</v>
      </c>
      <c r="BN282" s="67">
        <f t="shared" ref="BN282:BN283" si="162">BJ282*AY282/100</f>
        <v>8.5155925155925172E-4</v>
      </c>
    </row>
    <row r="283" spans="1:66" x14ac:dyDescent="0.3">
      <c r="A283" s="7" t="s">
        <v>33</v>
      </c>
      <c r="B283" s="7">
        <v>3.71</v>
      </c>
      <c r="C283" s="8"/>
      <c r="D283" s="8"/>
      <c r="E283" s="8"/>
      <c r="F283" s="13"/>
      <c r="G283" s="8"/>
      <c r="H283" s="8"/>
      <c r="I283" s="8">
        <v>11.7</v>
      </c>
      <c r="J283" s="8"/>
      <c r="K283" s="8">
        <v>0.25</v>
      </c>
      <c r="L283" s="8">
        <f t="shared" si="136"/>
        <v>2.1367521367521368E-2</v>
      </c>
      <c r="M283" s="8"/>
      <c r="N283" s="67">
        <f t="shared" si="137"/>
        <v>0.43406999999999996</v>
      </c>
      <c r="O283" s="67">
        <f t="shared" si="138"/>
        <v>9.2750000000000003E-3</v>
      </c>
      <c r="P283" s="67">
        <f t="shared" si="139"/>
        <v>7.9273504273504264E-4</v>
      </c>
      <c r="Q283" s="7" t="s">
        <v>33</v>
      </c>
      <c r="R283" s="7">
        <v>2.0699999999999998</v>
      </c>
      <c r="S283" s="8"/>
      <c r="T283" s="8"/>
      <c r="U283" s="8"/>
      <c r="V283" s="13"/>
      <c r="W283" s="8"/>
      <c r="X283" s="8">
        <v>3.41</v>
      </c>
      <c r="Y283" s="8">
        <v>42.6</v>
      </c>
      <c r="Z283" s="8"/>
      <c r="AA283" s="8"/>
      <c r="AB283" s="8">
        <f t="shared" si="152"/>
        <v>8.0046948356807507E-2</v>
      </c>
      <c r="AC283" s="8"/>
      <c r="AD283" s="67">
        <f t="shared" si="153"/>
        <v>7.0586999999999997E-2</v>
      </c>
      <c r="AE283" s="67">
        <f t="shared" si="154"/>
        <v>0.88182000000000005</v>
      </c>
      <c r="AF283" s="67">
        <f t="shared" si="155"/>
        <v>1.6569718309859152E-3</v>
      </c>
      <c r="AG283" s="7" t="s">
        <v>33</v>
      </c>
      <c r="AH283" s="7">
        <v>1.1200000000000001</v>
      </c>
      <c r="AI283" s="8"/>
      <c r="AJ283" s="8"/>
      <c r="AK283" s="8"/>
      <c r="AL283" s="13"/>
      <c r="AM283" s="8"/>
      <c r="AN283" s="8">
        <v>2.29</v>
      </c>
      <c r="AO283" s="8">
        <v>10.4</v>
      </c>
      <c r="AP283" s="8"/>
      <c r="AQ283" s="8"/>
      <c r="AR283" s="8"/>
      <c r="AS283" s="8">
        <f t="shared" si="144"/>
        <v>0.22019230769230769</v>
      </c>
      <c r="AT283" s="8"/>
      <c r="AU283" s="67">
        <f t="shared" si="145"/>
        <v>0.11648000000000001</v>
      </c>
      <c r="AV283" s="67">
        <f t="shared" si="146"/>
        <v>2.5648000000000004E-2</v>
      </c>
      <c r="AW283" s="67">
        <f t="shared" si="147"/>
        <v>2.4661538461538462E-3</v>
      </c>
      <c r="AX283" s="7" t="s">
        <v>33</v>
      </c>
      <c r="AY283" s="7">
        <v>2.04</v>
      </c>
      <c r="AZ283" s="8"/>
      <c r="BA283" s="8"/>
      <c r="BB283" s="8"/>
      <c r="BC283" s="13"/>
      <c r="BD283" s="8"/>
      <c r="BE283" s="8">
        <v>1.27</v>
      </c>
      <c r="BF283" s="8">
        <v>48.1</v>
      </c>
      <c r="BG283" s="8"/>
      <c r="BH283" s="8"/>
      <c r="BI283" s="8"/>
      <c r="BJ283" s="8">
        <f t="shared" si="160"/>
        <v>2.6403326403326401E-2</v>
      </c>
      <c r="BK283" s="8"/>
      <c r="BL283" s="67">
        <f t="shared" si="161"/>
        <v>0.98124000000000011</v>
      </c>
      <c r="BM283" s="67">
        <f t="shared" si="158"/>
        <v>2.5908E-2</v>
      </c>
      <c r="BN283" s="67">
        <f t="shared" si="162"/>
        <v>5.3862785862785856E-4</v>
      </c>
    </row>
    <row r="284" spans="1:66" ht="27.6" x14ac:dyDescent="0.3">
      <c r="A284" s="7" t="s">
        <v>25</v>
      </c>
      <c r="B284" s="7">
        <v>1.03</v>
      </c>
      <c r="C284" s="8"/>
      <c r="D284" s="8"/>
      <c r="E284" s="8"/>
      <c r="F284" s="13"/>
      <c r="G284" s="8"/>
      <c r="H284" s="8"/>
      <c r="I284" s="85"/>
      <c r="J284" s="85"/>
      <c r="K284" s="85"/>
      <c r="L284" s="85"/>
      <c r="M284" s="85"/>
      <c r="N284" s="86"/>
      <c r="O284" s="86"/>
      <c r="P284" s="86"/>
      <c r="Q284" s="7" t="s">
        <v>25</v>
      </c>
      <c r="R284" s="68"/>
      <c r="S284" s="60"/>
      <c r="T284" s="60"/>
      <c r="U284" s="60"/>
      <c r="V284" s="61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7" t="s">
        <v>25</v>
      </c>
      <c r="AH284" s="7">
        <v>1.91</v>
      </c>
      <c r="AI284" s="8"/>
      <c r="AJ284" s="8"/>
      <c r="AK284" s="8"/>
      <c r="AL284" s="13"/>
      <c r="AM284" s="8"/>
      <c r="AN284" s="85"/>
      <c r="AO284" s="85"/>
      <c r="AP284" s="85"/>
      <c r="AQ284" s="85"/>
      <c r="AR284" s="85"/>
      <c r="AS284" s="85"/>
      <c r="AT284" s="85"/>
      <c r="AU284" s="86"/>
      <c r="AV284" s="86"/>
      <c r="AW284" s="86"/>
      <c r="AX284" s="7" t="s">
        <v>25</v>
      </c>
      <c r="AY284" s="68"/>
      <c r="AZ284" s="60"/>
      <c r="BA284" s="60"/>
      <c r="BB284" s="60"/>
      <c r="BC284" s="61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</row>
    <row r="285" spans="1:66" ht="27.6" x14ac:dyDescent="0.3">
      <c r="A285" s="7" t="s">
        <v>24</v>
      </c>
      <c r="B285" s="7">
        <v>4.2300000000000004</v>
      </c>
      <c r="C285" s="8"/>
      <c r="D285" s="8"/>
      <c r="E285" s="8"/>
      <c r="F285" s="13"/>
      <c r="G285" s="8"/>
      <c r="H285" s="8"/>
      <c r="I285" s="8">
        <v>41.5</v>
      </c>
      <c r="J285" s="8"/>
      <c r="K285" s="8">
        <v>25.9</v>
      </c>
      <c r="L285" s="8">
        <f t="shared" si="136"/>
        <v>0.62409638554216862</v>
      </c>
      <c r="M285" s="8"/>
      <c r="N285" s="67">
        <f t="shared" si="137"/>
        <v>1.7554500000000002</v>
      </c>
      <c r="O285" s="67">
        <f t="shared" si="138"/>
        <v>1.0955699999999999</v>
      </c>
      <c r="P285" s="67">
        <f t="shared" si="139"/>
        <v>2.6399277108433736E-2</v>
      </c>
      <c r="Q285" s="7" t="s">
        <v>24</v>
      </c>
      <c r="R285" s="7">
        <v>1.1599999999999999</v>
      </c>
      <c r="S285" s="8"/>
      <c r="T285" s="8"/>
      <c r="U285" s="8"/>
      <c r="V285" s="13"/>
      <c r="W285" s="8"/>
      <c r="X285" s="85"/>
      <c r="Y285" s="85"/>
      <c r="Z285" s="85"/>
      <c r="AA285" s="85"/>
      <c r="AB285" s="85"/>
      <c r="AC285" s="85"/>
      <c r="AD285" s="86"/>
      <c r="AE285" s="86"/>
      <c r="AF285" s="86"/>
      <c r="AG285" s="7" t="s">
        <v>24</v>
      </c>
      <c r="AH285" s="7">
        <v>1.68</v>
      </c>
      <c r="AI285" s="8"/>
      <c r="AJ285" s="8"/>
      <c r="AK285" s="8"/>
      <c r="AL285" s="13"/>
      <c r="AM285" s="8"/>
      <c r="AN285" s="8">
        <v>17.899999999999999</v>
      </c>
      <c r="AO285" s="8">
        <v>26.4</v>
      </c>
      <c r="AP285" s="8"/>
      <c r="AQ285" s="8"/>
      <c r="AR285" s="8"/>
      <c r="AS285" s="8">
        <f t="shared" si="144"/>
        <v>0.67803030303030298</v>
      </c>
      <c r="AT285" s="8"/>
      <c r="AU285" s="67">
        <f t="shared" si="145"/>
        <v>0.44351999999999997</v>
      </c>
      <c r="AV285" s="67">
        <f t="shared" si="146"/>
        <v>0.30071999999999993</v>
      </c>
      <c r="AW285" s="67">
        <f t="shared" si="147"/>
        <v>1.1390909090909089E-2</v>
      </c>
      <c r="AX285" s="7" t="s">
        <v>24</v>
      </c>
      <c r="AY285" s="7">
        <v>1.03</v>
      </c>
      <c r="AZ285" s="8"/>
      <c r="BA285" s="8"/>
      <c r="BB285" s="8"/>
      <c r="BC285" s="13"/>
      <c r="BD285" s="8"/>
      <c r="BE285" s="8">
        <v>25.3</v>
      </c>
      <c r="BF285" s="8">
        <v>44.2</v>
      </c>
      <c r="BG285" s="8"/>
      <c r="BH285" s="8"/>
      <c r="BI285" s="8"/>
      <c r="BJ285" s="8">
        <f t="shared" ref="BJ285:BJ291" si="163">BE285/BF285</f>
        <v>0.57239819004524883</v>
      </c>
      <c r="BK285" s="8"/>
      <c r="BL285" s="67">
        <f t="shared" ref="BL285:BL291" si="164">BF285*AY285/100</f>
        <v>0.45526000000000005</v>
      </c>
      <c r="BM285" s="67">
        <f t="shared" ref="BM285:BM291" si="165">BE285*AY285/100</f>
        <v>0.26058999999999999</v>
      </c>
      <c r="BN285" s="67">
        <f t="shared" ref="BN285:BN291" si="166">BJ285*AY285/100</f>
        <v>5.8957013574660634E-3</v>
      </c>
    </row>
    <row r="286" spans="1:66" ht="27.6" x14ac:dyDescent="0.3">
      <c r="A286" s="7" t="s">
        <v>28</v>
      </c>
      <c r="B286" s="7">
        <v>1.87</v>
      </c>
      <c r="C286" s="8"/>
      <c r="D286" s="8"/>
      <c r="E286" s="8"/>
      <c r="F286" s="13"/>
      <c r="G286" s="8"/>
      <c r="H286" s="8"/>
      <c r="I286" s="8">
        <v>21.4</v>
      </c>
      <c r="J286" s="8"/>
      <c r="K286" s="8">
        <v>3.34</v>
      </c>
      <c r="L286" s="8">
        <f t="shared" si="136"/>
        <v>0.1560747663551402</v>
      </c>
      <c r="M286" s="8"/>
      <c r="N286" s="67">
        <f t="shared" si="137"/>
        <v>0.40017999999999998</v>
      </c>
      <c r="O286" s="67">
        <f t="shared" si="138"/>
        <v>6.2458E-2</v>
      </c>
      <c r="P286" s="67">
        <f t="shared" si="139"/>
        <v>2.9185981308411219E-3</v>
      </c>
      <c r="Q286" s="7" t="s">
        <v>28</v>
      </c>
      <c r="R286" s="7">
        <v>2.59</v>
      </c>
      <c r="S286" s="8"/>
      <c r="T286" s="8"/>
      <c r="U286" s="8"/>
      <c r="V286" s="13"/>
      <c r="W286" s="8"/>
      <c r="X286" s="8">
        <v>16.2</v>
      </c>
      <c r="Y286" s="8">
        <v>34.700000000000003</v>
      </c>
      <c r="Z286" s="8"/>
      <c r="AA286" s="8"/>
      <c r="AB286" s="8">
        <f t="shared" ref="AB286:AB291" si="167">X286/Y286</f>
        <v>0.46685878962536015</v>
      </c>
      <c r="AC286" s="8"/>
      <c r="AD286" s="67">
        <f t="shared" ref="AD286:AD290" si="168">X286*R286/100</f>
        <v>0.41958000000000001</v>
      </c>
      <c r="AE286" s="67">
        <f t="shared" ref="AE286:AE291" si="169">Y286*R286/100</f>
        <v>0.89873000000000003</v>
      </c>
      <c r="AF286" s="67">
        <f t="shared" ref="AF286:AF291" si="170">AB286*R286/100</f>
        <v>1.2091642651296829E-2</v>
      </c>
      <c r="AG286" s="7" t="s">
        <v>28</v>
      </c>
      <c r="AH286" s="7">
        <v>2.17</v>
      </c>
      <c r="AI286" s="8"/>
      <c r="AJ286" s="8"/>
      <c r="AK286" s="8"/>
      <c r="AL286" s="13"/>
      <c r="AM286" s="8"/>
      <c r="AN286" s="8">
        <v>10.1</v>
      </c>
      <c r="AO286" s="8">
        <v>19.8</v>
      </c>
      <c r="AP286" s="8"/>
      <c r="AQ286" s="8"/>
      <c r="AR286" s="8"/>
      <c r="AS286" s="8">
        <f t="shared" si="144"/>
        <v>0.51010101010101006</v>
      </c>
      <c r="AT286" s="8"/>
      <c r="AU286" s="67">
        <f t="shared" si="145"/>
        <v>0.42965999999999999</v>
      </c>
      <c r="AV286" s="67">
        <f t="shared" si="146"/>
        <v>0.21916999999999998</v>
      </c>
      <c r="AW286" s="67">
        <f t="shared" si="147"/>
        <v>1.1069191919191918E-2</v>
      </c>
      <c r="AX286" s="7" t="s">
        <v>28</v>
      </c>
      <c r="AY286" s="7">
        <v>4.26</v>
      </c>
      <c r="AZ286" s="8"/>
      <c r="BA286" s="8"/>
      <c r="BB286" s="8"/>
      <c r="BC286" s="13"/>
      <c r="BD286" s="8"/>
      <c r="BE286" s="8">
        <v>14.8</v>
      </c>
      <c r="BF286" s="8">
        <v>26.2</v>
      </c>
      <c r="BG286" s="8"/>
      <c r="BH286" s="8"/>
      <c r="BI286" s="8"/>
      <c r="BJ286" s="8">
        <f t="shared" si="163"/>
        <v>0.56488549618320616</v>
      </c>
      <c r="BK286" s="8"/>
      <c r="BL286" s="67">
        <f t="shared" si="164"/>
        <v>1.11612</v>
      </c>
      <c r="BM286" s="67">
        <f t="shared" si="165"/>
        <v>0.63048000000000004</v>
      </c>
      <c r="BN286" s="67">
        <f t="shared" si="166"/>
        <v>2.4064122137404581E-2</v>
      </c>
    </row>
    <row r="287" spans="1:66" ht="27.6" x14ac:dyDescent="0.3">
      <c r="A287" s="7" t="s">
        <v>35</v>
      </c>
      <c r="B287" s="7">
        <v>2.87</v>
      </c>
      <c r="C287" s="8"/>
      <c r="D287" s="8"/>
      <c r="E287" s="8"/>
      <c r="F287" s="13"/>
      <c r="G287" s="8"/>
      <c r="H287" s="8"/>
      <c r="I287" s="8">
        <v>8.56</v>
      </c>
      <c r="J287" s="8"/>
      <c r="K287" s="8">
        <v>24.5</v>
      </c>
      <c r="L287" s="8">
        <f t="shared" si="136"/>
        <v>2.8621495327102804</v>
      </c>
      <c r="M287" s="8"/>
      <c r="N287" s="67">
        <f t="shared" si="137"/>
        <v>0.24567200000000003</v>
      </c>
      <c r="O287" s="67">
        <f t="shared" si="138"/>
        <v>0.70314999999999994</v>
      </c>
      <c r="P287" s="67">
        <f t="shared" si="139"/>
        <v>8.2143691588785039E-2</v>
      </c>
      <c r="Q287" s="7" t="s">
        <v>35</v>
      </c>
      <c r="R287" s="7">
        <v>2.23</v>
      </c>
      <c r="S287" s="8"/>
      <c r="T287" s="8"/>
      <c r="U287" s="8"/>
      <c r="V287" s="13"/>
      <c r="W287" s="8"/>
      <c r="X287" s="8">
        <v>21.7</v>
      </c>
      <c r="Y287" s="8">
        <v>40.5</v>
      </c>
      <c r="Z287" s="8"/>
      <c r="AA287" s="8"/>
      <c r="AB287" s="8">
        <f t="shared" si="167"/>
        <v>0.53580246913580243</v>
      </c>
      <c r="AC287" s="8"/>
      <c r="AD287" s="67">
        <f t="shared" si="168"/>
        <v>0.48391000000000001</v>
      </c>
      <c r="AE287" s="67">
        <f t="shared" si="169"/>
        <v>0.90315000000000001</v>
      </c>
      <c r="AF287" s="67">
        <f t="shared" si="170"/>
        <v>1.1948395061728394E-2</v>
      </c>
      <c r="AG287" s="7" t="s">
        <v>35</v>
      </c>
      <c r="AH287" s="7">
        <v>3.79</v>
      </c>
      <c r="AI287" s="8"/>
      <c r="AJ287" s="8"/>
      <c r="AK287" s="8"/>
      <c r="AL287" s="13"/>
      <c r="AM287" s="8"/>
      <c r="AN287" s="8">
        <v>18</v>
      </c>
      <c r="AO287" s="8">
        <v>15.2</v>
      </c>
      <c r="AP287" s="8"/>
      <c r="AQ287" s="8"/>
      <c r="AR287" s="8"/>
      <c r="AS287" s="8">
        <f t="shared" si="144"/>
        <v>1.1842105263157896</v>
      </c>
      <c r="AT287" s="8"/>
      <c r="AU287" s="67">
        <f t="shared" si="145"/>
        <v>0.57607999999999993</v>
      </c>
      <c r="AV287" s="67">
        <f t="shared" si="146"/>
        <v>0.68220000000000003</v>
      </c>
      <c r="AW287" s="67">
        <f t="shared" si="147"/>
        <v>4.4881578947368432E-2</v>
      </c>
      <c r="AX287" s="7" t="s">
        <v>35</v>
      </c>
      <c r="AY287" s="7">
        <v>2.58</v>
      </c>
      <c r="AZ287" s="8"/>
      <c r="BA287" s="8"/>
      <c r="BB287" s="8"/>
      <c r="BC287" s="13"/>
      <c r="BD287" s="8"/>
      <c r="BE287" s="8">
        <v>28.2</v>
      </c>
      <c r="BF287" s="8">
        <v>20.6</v>
      </c>
      <c r="BG287" s="8"/>
      <c r="BH287" s="8"/>
      <c r="BI287" s="8"/>
      <c r="BJ287" s="8">
        <f t="shared" si="163"/>
        <v>1.3689320388349513</v>
      </c>
      <c r="BK287" s="8"/>
      <c r="BL287" s="67">
        <f t="shared" si="164"/>
        <v>0.53148000000000006</v>
      </c>
      <c r="BM287" s="67">
        <f t="shared" si="165"/>
        <v>0.72755999999999998</v>
      </c>
      <c r="BN287" s="67">
        <f t="shared" si="166"/>
        <v>3.5318446601941743E-2</v>
      </c>
    </row>
    <row r="288" spans="1:66" x14ac:dyDescent="0.3">
      <c r="A288" s="7" t="s">
        <v>16</v>
      </c>
      <c r="B288" s="2">
        <v>2.56</v>
      </c>
      <c r="I288" s="2">
        <v>10.9</v>
      </c>
      <c r="K288" s="2">
        <v>4.88</v>
      </c>
      <c r="L288" s="8">
        <f t="shared" si="136"/>
        <v>0.44770642201834859</v>
      </c>
      <c r="M288" s="8"/>
      <c r="N288" s="67">
        <f t="shared" si="137"/>
        <v>0.27904000000000001</v>
      </c>
      <c r="O288" s="67">
        <f t="shared" si="138"/>
        <v>0.12492800000000001</v>
      </c>
      <c r="P288" s="67">
        <f t="shared" si="139"/>
        <v>1.1461284403669725E-2</v>
      </c>
      <c r="Q288" s="7" t="s">
        <v>16</v>
      </c>
      <c r="R288" s="7">
        <v>3.65</v>
      </c>
      <c r="S288" s="8"/>
      <c r="T288" s="8"/>
      <c r="U288" s="8"/>
      <c r="V288" s="13"/>
      <c r="W288" s="8"/>
      <c r="X288" s="8">
        <v>0.83</v>
      </c>
      <c r="Y288" s="8">
        <v>20.5</v>
      </c>
      <c r="Z288" s="8"/>
      <c r="AA288" s="8"/>
      <c r="AB288" s="8">
        <f t="shared" si="167"/>
        <v>4.0487804878048782E-2</v>
      </c>
      <c r="AC288" s="8"/>
      <c r="AD288" s="67">
        <f t="shared" si="168"/>
        <v>3.0294999999999996E-2</v>
      </c>
      <c r="AE288" s="67">
        <f t="shared" si="169"/>
        <v>0.74825000000000008</v>
      </c>
      <c r="AF288" s="67">
        <f t="shared" si="170"/>
        <v>1.4778048780487805E-3</v>
      </c>
      <c r="AG288" s="7" t="s">
        <v>16</v>
      </c>
      <c r="AH288" s="7">
        <v>1.07</v>
      </c>
      <c r="AI288" s="8"/>
      <c r="AJ288" s="8"/>
      <c r="AK288" s="8"/>
      <c r="AL288" s="13"/>
      <c r="AM288" s="8"/>
      <c r="AN288" s="8">
        <v>7.58</v>
      </c>
      <c r="AO288" s="8">
        <v>24</v>
      </c>
      <c r="AP288" s="8"/>
      <c r="AQ288" s="8"/>
      <c r="AR288" s="8"/>
      <c r="AS288" s="8">
        <f t="shared" si="144"/>
        <v>0.31583333333333335</v>
      </c>
      <c r="AT288" s="8"/>
      <c r="AU288" s="67">
        <f t="shared" si="145"/>
        <v>0.25679999999999997</v>
      </c>
      <c r="AV288" s="67">
        <f t="shared" si="146"/>
        <v>8.1105999999999998E-2</v>
      </c>
      <c r="AW288" s="67">
        <f t="shared" si="147"/>
        <v>3.3794166666666669E-3</v>
      </c>
      <c r="AX288" s="7" t="s">
        <v>16</v>
      </c>
      <c r="AY288" s="7">
        <v>6.54</v>
      </c>
      <c r="AZ288" s="8"/>
      <c r="BA288" s="8"/>
      <c r="BB288" s="8"/>
      <c r="BC288" s="13"/>
      <c r="BD288" s="8"/>
      <c r="BE288" s="8">
        <v>1.81</v>
      </c>
      <c r="BF288" s="8">
        <v>21.6</v>
      </c>
      <c r="BG288" s="8"/>
      <c r="BH288" s="8"/>
      <c r="BI288" s="8"/>
      <c r="BJ288" s="8">
        <f t="shared" si="163"/>
        <v>8.3796296296296299E-2</v>
      </c>
      <c r="BK288" s="8"/>
      <c r="BL288" s="67">
        <f t="shared" si="164"/>
        <v>1.4126400000000001</v>
      </c>
      <c r="BM288" s="67">
        <f t="shared" si="165"/>
        <v>0.11837400000000001</v>
      </c>
      <c r="BN288" s="67">
        <f t="shared" si="166"/>
        <v>5.4802777777777775E-3</v>
      </c>
    </row>
    <row r="289" spans="1:66" x14ac:dyDescent="0.3">
      <c r="A289" s="7" t="s">
        <v>13</v>
      </c>
      <c r="B289" s="7">
        <v>2.93</v>
      </c>
      <c r="C289" s="8"/>
      <c r="D289" s="8"/>
      <c r="E289" s="8"/>
      <c r="F289" s="13"/>
      <c r="G289" s="8"/>
      <c r="H289" s="8"/>
      <c r="I289" s="8">
        <v>18.3</v>
      </c>
      <c r="K289" s="8">
        <v>1.92</v>
      </c>
      <c r="L289" s="8">
        <f t="shared" si="136"/>
        <v>0.10491803278688523</v>
      </c>
      <c r="M289" s="8"/>
      <c r="N289" s="67">
        <f t="shared" si="137"/>
        <v>0.53619000000000006</v>
      </c>
      <c r="O289" s="67">
        <f t="shared" si="138"/>
        <v>5.6256E-2</v>
      </c>
      <c r="P289" s="67">
        <f t="shared" si="139"/>
        <v>3.0740983606557374E-3</v>
      </c>
      <c r="Q289" s="7" t="s">
        <v>13</v>
      </c>
      <c r="R289" s="7">
        <v>4.83</v>
      </c>
      <c r="S289" s="8"/>
      <c r="T289" s="8"/>
      <c r="U289" s="8"/>
      <c r="V289" s="13"/>
      <c r="W289" s="8"/>
      <c r="X289" s="8">
        <v>2.68</v>
      </c>
      <c r="Y289" s="8">
        <v>41.2</v>
      </c>
      <c r="Z289" s="10"/>
      <c r="AA289" s="10"/>
      <c r="AB289" s="8">
        <f t="shared" si="167"/>
        <v>6.5048543689320393E-2</v>
      </c>
      <c r="AC289" s="8"/>
      <c r="AD289" s="67">
        <f t="shared" si="168"/>
        <v>0.129444</v>
      </c>
      <c r="AE289" s="67">
        <f t="shared" si="169"/>
        <v>1.9899600000000002</v>
      </c>
      <c r="AF289" s="67">
        <f t="shared" si="170"/>
        <v>3.1418446601941753E-3</v>
      </c>
      <c r="AG289" s="7" t="s">
        <v>13</v>
      </c>
      <c r="AH289" s="7">
        <v>3.22</v>
      </c>
      <c r="AI289" s="8"/>
      <c r="AJ289" s="8"/>
      <c r="AK289" s="8"/>
      <c r="AL289" s="13"/>
      <c r="AM289" s="8"/>
      <c r="AN289" s="8">
        <v>1.78</v>
      </c>
      <c r="AO289" s="8">
        <v>22.9</v>
      </c>
      <c r="AP289" s="8"/>
      <c r="AQ289" s="8"/>
      <c r="AR289" s="8"/>
      <c r="AS289" s="8">
        <f t="shared" si="144"/>
        <v>7.7729257641921401E-2</v>
      </c>
      <c r="AT289" s="8"/>
      <c r="AU289" s="67">
        <f t="shared" si="145"/>
        <v>0.73738000000000004</v>
      </c>
      <c r="AV289" s="67">
        <f t="shared" si="146"/>
        <v>5.7316000000000006E-2</v>
      </c>
      <c r="AW289" s="67">
        <f t="shared" si="147"/>
        <v>2.5028820960698696E-3</v>
      </c>
      <c r="AX289" s="7" t="s">
        <v>13</v>
      </c>
      <c r="AY289" s="7">
        <v>7.03</v>
      </c>
      <c r="AZ289" s="8"/>
      <c r="BA289" s="8"/>
      <c r="BB289" s="8"/>
      <c r="BC289" s="13"/>
      <c r="BD289" s="8"/>
      <c r="BE289" s="8">
        <v>1.7</v>
      </c>
      <c r="BF289" s="8">
        <v>33.5</v>
      </c>
      <c r="BG289" s="8"/>
      <c r="BH289" s="8"/>
      <c r="BI289" s="8"/>
      <c r="BJ289" s="8">
        <f t="shared" si="163"/>
        <v>5.0746268656716415E-2</v>
      </c>
      <c r="BK289" s="8"/>
      <c r="BL289" s="67">
        <f t="shared" si="164"/>
        <v>2.3550499999999999</v>
      </c>
      <c r="BM289" s="67">
        <f t="shared" si="165"/>
        <v>0.11951000000000001</v>
      </c>
      <c r="BN289" s="67">
        <f t="shared" si="166"/>
        <v>3.5674626865671638E-3</v>
      </c>
    </row>
    <row r="290" spans="1:66" x14ac:dyDescent="0.3">
      <c r="A290" s="7" t="s">
        <v>15</v>
      </c>
      <c r="B290" s="7">
        <v>4.41</v>
      </c>
      <c r="C290" s="8"/>
      <c r="D290" s="8"/>
      <c r="E290" s="8"/>
      <c r="F290" s="13"/>
      <c r="G290" s="8"/>
      <c r="H290" s="8"/>
      <c r="I290" s="8">
        <v>14.3</v>
      </c>
      <c r="J290" s="8"/>
      <c r="K290" s="8">
        <v>0.45</v>
      </c>
      <c r="L290" s="8">
        <f t="shared" si="136"/>
        <v>3.1468531468531465E-2</v>
      </c>
      <c r="M290" s="8"/>
      <c r="N290" s="67">
        <f t="shared" si="137"/>
        <v>0.63063000000000002</v>
      </c>
      <c r="O290" s="67">
        <f t="shared" si="138"/>
        <v>1.9845000000000002E-2</v>
      </c>
      <c r="P290" s="67">
        <f t="shared" si="139"/>
        <v>1.3877622377622375E-3</v>
      </c>
      <c r="Q290" s="7" t="s">
        <v>15</v>
      </c>
      <c r="R290" s="7">
        <v>1.6</v>
      </c>
      <c r="S290" s="8"/>
      <c r="T290" s="8"/>
      <c r="U290" s="8"/>
      <c r="V290" s="13"/>
      <c r="W290" s="8"/>
      <c r="X290" s="8">
        <v>1.47</v>
      </c>
      <c r="Y290" s="8">
        <v>45.2</v>
      </c>
      <c r="Z290" s="10"/>
      <c r="AA290" s="10"/>
      <c r="AB290" s="8">
        <f t="shared" si="167"/>
        <v>3.2522123893805308E-2</v>
      </c>
      <c r="AC290" s="8"/>
      <c r="AD290" s="67">
        <f t="shared" si="168"/>
        <v>2.3519999999999999E-2</v>
      </c>
      <c r="AE290" s="67">
        <f t="shared" si="169"/>
        <v>0.72320000000000007</v>
      </c>
      <c r="AF290" s="67">
        <f t="shared" si="170"/>
        <v>5.2035398230088493E-4</v>
      </c>
      <c r="AG290" s="7" t="s">
        <v>15</v>
      </c>
      <c r="AH290" s="7">
        <v>5.33</v>
      </c>
      <c r="AI290" s="8"/>
      <c r="AJ290" s="8"/>
      <c r="AK290" s="8"/>
      <c r="AL290" s="13"/>
      <c r="AM290" s="8"/>
      <c r="AN290" s="8">
        <v>0.44</v>
      </c>
      <c r="AO290" s="8">
        <v>27.1</v>
      </c>
      <c r="AP290" s="8"/>
      <c r="AQ290" s="8"/>
      <c r="AR290" s="8"/>
      <c r="AS290" s="8">
        <f t="shared" si="144"/>
        <v>1.6236162361623615E-2</v>
      </c>
      <c r="AT290" s="8"/>
      <c r="AU290" s="67">
        <f t="shared" si="145"/>
        <v>1.4444300000000001</v>
      </c>
      <c r="AV290" s="67">
        <f t="shared" si="146"/>
        <v>2.3452000000000001E-2</v>
      </c>
      <c r="AW290" s="67">
        <f t="shared" si="147"/>
        <v>8.6538745387453877E-4</v>
      </c>
      <c r="AX290" s="7" t="s">
        <v>15</v>
      </c>
      <c r="AY290" s="7">
        <v>8.83</v>
      </c>
      <c r="AZ290" s="8"/>
      <c r="BA290" s="8"/>
      <c r="BB290" s="8"/>
      <c r="BC290" s="13"/>
      <c r="BD290" s="8"/>
      <c r="BE290" s="8">
        <v>0.67</v>
      </c>
      <c r="BF290" s="8">
        <v>35.700000000000003</v>
      </c>
      <c r="BG290" s="8"/>
      <c r="BH290" s="8"/>
      <c r="BI290" s="8"/>
      <c r="BJ290" s="8">
        <f t="shared" si="163"/>
        <v>1.876750700280112E-2</v>
      </c>
      <c r="BK290" s="8"/>
      <c r="BL290" s="67">
        <f t="shared" si="164"/>
        <v>3.1523100000000004</v>
      </c>
      <c r="BM290" s="67">
        <f t="shared" si="165"/>
        <v>5.9160999999999998E-2</v>
      </c>
      <c r="BN290" s="67">
        <f t="shared" si="166"/>
        <v>1.6571708683473388E-3</v>
      </c>
    </row>
    <row r="291" spans="1:66" ht="27.6" x14ac:dyDescent="0.3">
      <c r="A291" s="7" t="s">
        <v>36</v>
      </c>
      <c r="B291" s="7">
        <v>5.81</v>
      </c>
      <c r="C291" s="8"/>
      <c r="D291" s="8"/>
      <c r="E291" s="8"/>
      <c r="F291" s="13"/>
      <c r="G291" s="8"/>
      <c r="H291" s="8"/>
      <c r="I291" s="8">
        <v>44.4</v>
      </c>
      <c r="J291" s="8"/>
      <c r="K291" s="8">
        <v>8.5399999999999991</v>
      </c>
      <c r="L291" s="8">
        <f t="shared" si="136"/>
        <v>0.19234234234234232</v>
      </c>
      <c r="M291" s="8"/>
      <c r="N291" s="67">
        <f t="shared" si="137"/>
        <v>2.5796399999999999</v>
      </c>
      <c r="O291" s="67">
        <f t="shared" si="138"/>
        <v>0.49617399999999989</v>
      </c>
      <c r="P291" s="67">
        <f t="shared" si="139"/>
        <v>1.1175090090090087E-2</v>
      </c>
      <c r="Q291" s="7" t="s">
        <v>36</v>
      </c>
      <c r="R291" s="7">
        <v>5.08</v>
      </c>
      <c r="S291" s="8"/>
      <c r="T291" s="8"/>
      <c r="U291" s="8"/>
      <c r="V291" s="13"/>
      <c r="W291" s="8"/>
      <c r="X291" s="8">
        <v>7.92</v>
      </c>
      <c r="Y291" s="8">
        <v>30</v>
      </c>
      <c r="Z291" s="10"/>
      <c r="AA291" s="10"/>
      <c r="AB291" s="8">
        <f t="shared" si="167"/>
        <v>0.26400000000000001</v>
      </c>
      <c r="AC291" s="8"/>
      <c r="AD291" s="67">
        <f>X291*R291/100</f>
        <v>0.40233600000000003</v>
      </c>
      <c r="AE291" s="67">
        <f t="shared" si="169"/>
        <v>1.524</v>
      </c>
      <c r="AF291" s="67">
        <f t="shared" si="170"/>
        <v>1.3411200000000002E-2</v>
      </c>
      <c r="AG291" s="7" t="s">
        <v>36</v>
      </c>
      <c r="AH291" s="7">
        <v>2.7</v>
      </c>
      <c r="AI291" s="8"/>
      <c r="AJ291" s="8"/>
      <c r="AK291" s="8"/>
      <c r="AL291" s="13"/>
      <c r="AM291" s="8"/>
      <c r="AN291" s="8">
        <v>15.7</v>
      </c>
      <c r="AO291" s="8">
        <v>20.3</v>
      </c>
      <c r="AP291" s="8"/>
      <c r="AQ291" s="8"/>
      <c r="AR291" s="8"/>
      <c r="AS291" s="8">
        <f t="shared" si="144"/>
        <v>0.77339901477832507</v>
      </c>
      <c r="AT291" s="8"/>
      <c r="AU291" s="67">
        <f t="shared" si="145"/>
        <v>0.54810000000000003</v>
      </c>
      <c r="AV291" s="67">
        <f t="shared" si="146"/>
        <v>0.4239</v>
      </c>
      <c r="AW291" s="67">
        <f t="shared" si="147"/>
        <v>2.0881773399014779E-2</v>
      </c>
      <c r="AX291" s="7" t="s">
        <v>36</v>
      </c>
      <c r="AY291" s="7">
        <v>3.65</v>
      </c>
      <c r="AZ291" s="8"/>
      <c r="BA291" s="8"/>
      <c r="BB291" s="8"/>
      <c r="BC291" s="13"/>
      <c r="BD291" s="8"/>
      <c r="BE291" s="8">
        <v>22.1</v>
      </c>
      <c r="BF291" s="8">
        <v>24.1</v>
      </c>
      <c r="BG291" s="8"/>
      <c r="BH291" s="8"/>
      <c r="BI291" s="8"/>
      <c r="BJ291" s="8">
        <f t="shared" si="163"/>
        <v>0.91701244813278004</v>
      </c>
      <c r="BK291" s="8"/>
      <c r="BL291" s="67">
        <f t="shared" si="164"/>
        <v>0.87965000000000004</v>
      </c>
      <c r="BM291" s="67">
        <f t="shared" si="165"/>
        <v>0.80665000000000009</v>
      </c>
      <c r="BN291" s="67">
        <f t="shared" si="166"/>
        <v>3.3470954356846466E-2</v>
      </c>
    </row>
    <row r="292" spans="1:66" x14ac:dyDescent="0.3">
      <c r="N292" s="69"/>
      <c r="O292" s="69"/>
      <c r="P292" s="69"/>
      <c r="AD292" s="69"/>
      <c r="AE292" s="69"/>
      <c r="AF292" s="69"/>
      <c r="AU292" s="69"/>
      <c r="AV292" s="69"/>
      <c r="AW292" s="69"/>
      <c r="BL292" s="69"/>
      <c r="BM292" s="69"/>
      <c r="BN292" s="69"/>
    </row>
    <row r="293" spans="1:66" x14ac:dyDescent="0.3">
      <c r="N293" s="69"/>
      <c r="O293" s="69"/>
      <c r="P293" s="69"/>
      <c r="AD293" s="69"/>
      <c r="AE293" s="69"/>
      <c r="AF293" s="69"/>
      <c r="AU293" s="69"/>
      <c r="AV293" s="69"/>
      <c r="AW293" s="69"/>
      <c r="BL293" s="69"/>
      <c r="BM293" s="69"/>
      <c r="BN293" s="69"/>
    </row>
    <row r="294" spans="1:66" x14ac:dyDescent="0.3">
      <c r="A294" s="22" t="s">
        <v>40</v>
      </c>
      <c r="B294" s="70">
        <v>5.37</v>
      </c>
      <c r="C294" s="8"/>
      <c r="D294" s="8"/>
      <c r="E294" s="8"/>
      <c r="F294" s="13"/>
      <c r="G294" s="8"/>
      <c r="H294" s="8"/>
      <c r="I294" s="8">
        <v>0.74</v>
      </c>
      <c r="J294" s="9"/>
      <c r="K294" s="10">
        <v>3.2</v>
      </c>
      <c r="L294" s="8">
        <f>K294/I294</f>
        <v>4.3243243243243246</v>
      </c>
      <c r="M294" s="8"/>
      <c r="N294" s="67">
        <f>I294*B294/100</f>
        <v>3.9738000000000002E-2</v>
      </c>
      <c r="O294" s="67">
        <f>K294*B294/100</f>
        <v>0.17184000000000002</v>
      </c>
      <c r="P294" s="67">
        <f t="shared" ref="P294:P322" si="171">L294*B294/100</f>
        <v>0.23221621621621621</v>
      </c>
      <c r="Q294" s="22" t="s">
        <v>40</v>
      </c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0"/>
      <c r="AC294" s="8"/>
      <c r="AD294" s="67"/>
      <c r="AE294" s="67"/>
      <c r="AF294" s="67"/>
      <c r="AG294" s="22" t="s">
        <v>40</v>
      </c>
      <c r="AH294" s="62"/>
      <c r="AI294" s="62"/>
      <c r="AJ294" s="62"/>
      <c r="AK294" s="62"/>
      <c r="AL294" s="63"/>
      <c r="AM294" s="62"/>
      <c r="AN294" s="62"/>
      <c r="AO294" s="62"/>
      <c r="AP294" s="65"/>
      <c r="AQ294" s="65"/>
      <c r="AR294" s="62"/>
      <c r="AS294" s="60"/>
      <c r="AT294" s="60"/>
      <c r="AU294" s="60"/>
      <c r="AV294" s="60"/>
      <c r="AW294" s="60"/>
      <c r="AX294" s="22" t="s">
        <v>40</v>
      </c>
      <c r="AY294" s="62"/>
      <c r="AZ294" s="62"/>
      <c r="BA294" s="62"/>
      <c r="BB294" s="62"/>
      <c r="BC294" s="63"/>
      <c r="BD294" s="62"/>
      <c r="BE294" s="62"/>
      <c r="BF294" s="62"/>
      <c r="BG294" s="71"/>
      <c r="BH294" s="65"/>
      <c r="BI294" s="62"/>
      <c r="BJ294" s="60"/>
      <c r="BK294" s="60"/>
      <c r="BL294" s="60"/>
      <c r="BM294" s="60"/>
      <c r="BN294" s="60"/>
    </row>
    <row r="295" spans="1:66" x14ac:dyDescent="0.3">
      <c r="A295" s="22" t="s">
        <v>42</v>
      </c>
      <c r="B295" s="70">
        <v>2.2400000000000002</v>
      </c>
      <c r="C295" s="8"/>
      <c r="D295" s="8"/>
      <c r="E295" s="8"/>
      <c r="F295" s="13"/>
      <c r="G295" s="8"/>
      <c r="H295" s="8"/>
      <c r="I295" s="85"/>
      <c r="J295" s="88"/>
      <c r="K295" s="87"/>
      <c r="L295" s="85"/>
      <c r="M295" s="85"/>
      <c r="N295" s="86"/>
      <c r="O295" s="86"/>
      <c r="P295" s="86"/>
      <c r="Q295" s="22" t="s">
        <v>42</v>
      </c>
      <c r="R295" s="7">
        <v>2.67</v>
      </c>
      <c r="S295" s="9"/>
      <c r="T295" s="9"/>
      <c r="U295" s="9"/>
      <c r="V295" s="9"/>
      <c r="W295" s="9"/>
      <c r="X295" s="9">
        <v>4.0199999999999996</v>
      </c>
      <c r="Y295" s="9">
        <v>3.19</v>
      </c>
      <c r="Z295" s="9"/>
      <c r="AA295" s="9"/>
      <c r="AB295" s="8">
        <f t="shared" ref="AB295:AB302" si="172">X295/Y295</f>
        <v>1.2601880877742946</v>
      </c>
      <c r="AC295" s="8"/>
      <c r="AD295" s="67">
        <f>X295*R295/100</f>
        <v>0.10733399999999998</v>
      </c>
      <c r="AE295" s="67">
        <f>Y295*R295/100</f>
        <v>8.5172999999999985E-2</v>
      </c>
      <c r="AF295" s="67">
        <f t="shared" ref="AF295:AF302" si="173">AB295*R295/100</f>
        <v>3.3647021943573663E-2</v>
      </c>
      <c r="AG295" s="22" t="s">
        <v>42</v>
      </c>
      <c r="AH295" s="9">
        <v>1.97</v>
      </c>
      <c r="AI295" s="9"/>
      <c r="AJ295" s="9"/>
      <c r="AK295" s="9"/>
      <c r="AL295" s="11"/>
      <c r="AM295" s="9"/>
      <c r="AN295" s="9">
        <v>13.3</v>
      </c>
      <c r="AO295" s="9">
        <v>1.85</v>
      </c>
      <c r="AP295" s="10"/>
      <c r="AQ295" s="10"/>
      <c r="AR295" s="9"/>
      <c r="AS295" s="8">
        <f>AN295/AO295</f>
        <v>7.1891891891891895</v>
      </c>
      <c r="AT295" s="9"/>
      <c r="AU295" s="67">
        <f>AH295*AO295/100</f>
        <v>3.6445000000000005E-2</v>
      </c>
      <c r="AV295" s="67">
        <f>AN295*AH295/100</f>
        <v>0.26201000000000002</v>
      </c>
      <c r="AW295" s="67">
        <f t="shared" ref="AW295:AW316" si="174">AS295*AH295/100</f>
        <v>0.14162702702702704</v>
      </c>
      <c r="AX295" s="22" t="s">
        <v>42</v>
      </c>
      <c r="AY295" s="9">
        <v>2.08</v>
      </c>
      <c r="AZ295" s="9"/>
      <c r="BA295" s="9"/>
      <c r="BB295" s="9"/>
      <c r="BC295" s="11"/>
      <c r="BD295" s="9"/>
      <c r="BE295" s="9">
        <v>20</v>
      </c>
      <c r="BF295" s="9">
        <v>1.79</v>
      </c>
      <c r="BG295" s="12"/>
      <c r="BH295" s="10"/>
      <c r="BI295" s="9"/>
      <c r="BJ295" s="8">
        <f>BE295/BF295</f>
        <v>11.173184357541899</v>
      </c>
      <c r="BK295" s="9"/>
      <c r="BL295" s="67">
        <f>BF295*AY295/100</f>
        <v>3.7232000000000001E-2</v>
      </c>
      <c r="BM295" s="67">
        <f>BE295*AY295/100</f>
        <v>0.41600000000000004</v>
      </c>
      <c r="BN295" s="67">
        <f t="shared" ref="BN295:BN316" si="175">BJ295*AY295/100</f>
        <v>0.23240223463687151</v>
      </c>
    </row>
    <row r="296" spans="1:66" x14ac:dyDescent="0.3">
      <c r="A296" s="22" t="s">
        <v>45</v>
      </c>
      <c r="B296" s="70">
        <v>3.7</v>
      </c>
      <c r="C296" s="8"/>
      <c r="D296" s="8"/>
      <c r="E296" s="8"/>
      <c r="F296" s="13"/>
      <c r="G296" s="8"/>
      <c r="H296" s="8"/>
      <c r="I296" s="8">
        <v>1.64</v>
      </c>
      <c r="J296" s="9"/>
      <c r="K296" s="10">
        <v>12.8</v>
      </c>
      <c r="L296" s="8">
        <f t="shared" ref="L296:L322" si="176">K296/I296</f>
        <v>7.8048780487804885</v>
      </c>
      <c r="M296" s="8"/>
      <c r="N296" s="67">
        <f t="shared" ref="N296:N330" si="177">I296*B296/100</f>
        <v>6.0679999999999998E-2</v>
      </c>
      <c r="O296" s="67">
        <f t="shared" ref="O296:O330" si="178">K296*B296/100</f>
        <v>0.47360000000000008</v>
      </c>
      <c r="P296" s="67">
        <f t="shared" si="171"/>
        <v>0.28878048780487808</v>
      </c>
      <c r="Q296" s="22" t="s">
        <v>45</v>
      </c>
      <c r="R296" s="9">
        <v>1.92</v>
      </c>
      <c r="S296" s="8"/>
      <c r="T296" s="8"/>
      <c r="U296" s="8"/>
      <c r="V296" s="13"/>
      <c r="W296" s="8"/>
      <c r="X296" s="8">
        <v>3.99</v>
      </c>
      <c r="Y296" s="8">
        <v>3.9</v>
      </c>
      <c r="Z296" s="10"/>
      <c r="AA296" s="10"/>
      <c r="AB296" s="8">
        <f t="shared" si="172"/>
        <v>1.0230769230769232</v>
      </c>
      <c r="AC296" s="8"/>
      <c r="AD296" s="67">
        <f t="shared" ref="AD296:AD319" si="179">X296*R296/100</f>
        <v>7.6607999999999996E-2</v>
      </c>
      <c r="AE296" s="67">
        <f t="shared" ref="AE296:AE319" si="180">Y296*R296/100</f>
        <v>7.4880000000000002E-2</v>
      </c>
      <c r="AF296" s="67">
        <f t="shared" si="173"/>
        <v>1.9643076923076926E-2</v>
      </c>
      <c r="AG296" s="22" t="s">
        <v>45</v>
      </c>
      <c r="AH296" s="9">
        <v>1.86</v>
      </c>
      <c r="AI296" s="9"/>
      <c r="AJ296" s="9"/>
      <c r="AK296" s="9"/>
      <c r="AL296" s="11"/>
      <c r="AM296" s="9"/>
      <c r="AN296" s="9">
        <v>15.3</v>
      </c>
      <c r="AO296" s="9">
        <v>2.4700000000000002</v>
      </c>
      <c r="AP296" s="10"/>
      <c r="AQ296" s="10"/>
      <c r="AR296" s="9"/>
      <c r="AS296" s="8">
        <f t="shared" ref="AS296:AS316" si="181">AN296/AO296</f>
        <v>6.1943319838056681</v>
      </c>
      <c r="AT296" s="9"/>
      <c r="AU296" s="67">
        <f t="shared" ref="AU296:AU316" si="182">AH296*AO296/100</f>
        <v>4.5942000000000011E-2</v>
      </c>
      <c r="AV296" s="67">
        <f t="shared" ref="AV296:AV316" si="183">AN296*AH296/100</f>
        <v>0.28458</v>
      </c>
      <c r="AW296" s="67">
        <f t="shared" si="174"/>
        <v>0.11521457489878544</v>
      </c>
      <c r="AX296" s="22" t="s">
        <v>45</v>
      </c>
      <c r="AY296" s="9">
        <v>3.81</v>
      </c>
      <c r="AZ296" s="9"/>
      <c r="BA296" s="9"/>
      <c r="BB296" s="9"/>
      <c r="BC296" s="11"/>
      <c r="BD296" s="9"/>
      <c r="BE296" s="9">
        <v>21.5</v>
      </c>
      <c r="BF296" s="9">
        <v>2.34</v>
      </c>
      <c r="BG296" s="12"/>
      <c r="BH296" s="10"/>
      <c r="BI296" s="9"/>
      <c r="BJ296" s="8">
        <f t="shared" ref="BJ296:BJ318" si="184">BE296/BF296</f>
        <v>9.1880341880341891</v>
      </c>
      <c r="BK296" s="9"/>
      <c r="BL296" s="67">
        <f t="shared" ref="BL296:BL316" si="185">BF296*AY296/100</f>
        <v>8.9153999999999997E-2</v>
      </c>
      <c r="BM296" s="67">
        <f t="shared" ref="BM296:BM316" si="186">BE296*AY296/100</f>
        <v>0.81915000000000004</v>
      </c>
      <c r="BN296" s="67">
        <f t="shared" si="175"/>
        <v>0.35006410256410264</v>
      </c>
    </row>
    <row r="297" spans="1:66" x14ac:dyDescent="0.3">
      <c r="A297" s="22" t="s">
        <v>46</v>
      </c>
      <c r="B297" s="70">
        <v>6.1</v>
      </c>
      <c r="C297" s="8"/>
      <c r="D297" s="8"/>
      <c r="E297" s="8"/>
      <c r="F297" s="13"/>
      <c r="G297" s="8"/>
      <c r="H297" s="8"/>
      <c r="I297" s="85"/>
      <c r="J297" s="88"/>
      <c r="K297" s="87"/>
      <c r="L297" s="85"/>
      <c r="M297" s="85"/>
      <c r="N297" s="86"/>
      <c r="O297" s="86"/>
      <c r="P297" s="86"/>
      <c r="Q297" s="22" t="s">
        <v>46</v>
      </c>
      <c r="R297" s="7">
        <v>2.48</v>
      </c>
      <c r="S297" s="8"/>
      <c r="T297" s="8"/>
      <c r="U297" s="8"/>
      <c r="V297" s="13"/>
      <c r="W297" s="8"/>
      <c r="X297" s="8">
        <v>3.12</v>
      </c>
      <c r="Y297" s="8">
        <v>4.8099999999999996</v>
      </c>
      <c r="Z297" s="10"/>
      <c r="AA297" s="10"/>
      <c r="AB297" s="8">
        <f t="shared" si="172"/>
        <v>0.64864864864864868</v>
      </c>
      <c r="AC297" s="8"/>
      <c r="AD297" s="67">
        <f t="shared" si="179"/>
        <v>7.7376E-2</v>
      </c>
      <c r="AE297" s="67">
        <f t="shared" si="180"/>
        <v>0.11928799999999999</v>
      </c>
      <c r="AF297" s="67">
        <f t="shared" si="173"/>
        <v>1.6086486486486487E-2</v>
      </c>
      <c r="AG297" s="22" t="s">
        <v>46</v>
      </c>
      <c r="AH297" s="9">
        <v>1.95</v>
      </c>
      <c r="AI297" s="9"/>
      <c r="AJ297" s="9"/>
      <c r="AK297" s="9"/>
      <c r="AL297" s="11"/>
      <c r="AM297" s="9"/>
      <c r="AN297" s="9">
        <v>21.8</v>
      </c>
      <c r="AO297" s="9">
        <v>2.44</v>
      </c>
      <c r="AP297" s="10"/>
      <c r="AQ297" s="10"/>
      <c r="AR297" s="9"/>
      <c r="AS297" s="8">
        <f t="shared" si="181"/>
        <v>8.9344262295081975</v>
      </c>
      <c r="AT297" s="9"/>
      <c r="AU297" s="67">
        <f t="shared" si="182"/>
        <v>4.7579999999999997E-2</v>
      </c>
      <c r="AV297" s="67">
        <f t="shared" si="183"/>
        <v>0.42509999999999998</v>
      </c>
      <c r="AW297" s="67">
        <f t="shared" si="174"/>
        <v>0.17422131147540984</v>
      </c>
      <c r="AX297" s="22" t="s">
        <v>46</v>
      </c>
      <c r="AY297" s="9">
        <v>2.12</v>
      </c>
      <c r="AZ297" s="9"/>
      <c r="BA297" s="9"/>
      <c r="BB297" s="9"/>
      <c r="BC297" s="11"/>
      <c r="BD297" s="9"/>
      <c r="BE297" s="88"/>
      <c r="BF297" s="88"/>
      <c r="BG297" s="90"/>
      <c r="BH297" s="87"/>
      <c r="BI297" s="88"/>
      <c r="BJ297" s="85"/>
      <c r="BK297" s="88"/>
      <c r="BL297" s="86"/>
      <c r="BM297" s="86"/>
      <c r="BN297" s="86"/>
    </row>
    <row r="298" spans="1:66" x14ac:dyDescent="0.3">
      <c r="A298" s="22" t="s">
        <v>47</v>
      </c>
      <c r="B298" s="70">
        <v>9.25</v>
      </c>
      <c r="C298" s="8"/>
      <c r="D298" s="8"/>
      <c r="E298" s="8"/>
      <c r="F298" s="13"/>
      <c r="G298" s="8"/>
      <c r="H298" s="8"/>
      <c r="I298" s="8">
        <v>1.35</v>
      </c>
      <c r="J298" s="9"/>
      <c r="K298" s="10">
        <v>6.02</v>
      </c>
      <c r="L298" s="8">
        <f t="shared" si="176"/>
        <v>4.4592592592592588</v>
      </c>
      <c r="M298" s="8"/>
      <c r="N298" s="67">
        <f t="shared" si="177"/>
        <v>0.12487500000000001</v>
      </c>
      <c r="O298" s="67">
        <f t="shared" si="178"/>
        <v>0.55684999999999996</v>
      </c>
      <c r="P298" s="67">
        <f t="shared" si="171"/>
        <v>0.41248148148148145</v>
      </c>
      <c r="Q298" s="22" t="s">
        <v>47</v>
      </c>
      <c r="R298" s="7">
        <v>3.78</v>
      </c>
      <c r="S298" s="8"/>
      <c r="T298" s="8"/>
      <c r="U298" s="8"/>
      <c r="V298" s="13"/>
      <c r="W298" s="8"/>
      <c r="X298" s="8">
        <v>2.44</v>
      </c>
      <c r="Y298" s="8">
        <v>5.45</v>
      </c>
      <c r="Z298" s="10"/>
      <c r="AA298" s="10"/>
      <c r="AB298" s="8">
        <f t="shared" si="172"/>
        <v>0.44770642201834859</v>
      </c>
      <c r="AC298" s="8"/>
      <c r="AD298" s="67">
        <f t="shared" si="179"/>
        <v>9.2231999999999981E-2</v>
      </c>
      <c r="AE298" s="67">
        <f t="shared" si="180"/>
        <v>0.20601</v>
      </c>
      <c r="AF298" s="67">
        <f t="shared" si="173"/>
        <v>1.6923302752293576E-2</v>
      </c>
      <c r="AG298" s="22" t="s">
        <v>47</v>
      </c>
      <c r="AH298" s="9">
        <v>2.2200000000000002</v>
      </c>
      <c r="AI298" s="9"/>
      <c r="AJ298" s="9"/>
      <c r="AK298" s="9"/>
      <c r="AL298" s="11"/>
      <c r="AM298" s="9"/>
      <c r="AN298" s="88"/>
      <c r="AO298" s="88"/>
      <c r="AP298" s="87"/>
      <c r="AQ298" s="87"/>
      <c r="AR298" s="88"/>
      <c r="AS298" s="85"/>
      <c r="AT298" s="88"/>
      <c r="AU298" s="86"/>
      <c r="AV298" s="86"/>
      <c r="AW298" s="86"/>
      <c r="AX298" s="22" t="s">
        <v>47</v>
      </c>
      <c r="AY298" s="9">
        <v>2.98</v>
      </c>
      <c r="AZ298" s="9"/>
      <c r="BA298" s="9"/>
      <c r="BB298" s="9"/>
      <c r="BC298" s="11"/>
      <c r="BD298" s="9"/>
      <c r="BE298" s="9">
        <v>24.4</v>
      </c>
      <c r="BF298" s="9">
        <v>8.09</v>
      </c>
      <c r="BG298" s="12"/>
      <c r="BH298" s="10"/>
      <c r="BI298" s="9"/>
      <c r="BJ298" s="8">
        <f t="shared" si="184"/>
        <v>3.0160692212608158</v>
      </c>
      <c r="BK298" s="9"/>
      <c r="BL298" s="67">
        <f t="shared" si="185"/>
        <v>0.24108199999999999</v>
      </c>
      <c r="BM298" s="67">
        <f t="shared" si="186"/>
        <v>0.72711999999999988</v>
      </c>
      <c r="BN298" s="67">
        <f t="shared" si="175"/>
        <v>8.9878862793572309E-2</v>
      </c>
    </row>
    <row r="299" spans="1:66" x14ac:dyDescent="0.3">
      <c r="A299" s="22" t="s">
        <v>52</v>
      </c>
      <c r="B299" s="70">
        <v>7.89</v>
      </c>
      <c r="C299" s="8"/>
      <c r="D299" s="8"/>
      <c r="E299" s="8"/>
      <c r="F299" s="13"/>
      <c r="G299" s="8"/>
      <c r="H299" s="8"/>
      <c r="I299" s="85"/>
      <c r="J299" s="88"/>
      <c r="K299" s="87"/>
      <c r="L299" s="85"/>
      <c r="M299" s="85"/>
      <c r="N299" s="86"/>
      <c r="O299" s="86"/>
      <c r="P299" s="86"/>
      <c r="Q299" s="22" t="s">
        <v>52</v>
      </c>
      <c r="R299" s="7">
        <v>5.31</v>
      </c>
      <c r="S299" s="8"/>
      <c r="T299" s="8"/>
      <c r="U299" s="8"/>
      <c r="V299" s="13"/>
      <c r="W299" s="8"/>
      <c r="X299" s="8">
        <v>2.09</v>
      </c>
      <c r="Y299" s="8">
        <v>21.7</v>
      </c>
      <c r="Z299" s="10"/>
      <c r="AA299" s="10"/>
      <c r="AB299" s="8">
        <f t="shared" si="172"/>
        <v>9.6313364055299541E-2</v>
      </c>
      <c r="AC299" s="8"/>
      <c r="AD299" s="67">
        <f t="shared" si="179"/>
        <v>0.11097899999999999</v>
      </c>
      <c r="AE299" s="67">
        <f t="shared" si="180"/>
        <v>1.1522699999999999</v>
      </c>
      <c r="AF299" s="67">
        <f t="shared" si="173"/>
        <v>5.1142396313364055E-3</v>
      </c>
      <c r="AG299" s="22" t="s">
        <v>52</v>
      </c>
      <c r="AH299" s="9">
        <v>2.95</v>
      </c>
      <c r="AI299" s="9"/>
      <c r="AJ299" s="9"/>
      <c r="AK299" s="9"/>
      <c r="AL299" s="11"/>
      <c r="AM299" s="9"/>
      <c r="AN299" s="88"/>
      <c r="AO299" s="88"/>
      <c r="AP299" s="87"/>
      <c r="AQ299" s="87"/>
      <c r="AR299" s="88"/>
      <c r="AS299" s="85"/>
      <c r="AT299" s="88"/>
      <c r="AU299" s="86"/>
      <c r="AV299" s="86"/>
      <c r="AW299" s="86"/>
      <c r="AX299" s="22" t="s">
        <v>52</v>
      </c>
      <c r="AY299" s="9">
        <v>3.33</v>
      </c>
      <c r="AZ299" s="9"/>
      <c r="BA299" s="9"/>
      <c r="BB299" s="9"/>
      <c r="BC299" s="11"/>
      <c r="BD299" s="9"/>
      <c r="BE299" s="9">
        <v>4.04</v>
      </c>
      <c r="BF299" s="9">
        <v>23</v>
      </c>
      <c r="BG299" s="12"/>
      <c r="BH299" s="10"/>
      <c r="BI299" s="9"/>
      <c r="BJ299" s="8">
        <f t="shared" si="184"/>
        <v>0.17565217391304347</v>
      </c>
      <c r="BK299" s="9"/>
      <c r="BL299" s="67">
        <f t="shared" si="185"/>
        <v>0.76590000000000003</v>
      </c>
      <c r="BM299" s="67">
        <f t="shared" si="186"/>
        <v>0.13453200000000001</v>
      </c>
      <c r="BN299" s="67">
        <f t="shared" si="175"/>
        <v>5.8492173913043477E-3</v>
      </c>
    </row>
    <row r="300" spans="1:66" x14ac:dyDescent="0.3">
      <c r="A300" s="22" t="s">
        <v>58</v>
      </c>
      <c r="B300" s="70">
        <v>9.7799999999999994</v>
      </c>
      <c r="C300" s="8"/>
      <c r="D300" s="8"/>
      <c r="E300" s="8"/>
      <c r="F300" s="13"/>
      <c r="G300" s="8"/>
      <c r="H300" s="8"/>
      <c r="I300" s="8">
        <v>1.82</v>
      </c>
      <c r="J300" s="9"/>
      <c r="K300" s="10">
        <v>0.79</v>
      </c>
      <c r="L300" s="8">
        <f t="shared" si="176"/>
        <v>0.43406593406593408</v>
      </c>
      <c r="M300" s="8"/>
      <c r="N300" s="67">
        <f t="shared" si="177"/>
        <v>0.17799599999999999</v>
      </c>
      <c r="O300" s="67">
        <f t="shared" si="178"/>
        <v>7.7261999999999997E-2</v>
      </c>
      <c r="P300" s="67">
        <f t="shared" si="171"/>
        <v>4.2451648351648351E-2</v>
      </c>
      <c r="Q300" s="22" t="s">
        <v>58</v>
      </c>
      <c r="R300" s="7">
        <v>2.4900000000000002</v>
      </c>
      <c r="S300" s="8"/>
      <c r="T300" s="8"/>
      <c r="U300" s="8"/>
      <c r="V300" s="13"/>
      <c r="W300" s="8"/>
      <c r="X300" s="8">
        <v>1.5</v>
      </c>
      <c r="Y300" s="8">
        <v>5.35</v>
      </c>
      <c r="Z300" s="10"/>
      <c r="AA300" s="10"/>
      <c r="AB300" s="8">
        <f t="shared" si="172"/>
        <v>0.28037383177570097</v>
      </c>
      <c r="AC300" s="8"/>
      <c r="AD300" s="67">
        <f t="shared" si="179"/>
        <v>3.7350000000000001E-2</v>
      </c>
      <c r="AE300" s="67">
        <f t="shared" si="180"/>
        <v>0.133215</v>
      </c>
      <c r="AF300" s="67">
        <f t="shared" si="173"/>
        <v>6.9813084112149548E-3</v>
      </c>
      <c r="AG300" s="22" t="s">
        <v>58</v>
      </c>
      <c r="AH300" s="9">
        <v>1.1000000000000001</v>
      </c>
      <c r="AI300" s="9"/>
      <c r="AJ300" s="9"/>
      <c r="AK300" s="9"/>
      <c r="AL300" s="11"/>
      <c r="AM300" s="9"/>
      <c r="AN300" s="9">
        <v>2.17</v>
      </c>
      <c r="AO300" s="9">
        <v>2.81</v>
      </c>
      <c r="AP300" s="10"/>
      <c r="AQ300" s="10"/>
      <c r="AR300" s="9"/>
      <c r="AS300" s="8">
        <f t="shared" si="181"/>
        <v>0.77224199288256223</v>
      </c>
      <c r="AT300" s="9"/>
      <c r="AU300" s="67">
        <f t="shared" si="182"/>
        <v>3.0910000000000003E-2</v>
      </c>
      <c r="AV300" s="67">
        <f t="shared" si="183"/>
        <v>2.3869999999999999E-2</v>
      </c>
      <c r="AW300" s="67">
        <f t="shared" si="174"/>
        <v>8.494661921708186E-3</v>
      </c>
      <c r="AX300" s="22" t="s">
        <v>58</v>
      </c>
      <c r="AY300" s="9">
        <v>1.7</v>
      </c>
      <c r="AZ300" s="9"/>
      <c r="BA300" s="9"/>
      <c r="BB300" s="9"/>
      <c r="BC300" s="11"/>
      <c r="BD300" s="9"/>
      <c r="BE300" s="9">
        <v>4.0199999999999996</v>
      </c>
      <c r="BF300" s="9">
        <v>9.27</v>
      </c>
      <c r="BG300" s="12"/>
      <c r="BH300" s="10"/>
      <c r="BI300" s="9"/>
      <c r="BJ300" s="8">
        <f t="shared" si="184"/>
        <v>0.43365695792880254</v>
      </c>
      <c r="BK300" s="9"/>
      <c r="BL300" s="67">
        <f t="shared" si="185"/>
        <v>0.15758999999999998</v>
      </c>
      <c r="BM300" s="67">
        <f t="shared" si="186"/>
        <v>6.8339999999999984E-2</v>
      </c>
      <c r="BN300" s="67">
        <f t="shared" si="175"/>
        <v>7.3721682847896434E-3</v>
      </c>
    </row>
    <row r="301" spans="1:66" x14ac:dyDescent="0.3">
      <c r="A301" s="22" t="s">
        <v>56</v>
      </c>
      <c r="B301" s="70">
        <v>5.54</v>
      </c>
      <c r="C301" s="8"/>
      <c r="D301" s="8"/>
      <c r="E301" s="8"/>
      <c r="F301" s="13"/>
      <c r="G301" s="8"/>
      <c r="H301" s="8"/>
      <c r="I301" s="8">
        <v>1.1200000000000001</v>
      </c>
      <c r="J301" s="9"/>
      <c r="K301" s="10">
        <v>4.79</v>
      </c>
      <c r="L301" s="8">
        <f t="shared" si="176"/>
        <v>4.2767857142857135</v>
      </c>
      <c r="M301" s="8"/>
      <c r="N301" s="67">
        <f t="shared" si="177"/>
        <v>6.2048000000000006E-2</v>
      </c>
      <c r="O301" s="67">
        <f t="shared" si="178"/>
        <v>0.26536599999999999</v>
      </c>
      <c r="P301" s="67">
        <f t="shared" si="171"/>
        <v>0.23693392857142853</v>
      </c>
      <c r="Q301" s="22" t="s">
        <v>56</v>
      </c>
      <c r="R301" s="7">
        <v>3.11</v>
      </c>
      <c r="S301" s="8"/>
      <c r="T301" s="8"/>
      <c r="U301" s="8"/>
      <c r="V301" s="13"/>
      <c r="W301" s="8"/>
      <c r="X301" s="8">
        <v>1.45</v>
      </c>
      <c r="Y301" s="8">
        <v>3</v>
      </c>
      <c r="Z301" s="10"/>
      <c r="AA301" s="10"/>
      <c r="AB301" s="8">
        <f t="shared" si="172"/>
        <v>0.48333333333333334</v>
      </c>
      <c r="AC301" s="8"/>
      <c r="AD301" s="67">
        <f t="shared" si="179"/>
        <v>4.5095000000000003E-2</v>
      </c>
      <c r="AE301" s="67">
        <f t="shared" si="180"/>
        <v>9.3299999999999994E-2</v>
      </c>
      <c r="AF301" s="67">
        <f t="shared" si="173"/>
        <v>1.5031666666666665E-2</v>
      </c>
      <c r="AG301" s="22" t="s">
        <v>56</v>
      </c>
      <c r="AH301" s="9">
        <v>2.2200000000000002</v>
      </c>
      <c r="AI301" s="9"/>
      <c r="AJ301" s="9"/>
      <c r="AK301" s="9"/>
      <c r="AL301" s="11"/>
      <c r="AM301" s="9"/>
      <c r="AN301" s="9">
        <v>13.5</v>
      </c>
      <c r="AO301" s="9">
        <v>3.16</v>
      </c>
      <c r="AP301" s="10"/>
      <c r="AQ301" s="10"/>
      <c r="AR301" s="9"/>
      <c r="AS301" s="8">
        <f t="shared" si="181"/>
        <v>4.2721518987341769</v>
      </c>
      <c r="AT301" s="9"/>
      <c r="AU301" s="67">
        <f t="shared" si="182"/>
        <v>7.0152000000000006E-2</v>
      </c>
      <c r="AV301" s="67">
        <f t="shared" si="183"/>
        <v>0.29970000000000002</v>
      </c>
      <c r="AW301" s="67">
        <f t="shared" si="174"/>
        <v>9.4841772151898734E-2</v>
      </c>
      <c r="AX301" s="22" t="s">
        <v>56</v>
      </c>
      <c r="AY301" s="9">
        <v>4.38</v>
      </c>
      <c r="AZ301" s="9"/>
      <c r="BA301" s="9"/>
      <c r="BB301" s="9"/>
      <c r="BC301" s="11"/>
      <c r="BD301" s="9"/>
      <c r="BE301" s="9">
        <v>1.78</v>
      </c>
      <c r="BF301" s="9">
        <v>1.1000000000000001</v>
      </c>
      <c r="BG301" s="12"/>
      <c r="BH301" s="10"/>
      <c r="BI301" s="9"/>
      <c r="BJ301" s="8">
        <f t="shared" si="184"/>
        <v>1.6181818181818182</v>
      </c>
      <c r="BK301" s="9"/>
      <c r="BL301" s="67">
        <f t="shared" si="185"/>
        <v>4.8180000000000008E-2</v>
      </c>
      <c r="BM301" s="67">
        <f t="shared" si="186"/>
        <v>7.7964000000000006E-2</v>
      </c>
      <c r="BN301" s="67">
        <f t="shared" si="175"/>
        <v>7.087636363636364E-2</v>
      </c>
    </row>
    <row r="302" spans="1:66" x14ac:dyDescent="0.3">
      <c r="A302" s="22" t="s">
        <v>61</v>
      </c>
      <c r="B302" s="70">
        <v>6.48</v>
      </c>
      <c r="C302" s="8"/>
      <c r="D302" s="8"/>
      <c r="E302" s="8"/>
      <c r="F302" s="13"/>
      <c r="G302" s="8"/>
      <c r="H302" s="8"/>
      <c r="I302" s="8">
        <v>0.87</v>
      </c>
      <c r="J302" s="9"/>
      <c r="K302" s="10">
        <v>0.97</v>
      </c>
      <c r="L302" s="8">
        <f t="shared" si="176"/>
        <v>1.1149425287356323</v>
      </c>
      <c r="M302" s="8"/>
      <c r="N302" s="67">
        <f t="shared" si="177"/>
        <v>5.6376000000000002E-2</v>
      </c>
      <c r="O302" s="67">
        <f t="shared" si="178"/>
        <v>6.2856000000000009E-2</v>
      </c>
      <c r="P302" s="67">
        <f t="shared" si="171"/>
        <v>7.2248275862068972E-2</v>
      </c>
      <c r="Q302" s="22" t="s">
        <v>61</v>
      </c>
      <c r="R302" s="7">
        <v>2</v>
      </c>
      <c r="S302" s="8"/>
      <c r="T302" s="8"/>
      <c r="U302" s="8"/>
      <c r="V302" s="13"/>
      <c r="W302" s="8"/>
      <c r="X302" s="8">
        <v>0.19</v>
      </c>
      <c r="Y302" s="8">
        <v>1.44</v>
      </c>
      <c r="Z302" s="10"/>
      <c r="AA302" s="10"/>
      <c r="AB302" s="8">
        <f t="shared" si="172"/>
        <v>0.13194444444444445</v>
      </c>
      <c r="AC302" s="8"/>
      <c r="AD302" s="67">
        <f t="shared" si="179"/>
        <v>3.8E-3</v>
      </c>
      <c r="AE302" s="67">
        <f t="shared" si="180"/>
        <v>2.8799999999999999E-2</v>
      </c>
      <c r="AF302" s="67">
        <f t="shared" si="173"/>
        <v>2.638888888888889E-3</v>
      </c>
      <c r="AG302" s="22" t="s">
        <v>61</v>
      </c>
      <c r="AH302" s="9">
        <v>1.56</v>
      </c>
      <c r="AI302" s="9"/>
      <c r="AJ302" s="9"/>
      <c r="AK302" s="9"/>
      <c r="AL302" s="11"/>
      <c r="AM302" s="9"/>
      <c r="AN302" s="9">
        <v>9.56</v>
      </c>
      <c r="AO302" s="9">
        <v>1.95</v>
      </c>
      <c r="AP302" s="10"/>
      <c r="AQ302" s="10"/>
      <c r="AR302" s="9"/>
      <c r="AS302" s="8">
        <f t="shared" si="181"/>
        <v>4.9025641025641029</v>
      </c>
      <c r="AT302" s="9"/>
      <c r="AU302" s="67">
        <f t="shared" si="182"/>
        <v>3.0419999999999999E-2</v>
      </c>
      <c r="AV302" s="67">
        <f t="shared" si="183"/>
        <v>0.14913600000000002</v>
      </c>
      <c r="AW302" s="67">
        <f t="shared" si="174"/>
        <v>7.6480000000000006E-2</v>
      </c>
      <c r="AX302" s="22" t="s">
        <v>61</v>
      </c>
      <c r="AY302" s="9">
        <v>3.02</v>
      </c>
      <c r="AZ302" s="9"/>
      <c r="BA302" s="9"/>
      <c r="BB302" s="9"/>
      <c r="BC302" s="11"/>
      <c r="BD302" s="9"/>
      <c r="BE302" s="9">
        <v>2.2200000000000002</v>
      </c>
      <c r="BF302" s="9">
        <v>1.1499999999999999</v>
      </c>
      <c r="BG302" s="12"/>
      <c r="BH302" s="10"/>
      <c r="BI302" s="9"/>
      <c r="BJ302" s="8">
        <f t="shared" si="184"/>
        <v>1.9304347826086961</v>
      </c>
      <c r="BK302" s="9"/>
      <c r="BL302" s="67">
        <f t="shared" si="185"/>
        <v>3.4729999999999997E-2</v>
      </c>
      <c r="BM302" s="67">
        <f t="shared" si="186"/>
        <v>6.7044000000000006E-2</v>
      </c>
      <c r="BN302" s="67">
        <f t="shared" si="175"/>
        <v>5.8299130434782624E-2</v>
      </c>
    </row>
    <row r="303" spans="1:66" x14ac:dyDescent="0.3">
      <c r="A303" s="22" t="s">
        <v>57</v>
      </c>
      <c r="B303" s="70">
        <v>1.68</v>
      </c>
      <c r="C303" s="8"/>
      <c r="D303" s="8"/>
      <c r="E303" s="8"/>
      <c r="F303" s="13"/>
      <c r="G303" s="8"/>
      <c r="H303" s="8"/>
      <c r="I303" s="8">
        <v>2.81</v>
      </c>
      <c r="J303" s="9"/>
      <c r="K303" s="10">
        <v>2.58</v>
      </c>
      <c r="L303" s="8">
        <f t="shared" si="176"/>
        <v>0.91814946619217086</v>
      </c>
      <c r="M303" s="8"/>
      <c r="N303" s="67">
        <f t="shared" si="177"/>
        <v>4.7208E-2</v>
      </c>
      <c r="O303" s="67">
        <f t="shared" si="178"/>
        <v>4.3343999999999994E-2</v>
      </c>
      <c r="P303" s="67">
        <f t="shared" si="171"/>
        <v>1.542491103202847E-2</v>
      </c>
      <c r="Q303" s="22" t="s">
        <v>57</v>
      </c>
      <c r="R303" s="68"/>
      <c r="S303" s="60"/>
      <c r="T303" s="60"/>
      <c r="U303" s="60"/>
      <c r="V303" s="61"/>
      <c r="W303" s="60"/>
      <c r="X303" s="60"/>
      <c r="Y303" s="60"/>
      <c r="Z303" s="65"/>
      <c r="AA303" s="65"/>
      <c r="AB303" s="60"/>
      <c r="AC303" s="60"/>
      <c r="AD303" s="60"/>
      <c r="AE303" s="60"/>
      <c r="AF303" s="60"/>
      <c r="AG303" s="22" t="s">
        <v>57</v>
      </c>
      <c r="AH303" s="9">
        <v>3.79</v>
      </c>
      <c r="AI303" s="9"/>
      <c r="AJ303" s="9"/>
      <c r="AK303" s="9"/>
      <c r="AL303" s="11"/>
      <c r="AM303" s="9"/>
      <c r="AN303" s="9">
        <v>6.05</v>
      </c>
      <c r="AO303" s="9">
        <v>2.94</v>
      </c>
      <c r="AP303" s="10"/>
      <c r="AQ303" s="10"/>
      <c r="AR303" s="9"/>
      <c r="AS303" s="8">
        <f t="shared" si="181"/>
        <v>2.0578231292517009</v>
      </c>
      <c r="AT303" s="9"/>
      <c r="AU303" s="67">
        <f t="shared" si="182"/>
        <v>0.111426</v>
      </c>
      <c r="AV303" s="67">
        <f t="shared" si="183"/>
        <v>0.229295</v>
      </c>
      <c r="AW303" s="67">
        <f t="shared" si="174"/>
        <v>7.7991496598639465E-2</v>
      </c>
      <c r="AX303" s="22" t="s">
        <v>57</v>
      </c>
      <c r="AY303" s="9">
        <v>2.75</v>
      </c>
      <c r="AZ303" s="9"/>
      <c r="BA303" s="9"/>
      <c r="BB303" s="9"/>
      <c r="BC303" s="11"/>
      <c r="BD303" s="9"/>
      <c r="BE303" s="9">
        <v>1.72</v>
      </c>
      <c r="BF303" s="9">
        <v>3</v>
      </c>
      <c r="BG303" s="12"/>
      <c r="BH303" s="10"/>
      <c r="BI303" s="9"/>
      <c r="BJ303" s="8">
        <f t="shared" si="184"/>
        <v>0.57333333333333336</v>
      </c>
      <c r="BK303" s="9"/>
      <c r="BL303" s="67">
        <f t="shared" si="185"/>
        <v>8.2500000000000004E-2</v>
      </c>
      <c r="BM303" s="67">
        <f t="shared" si="186"/>
        <v>4.7299999999999995E-2</v>
      </c>
      <c r="BN303" s="67">
        <f t="shared" si="175"/>
        <v>1.5766666666666665E-2</v>
      </c>
    </row>
    <row r="304" spans="1:66" x14ac:dyDescent="0.3">
      <c r="A304" s="22" t="s">
        <v>49</v>
      </c>
      <c r="B304" s="70">
        <v>4.6500000000000004</v>
      </c>
      <c r="C304" s="8"/>
      <c r="D304" s="8"/>
      <c r="E304" s="8"/>
      <c r="F304" s="13"/>
      <c r="G304" s="8"/>
      <c r="H304" s="8"/>
      <c r="I304" s="85"/>
      <c r="J304" s="88"/>
      <c r="K304" s="87"/>
      <c r="L304" s="85"/>
      <c r="M304" s="85"/>
      <c r="N304" s="86"/>
      <c r="O304" s="86"/>
      <c r="P304" s="86"/>
      <c r="Q304" s="22" t="s">
        <v>49</v>
      </c>
      <c r="R304" s="7">
        <v>1.07</v>
      </c>
      <c r="S304" s="8"/>
      <c r="T304" s="8"/>
      <c r="U304" s="8"/>
      <c r="V304" s="13"/>
      <c r="W304" s="8"/>
      <c r="X304" s="8">
        <v>1.5</v>
      </c>
      <c r="Y304" s="8">
        <v>19.7</v>
      </c>
      <c r="Z304" s="10"/>
      <c r="AA304" s="10"/>
      <c r="AB304" s="8">
        <f t="shared" ref="AB304:AB319" si="187">X304/Y304</f>
        <v>7.6142131979695438E-2</v>
      </c>
      <c r="AC304" s="8"/>
      <c r="AD304" s="67">
        <f t="shared" si="179"/>
        <v>1.6049999999999998E-2</v>
      </c>
      <c r="AE304" s="67">
        <f t="shared" si="180"/>
        <v>0.21079000000000001</v>
      </c>
      <c r="AF304" s="67">
        <f t="shared" ref="AF304:AF319" si="188">AB304*R304/100</f>
        <v>8.1472081218274121E-4</v>
      </c>
      <c r="AG304" s="22" t="s">
        <v>49</v>
      </c>
      <c r="AH304" s="9">
        <v>1.63</v>
      </c>
      <c r="AI304" s="9"/>
      <c r="AJ304" s="9"/>
      <c r="AK304" s="9"/>
      <c r="AL304" s="11"/>
      <c r="AM304" s="9"/>
      <c r="AN304" s="9">
        <v>1.29</v>
      </c>
      <c r="AO304" s="9">
        <v>15.7</v>
      </c>
      <c r="AP304" s="10"/>
      <c r="AQ304" s="10"/>
      <c r="AR304" s="9"/>
      <c r="AS304" s="8">
        <f t="shared" si="181"/>
        <v>8.2165605095541411E-2</v>
      </c>
      <c r="AT304" s="9"/>
      <c r="AU304" s="67">
        <f t="shared" si="182"/>
        <v>0.25590999999999997</v>
      </c>
      <c r="AV304" s="67">
        <f t="shared" si="183"/>
        <v>2.1027000000000001E-2</v>
      </c>
      <c r="AW304" s="67">
        <f t="shared" si="174"/>
        <v>1.339299363057325E-3</v>
      </c>
      <c r="AX304" s="22" t="s">
        <v>49</v>
      </c>
      <c r="AY304" s="9">
        <v>2.59</v>
      </c>
      <c r="AZ304" s="9"/>
      <c r="BA304" s="9"/>
      <c r="BB304" s="9"/>
      <c r="BC304" s="11"/>
      <c r="BD304" s="9"/>
      <c r="BE304" s="9">
        <v>1.35</v>
      </c>
      <c r="BF304" s="9">
        <v>19.100000000000001</v>
      </c>
      <c r="BG304" s="12"/>
      <c r="BH304" s="10"/>
      <c r="BI304" s="9"/>
      <c r="BJ304" s="8">
        <f t="shared" si="184"/>
        <v>7.0680628272251314E-2</v>
      </c>
      <c r="BK304" s="9"/>
      <c r="BL304" s="67">
        <f t="shared" si="185"/>
        <v>0.49469000000000002</v>
      </c>
      <c r="BM304" s="67">
        <f t="shared" si="186"/>
        <v>3.4965000000000003E-2</v>
      </c>
      <c r="BN304" s="67">
        <f t="shared" si="175"/>
        <v>1.8306282722513089E-3</v>
      </c>
    </row>
    <row r="305" spans="1:543" x14ac:dyDescent="0.3">
      <c r="A305" s="22" t="s">
        <v>43</v>
      </c>
      <c r="B305" s="70">
        <v>4.5199999999999996</v>
      </c>
      <c r="C305" s="8"/>
      <c r="D305" s="8"/>
      <c r="E305" s="8"/>
      <c r="F305" s="13"/>
      <c r="G305" s="8"/>
      <c r="H305" s="8"/>
      <c r="I305" s="8">
        <v>0.51</v>
      </c>
      <c r="J305" s="9"/>
      <c r="K305" s="10">
        <v>7.52</v>
      </c>
      <c r="L305" s="8">
        <f t="shared" si="176"/>
        <v>14.745098039215685</v>
      </c>
      <c r="M305" s="8"/>
      <c r="N305" s="67">
        <f t="shared" si="177"/>
        <v>2.3051999999999996E-2</v>
      </c>
      <c r="O305" s="67">
        <f t="shared" si="178"/>
        <v>0.33990399999999993</v>
      </c>
      <c r="P305" s="67">
        <f t="shared" si="171"/>
        <v>0.66647843137254892</v>
      </c>
      <c r="Q305" s="22" t="s">
        <v>43</v>
      </c>
      <c r="R305" s="7">
        <v>1.1000000000000001</v>
      </c>
      <c r="S305" s="8"/>
      <c r="T305" s="8"/>
      <c r="U305" s="8"/>
      <c r="V305" s="13"/>
      <c r="W305" s="8"/>
      <c r="X305" s="8">
        <v>0.91</v>
      </c>
      <c r="Y305" s="8">
        <v>1.72</v>
      </c>
      <c r="Z305" s="10"/>
      <c r="AA305" s="10"/>
      <c r="AB305" s="8">
        <f t="shared" si="187"/>
        <v>0.52906976744186052</v>
      </c>
      <c r="AC305" s="8"/>
      <c r="AD305" s="67">
        <f t="shared" si="179"/>
        <v>1.0010000000000002E-2</v>
      </c>
      <c r="AE305" s="67">
        <f t="shared" si="180"/>
        <v>1.8920000000000003E-2</v>
      </c>
      <c r="AF305" s="67">
        <f t="shared" si="188"/>
        <v>5.8197674418604657E-3</v>
      </c>
      <c r="AG305" s="22" t="s">
        <v>43</v>
      </c>
      <c r="AH305" s="9">
        <v>1.17</v>
      </c>
      <c r="AI305" s="9"/>
      <c r="AJ305" s="9"/>
      <c r="AK305" s="9"/>
      <c r="AL305" s="11"/>
      <c r="AM305" s="9"/>
      <c r="AN305" s="9">
        <v>18.600000000000001</v>
      </c>
      <c r="AO305" s="9">
        <v>1.6</v>
      </c>
      <c r="AP305" s="10"/>
      <c r="AQ305" s="10"/>
      <c r="AR305" s="9"/>
      <c r="AS305" s="8">
        <f t="shared" si="181"/>
        <v>11.625</v>
      </c>
      <c r="AT305" s="9"/>
      <c r="AU305" s="67">
        <f t="shared" si="182"/>
        <v>1.8720000000000001E-2</v>
      </c>
      <c r="AV305" s="67">
        <f t="shared" si="183"/>
        <v>0.21762000000000001</v>
      </c>
      <c r="AW305" s="67">
        <f t="shared" si="174"/>
        <v>0.13601249999999998</v>
      </c>
      <c r="AX305" s="22" t="s">
        <v>43</v>
      </c>
      <c r="AY305" s="9">
        <v>1.72</v>
      </c>
      <c r="AZ305" s="9"/>
      <c r="BA305" s="9"/>
      <c r="BB305" s="9"/>
      <c r="BC305" s="11"/>
      <c r="BD305" s="9"/>
      <c r="BE305" s="9">
        <v>21</v>
      </c>
      <c r="BF305" s="9">
        <v>3.16</v>
      </c>
      <c r="BG305" s="12"/>
      <c r="BH305" s="10"/>
      <c r="BI305" s="9"/>
      <c r="BJ305" s="8">
        <f t="shared" si="184"/>
        <v>6.6455696202531644</v>
      </c>
      <c r="BK305" s="9"/>
      <c r="BL305" s="67">
        <f t="shared" si="185"/>
        <v>5.4351999999999998E-2</v>
      </c>
      <c r="BM305" s="67">
        <f t="shared" si="186"/>
        <v>0.36119999999999997</v>
      </c>
      <c r="BN305" s="67">
        <f t="shared" si="175"/>
        <v>0.11430379746835444</v>
      </c>
    </row>
    <row r="306" spans="1:543" x14ac:dyDescent="0.3">
      <c r="A306" s="22" t="s">
        <v>44</v>
      </c>
      <c r="B306" s="70">
        <v>4.71</v>
      </c>
      <c r="C306" s="8"/>
      <c r="D306" s="8"/>
      <c r="E306" s="8"/>
      <c r="F306" s="13"/>
      <c r="G306" s="8"/>
      <c r="H306" s="8"/>
      <c r="I306" s="8">
        <v>0.49</v>
      </c>
      <c r="J306" s="9"/>
      <c r="K306" s="10">
        <v>8.4700000000000006</v>
      </c>
      <c r="L306" s="8">
        <f t="shared" si="176"/>
        <v>17.285714285714288</v>
      </c>
      <c r="M306" s="8"/>
      <c r="N306" s="67">
        <f t="shared" si="177"/>
        <v>2.3079000000000002E-2</v>
      </c>
      <c r="O306" s="67">
        <f t="shared" si="178"/>
        <v>0.39893700000000004</v>
      </c>
      <c r="P306" s="67">
        <f t="shared" si="171"/>
        <v>0.81415714285714302</v>
      </c>
      <c r="Q306" s="22" t="s">
        <v>44</v>
      </c>
      <c r="R306" s="7">
        <v>3.11</v>
      </c>
      <c r="S306" s="8"/>
      <c r="T306" s="8"/>
      <c r="U306" s="8"/>
      <c r="V306" s="13"/>
      <c r="W306" s="8"/>
      <c r="X306" s="8">
        <v>4.45</v>
      </c>
      <c r="Y306" s="8">
        <v>2.2599999999999998</v>
      </c>
      <c r="Z306" s="10"/>
      <c r="AA306" s="10"/>
      <c r="AB306" s="8">
        <f t="shared" si="187"/>
        <v>1.9690265486725667</v>
      </c>
      <c r="AC306" s="8"/>
      <c r="AD306" s="67">
        <f t="shared" si="179"/>
        <v>0.13839499999999999</v>
      </c>
      <c r="AE306" s="67">
        <f t="shared" si="180"/>
        <v>7.0285999999999987E-2</v>
      </c>
      <c r="AF306" s="67">
        <f t="shared" si="188"/>
        <v>6.1236725663716823E-2</v>
      </c>
      <c r="AG306" s="22" t="s">
        <v>44</v>
      </c>
      <c r="AH306" s="9">
        <v>2.19</v>
      </c>
      <c r="AI306" s="9"/>
      <c r="AJ306" s="9"/>
      <c r="AK306" s="9"/>
      <c r="AL306" s="11"/>
      <c r="AM306" s="9"/>
      <c r="AN306" s="9">
        <v>14</v>
      </c>
      <c r="AO306" s="9">
        <v>1.4</v>
      </c>
      <c r="AP306" s="10"/>
      <c r="AQ306" s="10"/>
      <c r="AR306" s="9"/>
      <c r="AS306" s="8">
        <f t="shared" si="181"/>
        <v>10</v>
      </c>
      <c r="AT306" s="9"/>
      <c r="AU306" s="67">
        <f t="shared" si="182"/>
        <v>3.066E-2</v>
      </c>
      <c r="AV306" s="67">
        <f t="shared" si="183"/>
        <v>0.30659999999999998</v>
      </c>
      <c r="AW306" s="67">
        <f t="shared" si="174"/>
        <v>0.21899999999999997</v>
      </c>
      <c r="AX306" s="22" t="s">
        <v>44</v>
      </c>
      <c r="AY306" s="9">
        <v>3.93</v>
      </c>
      <c r="AZ306" s="9"/>
      <c r="BA306" s="9"/>
      <c r="BB306" s="9"/>
      <c r="BC306" s="11"/>
      <c r="BD306" s="9"/>
      <c r="BE306" s="9">
        <v>20.5</v>
      </c>
      <c r="BF306" s="9">
        <v>0.82</v>
      </c>
      <c r="BG306" s="12"/>
      <c r="BH306" s="10"/>
      <c r="BI306" s="9"/>
      <c r="BJ306" s="8">
        <f t="shared" si="184"/>
        <v>25</v>
      </c>
      <c r="BK306" s="9"/>
      <c r="BL306" s="67">
        <f t="shared" si="185"/>
        <v>3.2225999999999998E-2</v>
      </c>
      <c r="BM306" s="67">
        <f t="shared" si="186"/>
        <v>0.80564999999999998</v>
      </c>
      <c r="BN306" s="67">
        <f t="shared" si="175"/>
        <v>0.98250000000000004</v>
      </c>
    </row>
    <row r="307" spans="1:543" x14ac:dyDescent="0.3">
      <c r="A307" s="22" t="s">
        <v>48</v>
      </c>
      <c r="B307" s="70">
        <v>4.7699999999999996</v>
      </c>
      <c r="C307" s="8"/>
      <c r="D307" s="8"/>
      <c r="E307" s="8"/>
      <c r="F307" s="13"/>
      <c r="G307" s="8"/>
      <c r="H307" s="8"/>
      <c r="I307" s="8">
        <v>2.69</v>
      </c>
      <c r="J307" s="9"/>
      <c r="K307" s="10">
        <v>14.1</v>
      </c>
      <c r="L307" s="8">
        <f t="shared" si="176"/>
        <v>5.2416356877323418</v>
      </c>
      <c r="M307" s="8"/>
      <c r="N307" s="67">
        <f t="shared" si="177"/>
        <v>0.12831299999999998</v>
      </c>
      <c r="O307" s="67">
        <f t="shared" si="178"/>
        <v>0.67256999999999989</v>
      </c>
      <c r="P307" s="67">
        <f t="shared" si="171"/>
        <v>0.25002602230483267</v>
      </c>
      <c r="Q307" s="22" t="s">
        <v>48</v>
      </c>
      <c r="R307" s="7">
        <v>1.55</v>
      </c>
      <c r="S307" s="8"/>
      <c r="T307" s="8"/>
      <c r="U307" s="8"/>
      <c r="V307" s="13"/>
      <c r="W307" s="8"/>
      <c r="X307" s="8">
        <v>5.22</v>
      </c>
      <c r="Y307" s="8">
        <v>18.600000000000001</v>
      </c>
      <c r="Z307" s="10"/>
      <c r="AA307" s="10"/>
      <c r="AB307" s="8">
        <f t="shared" si="187"/>
        <v>0.28064516129032252</v>
      </c>
      <c r="AC307" s="8"/>
      <c r="AD307" s="67">
        <f t="shared" si="179"/>
        <v>8.0909999999999996E-2</v>
      </c>
      <c r="AE307" s="67">
        <f t="shared" si="180"/>
        <v>0.2883</v>
      </c>
      <c r="AF307" s="67">
        <f t="shared" si="188"/>
        <v>4.3499999999999997E-3</v>
      </c>
      <c r="AG307" s="22" t="s">
        <v>48</v>
      </c>
      <c r="AH307" s="9">
        <v>3.31</v>
      </c>
      <c r="AI307" s="9"/>
      <c r="AJ307" s="9"/>
      <c r="AK307" s="9"/>
      <c r="AL307" s="11"/>
      <c r="AM307" s="9"/>
      <c r="AN307" s="9">
        <v>23.6</v>
      </c>
      <c r="AO307" s="9">
        <v>9.19</v>
      </c>
      <c r="AP307" s="10"/>
      <c r="AQ307" s="10"/>
      <c r="AR307" s="9"/>
      <c r="AS307" s="8">
        <f t="shared" si="181"/>
        <v>2.5680087051142548</v>
      </c>
      <c r="AT307" s="9"/>
      <c r="AU307" s="67">
        <f t="shared" si="182"/>
        <v>0.30418899999999999</v>
      </c>
      <c r="AV307" s="67">
        <f t="shared" si="183"/>
        <v>0.78115999999999997</v>
      </c>
      <c r="AW307" s="67">
        <f t="shared" si="174"/>
        <v>8.5001088139281838E-2</v>
      </c>
      <c r="AX307" s="22" t="s">
        <v>48</v>
      </c>
      <c r="AY307" s="9">
        <v>4.2</v>
      </c>
      <c r="AZ307" s="9"/>
      <c r="BA307" s="9"/>
      <c r="BB307" s="9"/>
      <c r="BC307" s="11"/>
      <c r="BD307" s="9"/>
      <c r="BE307" s="9">
        <v>29</v>
      </c>
      <c r="BF307" s="9">
        <v>6.42</v>
      </c>
      <c r="BG307" s="12"/>
      <c r="BH307" s="10"/>
      <c r="BI307" s="9"/>
      <c r="BJ307" s="8">
        <f t="shared" si="184"/>
        <v>4.5171339563862931</v>
      </c>
      <c r="BK307" s="9"/>
      <c r="BL307" s="67">
        <f t="shared" si="185"/>
        <v>0.26964000000000005</v>
      </c>
      <c r="BM307" s="67">
        <f t="shared" si="186"/>
        <v>1.2180000000000002</v>
      </c>
      <c r="BN307" s="67">
        <f t="shared" si="175"/>
        <v>0.1897196261682243</v>
      </c>
    </row>
    <row r="308" spans="1:543" x14ac:dyDescent="0.3">
      <c r="A308" s="22" t="s">
        <v>50</v>
      </c>
      <c r="B308" s="70">
        <v>7.58</v>
      </c>
      <c r="C308" s="8"/>
      <c r="D308" s="8"/>
      <c r="E308" s="8"/>
      <c r="F308" s="13"/>
      <c r="G308" s="8"/>
      <c r="H308" s="8"/>
      <c r="I308" s="8">
        <v>6.39</v>
      </c>
      <c r="J308" s="9"/>
      <c r="K308" s="10">
        <v>0.67</v>
      </c>
      <c r="L308" s="8">
        <f t="shared" si="176"/>
        <v>0.10485133020344289</v>
      </c>
      <c r="M308" s="8"/>
      <c r="N308" s="67">
        <f t="shared" si="177"/>
        <v>0.48436200000000001</v>
      </c>
      <c r="O308" s="67">
        <f t="shared" si="178"/>
        <v>5.0786000000000005E-2</v>
      </c>
      <c r="P308" s="67">
        <f t="shared" si="171"/>
        <v>7.9477308294209712E-3</v>
      </c>
      <c r="Q308" s="22" t="s">
        <v>50</v>
      </c>
      <c r="R308" s="7">
        <v>4.6399999999999997</v>
      </c>
      <c r="S308" s="8"/>
      <c r="T308" s="8"/>
      <c r="U308" s="8"/>
      <c r="V308" s="13"/>
      <c r="W308" s="8"/>
      <c r="X308" s="8">
        <v>1.55</v>
      </c>
      <c r="Y308" s="85"/>
      <c r="Z308" s="87"/>
      <c r="AA308" s="87"/>
      <c r="AB308" s="85"/>
      <c r="AC308" s="85"/>
      <c r="AD308" s="86"/>
      <c r="AE308" s="86"/>
      <c r="AF308" s="86"/>
      <c r="AG308" s="22" t="s">
        <v>50</v>
      </c>
      <c r="AH308" s="9">
        <v>2.87</v>
      </c>
      <c r="AI308" s="9"/>
      <c r="AJ308" s="9"/>
      <c r="AK308" s="9"/>
      <c r="AL308" s="11"/>
      <c r="AM308" s="9"/>
      <c r="AN308" s="88"/>
      <c r="AO308" s="88"/>
      <c r="AP308" s="87"/>
      <c r="AQ308" s="87"/>
      <c r="AR308" s="88"/>
      <c r="AS308" s="85"/>
      <c r="AT308" s="88"/>
      <c r="AU308" s="86"/>
      <c r="AV308" s="86"/>
      <c r="AW308" s="86"/>
      <c r="AX308" s="22" t="s">
        <v>50</v>
      </c>
      <c r="AY308" s="9">
        <v>2.78</v>
      </c>
      <c r="AZ308" s="9"/>
      <c r="BA308" s="9"/>
      <c r="BB308" s="9"/>
      <c r="BC308" s="11"/>
      <c r="BD308" s="9"/>
      <c r="BE308" s="88"/>
      <c r="BF308" s="88"/>
      <c r="BG308" s="90"/>
      <c r="BH308" s="87"/>
      <c r="BI308" s="88"/>
      <c r="BJ308" s="85"/>
      <c r="BK308" s="88"/>
      <c r="BL308" s="86"/>
      <c r="BM308" s="86"/>
      <c r="BN308" s="86"/>
    </row>
    <row r="309" spans="1:543" x14ac:dyDescent="0.3">
      <c r="A309" s="22" t="s">
        <v>51</v>
      </c>
      <c r="B309" s="70">
        <v>5.37</v>
      </c>
      <c r="C309" s="8"/>
      <c r="D309" s="8"/>
      <c r="E309" s="8"/>
      <c r="F309" s="13"/>
      <c r="G309" s="8"/>
      <c r="H309" s="8"/>
      <c r="I309" s="8">
        <v>0.92</v>
      </c>
      <c r="J309" s="9"/>
      <c r="K309" s="10">
        <v>6.3E-2</v>
      </c>
      <c r="L309" s="8">
        <f t="shared" si="176"/>
        <v>6.8478260869565211E-2</v>
      </c>
      <c r="M309" s="8"/>
      <c r="N309" s="67">
        <f t="shared" si="177"/>
        <v>4.9404000000000003E-2</v>
      </c>
      <c r="O309" s="67">
        <f t="shared" si="178"/>
        <v>3.3831E-3</v>
      </c>
      <c r="P309" s="67">
        <f t="shared" si="171"/>
        <v>3.6772826086956516E-3</v>
      </c>
      <c r="Q309" s="22" t="s">
        <v>51</v>
      </c>
      <c r="R309" s="7">
        <v>2.4900000000000002</v>
      </c>
      <c r="S309" s="8"/>
      <c r="T309" s="8"/>
      <c r="U309" s="8"/>
      <c r="V309" s="13"/>
      <c r="W309" s="8"/>
      <c r="X309" s="8">
        <v>1.68</v>
      </c>
      <c r="Y309" s="85"/>
      <c r="Z309" s="87"/>
      <c r="AA309" s="87"/>
      <c r="AB309" s="85"/>
      <c r="AC309" s="85"/>
      <c r="AD309" s="86"/>
      <c r="AE309" s="86"/>
      <c r="AF309" s="86"/>
      <c r="AG309" s="22" t="s">
        <v>51</v>
      </c>
      <c r="AH309" s="9">
        <v>1.36</v>
      </c>
      <c r="AI309" s="9"/>
      <c r="AJ309" s="9"/>
      <c r="AK309" s="9"/>
      <c r="AL309" s="11"/>
      <c r="AM309" s="9"/>
      <c r="AN309" s="9">
        <v>0.23</v>
      </c>
      <c r="AO309" s="9">
        <v>8.9600000000000009</v>
      </c>
      <c r="AP309" s="10"/>
      <c r="AQ309" s="10"/>
      <c r="AR309" s="9"/>
      <c r="AS309" s="8">
        <f t="shared" si="181"/>
        <v>2.5669642857142856E-2</v>
      </c>
      <c r="AT309" s="9"/>
      <c r="AU309" s="67">
        <f t="shared" si="182"/>
        <v>0.12185600000000002</v>
      </c>
      <c r="AV309" s="67">
        <f t="shared" si="183"/>
        <v>3.1280000000000001E-3</v>
      </c>
      <c r="AW309" s="67">
        <f t="shared" si="174"/>
        <v>3.4910714285714287E-4</v>
      </c>
      <c r="AX309" s="22" t="s">
        <v>51</v>
      </c>
      <c r="AY309" s="9">
        <v>1.28</v>
      </c>
      <c r="AZ309" s="9"/>
      <c r="BA309" s="9"/>
      <c r="BB309" s="9"/>
      <c r="BC309" s="11"/>
      <c r="BD309" s="9"/>
      <c r="BE309" s="9">
        <v>0.13</v>
      </c>
      <c r="BF309" s="9">
        <v>10.199999999999999</v>
      </c>
      <c r="BG309" s="12"/>
      <c r="BH309" s="10"/>
      <c r="BI309" s="9"/>
      <c r="BJ309" s="8">
        <f t="shared" si="184"/>
        <v>1.2745098039215688E-2</v>
      </c>
      <c r="BK309" s="9"/>
      <c r="BL309" s="67">
        <f t="shared" si="185"/>
        <v>0.13055999999999998</v>
      </c>
      <c r="BM309" s="67">
        <f t="shared" si="186"/>
        <v>1.6640000000000001E-3</v>
      </c>
      <c r="BN309" s="67">
        <f t="shared" si="175"/>
        <v>1.6313725490196081E-4</v>
      </c>
    </row>
    <row r="310" spans="1:543" x14ac:dyDescent="0.3">
      <c r="A310" s="22" t="s">
        <v>53</v>
      </c>
      <c r="B310" s="70">
        <v>3.61</v>
      </c>
      <c r="C310" s="8"/>
      <c r="D310" s="8"/>
      <c r="E310" s="8"/>
      <c r="F310" s="13"/>
      <c r="G310" s="8"/>
      <c r="H310" s="8"/>
      <c r="I310" s="8">
        <v>7.04</v>
      </c>
      <c r="J310" s="9"/>
      <c r="K310" s="10">
        <v>1.18</v>
      </c>
      <c r="L310" s="8">
        <f t="shared" si="176"/>
        <v>0.16761363636363635</v>
      </c>
      <c r="M310" s="8"/>
      <c r="N310" s="67">
        <f t="shared" si="177"/>
        <v>0.25414399999999998</v>
      </c>
      <c r="O310" s="67">
        <f t="shared" si="178"/>
        <v>4.2597999999999997E-2</v>
      </c>
      <c r="P310" s="67">
        <f t="shared" si="171"/>
        <v>6.050852272727272E-3</v>
      </c>
      <c r="Q310" s="22" t="s">
        <v>53</v>
      </c>
      <c r="R310" s="7">
        <v>4.28</v>
      </c>
      <c r="S310" s="8"/>
      <c r="T310" s="8"/>
      <c r="U310" s="8"/>
      <c r="V310" s="13"/>
      <c r="W310" s="8"/>
      <c r="X310" s="8">
        <v>3.46</v>
      </c>
      <c r="Y310" s="8">
        <v>20.7</v>
      </c>
      <c r="Z310" s="10"/>
      <c r="AA310" s="10"/>
      <c r="AB310" s="8">
        <f t="shared" si="187"/>
        <v>0.16714975845410629</v>
      </c>
      <c r="AC310" s="8"/>
      <c r="AD310" s="67">
        <f t="shared" si="179"/>
        <v>0.14808800000000003</v>
      </c>
      <c r="AE310" s="67">
        <f t="shared" si="180"/>
        <v>0.88596000000000008</v>
      </c>
      <c r="AF310" s="67">
        <f t="shared" si="188"/>
        <v>7.1540096618357496E-3</v>
      </c>
      <c r="AG310" s="22" t="s">
        <v>53</v>
      </c>
      <c r="AH310" s="9">
        <v>3.41</v>
      </c>
      <c r="AI310" s="9"/>
      <c r="AJ310" s="9"/>
      <c r="AK310" s="9"/>
      <c r="AL310" s="11"/>
      <c r="AM310" s="9"/>
      <c r="AN310" s="9">
        <v>0.94</v>
      </c>
      <c r="AO310" s="9">
        <v>8.64</v>
      </c>
      <c r="AP310" s="10"/>
      <c r="AQ310" s="10"/>
      <c r="AR310" s="9"/>
      <c r="AS310" s="8">
        <f t="shared" si="181"/>
        <v>0.10879629629629628</v>
      </c>
      <c r="AT310" s="9"/>
      <c r="AU310" s="67">
        <f t="shared" si="182"/>
        <v>0.294624</v>
      </c>
      <c r="AV310" s="67">
        <f t="shared" si="183"/>
        <v>3.2053999999999999E-2</v>
      </c>
      <c r="AW310" s="67">
        <f t="shared" si="174"/>
        <v>3.7099537037037032E-3</v>
      </c>
      <c r="AX310" s="22" t="s">
        <v>53</v>
      </c>
      <c r="AY310" s="9">
        <v>3.6</v>
      </c>
      <c r="AZ310" s="9"/>
      <c r="BA310" s="9"/>
      <c r="BB310" s="9"/>
      <c r="BC310" s="11"/>
      <c r="BD310" s="9"/>
      <c r="BE310" s="9">
        <v>0.82</v>
      </c>
      <c r="BF310" s="9">
        <v>8.49</v>
      </c>
      <c r="BG310" s="12"/>
      <c r="BH310" s="10"/>
      <c r="BI310" s="9"/>
      <c r="BJ310" s="8">
        <f t="shared" si="184"/>
        <v>9.6584216725559474E-2</v>
      </c>
      <c r="BK310" s="9"/>
      <c r="BL310" s="67">
        <f t="shared" si="185"/>
        <v>0.30564000000000002</v>
      </c>
      <c r="BM310" s="67">
        <f t="shared" si="186"/>
        <v>2.9520000000000001E-2</v>
      </c>
      <c r="BN310" s="67">
        <f t="shared" si="175"/>
        <v>3.4770318021201414E-3</v>
      </c>
    </row>
    <row r="311" spans="1:543" x14ac:dyDescent="0.3">
      <c r="A311" s="22" t="s">
        <v>63</v>
      </c>
      <c r="B311" s="70">
        <v>7.87</v>
      </c>
      <c r="C311" s="8"/>
      <c r="D311" s="8"/>
      <c r="E311" s="8"/>
      <c r="F311" s="13"/>
      <c r="G311" s="8"/>
      <c r="H311" s="8"/>
      <c r="I311" s="8">
        <v>5.0599999999999996</v>
      </c>
      <c r="J311" s="9"/>
      <c r="K311" s="10">
        <v>0.17</v>
      </c>
      <c r="L311" s="8">
        <f t="shared" si="176"/>
        <v>3.3596837944664039E-2</v>
      </c>
      <c r="M311" s="8"/>
      <c r="N311" s="67">
        <f t="shared" si="177"/>
        <v>0.39822199999999996</v>
      </c>
      <c r="O311" s="67">
        <f t="shared" si="178"/>
        <v>1.3379E-2</v>
      </c>
      <c r="P311" s="67">
        <f t="shared" si="171"/>
        <v>2.6440711462450599E-3</v>
      </c>
      <c r="Q311" s="22" t="s">
        <v>63</v>
      </c>
      <c r="R311" s="7">
        <v>1.59</v>
      </c>
      <c r="S311" s="8"/>
      <c r="T311" s="8"/>
      <c r="U311" s="8"/>
      <c r="V311" s="13"/>
      <c r="W311" s="8"/>
      <c r="X311" s="8">
        <v>0.21</v>
      </c>
      <c r="Y311" s="8">
        <v>6.36</v>
      </c>
      <c r="Z311" s="10"/>
      <c r="AA311" s="10"/>
      <c r="AB311" s="8">
        <f t="shared" si="187"/>
        <v>3.3018867924528301E-2</v>
      </c>
      <c r="AC311" s="8"/>
      <c r="AD311" s="67">
        <f t="shared" si="179"/>
        <v>3.3390000000000004E-3</v>
      </c>
      <c r="AE311" s="67">
        <f t="shared" si="180"/>
        <v>0.10112400000000001</v>
      </c>
      <c r="AF311" s="67">
        <f t="shared" si="188"/>
        <v>5.2500000000000008E-4</v>
      </c>
      <c r="AG311" s="22" t="s">
        <v>63</v>
      </c>
      <c r="AH311" s="9">
        <v>6.56</v>
      </c>
      <c r="AI311" s="9"/>
      <c r="AJ311" s="9"/>
      <c r="AK311" s="9"/>
      <c r="AL311" s="11"/>
      <c r="AM311" s="9"/>
      <c r="AN311" s="9">
        <v>0.12</v>
      </c>
      <c r="AO311" s="9">
        <v>14.6</v>
      </c>
      <c r="AP311" s="10"/>
      <c r="AQ311" s="10"/>
      <c r="AR311" s="9"/>
      <c r="AS311" s="8">
        <f t="shared" si="181"/>
        <v>8.21917808219178E-3</v>
      </c>
      <c r="AT311" s="9"/>
      <c r="AU311" s="67">
        <f t="shared" si="182"/>
        <v>0.95775999999999994</v>
      </c>
      <c r="AV311" s="67">
        <f t="shared" si="183"/>
        <v>7.8719999999999988E-3</v>
      </c>
      <c r="AW311" s="67">
        <f t="shared" si="174"/>
        <v>5.391780821917808E-4</v>
      </c>
      <c r="AX311" s="22" t="s">
        <v>63</v>
      </c>
      <c r="AY311" s="9">
        <v>6.48</v>
      </c>
      <c r="AZ311" s="9"/>
      <c r="BA311" s="9"/>
      <c r="BB311" s="9"/>
      <c r="BC311" s="11"/>
      <c r="BD311" s="9"/>
      <c r="BE311" s="9">
        <v>0.22</v>
      </c>
      <c r="BF311" s="9">
        <v>12.8</v>
      </c>
      <c r="BG311" s="12"/>
      <c r="BH311" s="10"/>
      <c r="BI311" s="9"/>
      <c r="BJ311" s="8">
        <f t="shared" si="184"/>
        <v>1.7187499999999998E-2</v>
      </c>
      <c r="BK311" s="9"/>
      <c r="BL311" s="67">
        <f t="shared" si="185"/>
        <v>0.82944000000000018</v>
      </c>
      <c r="BM311" s="67">
        <f t="shared" si="186"/>
        <v>1.4256000000000001E-2</v>
      </c>
      <c r="BN311" s="67">
        <f t="shared" si="175"/>
        <v>1.1137499999999999E-3</v>
      </c>
    </row>
    <row r="312" spans="1:543" x14ac:dyDescent="0.3">
      <c r="A312" s="22" t="s">
        <v>62</v>
      </c>
      <c r="B312" s="70">
        <v>12.5</v>
      </c>
      <c r="C312" s="8"/>
      <c r="D312" s="8"/>
      <c r="E312" s="8"/>
      <c r="F312" s="13"/>
      <c r="G312" s="8"/>
      <c r="H312" s="8"/>
      <c r="I312" s="8">
        <v>2.37</v>
      </c>
      <c r="J312" s="9"/>
      <c r="K312" s="10">
        <v>2.99</v>
      </c>
      <c r="L312" s="8">
        <f t="shared" si="176"/>
        <v>1.2616033755274263</v>
      </c>
      <c r="M312" s="8"/>
      <c r="N312" s="67">
        <f t="shared" si="177"/>
        <v>0.29625000000000001</v>
      </c>
      <c r="O312" s="67">
        <f t="shared" si="178"/>
        <v>0.37375000000000003</v>
      </c>
      <c r="P312" s="67">
        <f t="shared" si="171"/>
        <v>0.15770042194092829</v>
      </c>
      <c r="Q312" s="22" t="s">
        <v>62</v>
      </c>
      <c r="R312" s="7">
        <v>7.98</v>
      </c>
      <c r="S312" s="8"/>
      <c r="T312" s="8"/>
      <c r="U312" s="8"/>
      <c r="V312" s="13"/>
      <c r="W312" s="8"/>
      <c r="X312" s="8">
        <v>1.37</v>
      </c>
      <c r="Y312" s="8">
        <v>4.04</v>
      </c>
      <c r="Z312" s="10"/>
      <c r="AA312" s="10"/>
      <c r="AB312" s="8">
        <f t="shared" si="187"/>
        <v>0.33910891089108913</v>
      </c>
      <c r="AC312" s="8"/>
      <c r="AD312" s="67">
        <f t="shared" si="179"/>
        <v>0.10932600000000001</v>
      </c>
      <c r="AE312" s="67">
        <f t="shared" si="180"/>
        <v>0.32239200000000001</v>
      </c>
      <c r="AF312" s="67">
        <f t="shared" si="188"/>
        <v>2.7060891089108915E-2</v>
      </c>
      <c r="AG312" s="22" t="s">
        <v>62</v>
      </c>
      <c r="AH312" s="9">
        <v>3.21</v>
      </c>
      <c r="AI312" s="9"/>
      <c r="AJ312" s="9"/>
      <c r="AK312" s="9"/>
      <c r="AL312" s="11"/>
      <c r="AM312" s="9"/>
      <c r="AN312" s="9">
        <v>2.3199999999999998</v>
      </c>
      <c r="AO312" s="9">
        <v>10</v>
      </c>
      <c r="AP312" s="10"/>
      <c r="AQ312" s="10"/>
      <c r="AR312" s="9"/>
      <c r="AS312" s="8">
        <f t="shared" si="181"/>
        <v>0.23199999999999998</v>
      </c>
      <c r="AT312" s="9"/>
      <c r="AU312" s="67">
        <f t="shared" si="182"/>
        <v>0.32100000000000001</v>
      </c>
      <c r="AV312" s="67">
        <f t="shared" si="183"/>
        <v>7.4471999999999997E-2</v>
      </c>
      <c r="AW312" s="67">
        <f t="shared" si="174"/>
        <v>7.4471999999999993E-3</v>
      </c>
      <c r="AX312" s="22" t="s">
        <v>62</v>
      </c>
      <c r="AY312" s="9">
        <v>3.47</v>
      </c>
      <c r="AZ312" s="9"/>
      <c r="BA312" s="9"/>
      <c r="BB312" s="9"/>
      <c r="BC312" s="11"/>
      <c r="BD312" s="9"/>
      <c r="BE312" s="9">
        <v>1.82</v>
      </c>
      <c r="BF312" s="9">
        <v>10.6</v>
      </c>
      <c r="BG312" s="12"/>
      <c r="BH312" s="10"/>
      <c r="BI312" s="9"/>
      <c r="BJ312" s="8">
        <f t="shared" si="184"/>
        <v>0.17169811320754719</v>
      </c>
      <c r="BK312" s="9"/>
      <c r="BL312" s="67">
        <f t="shared" si="185"/>
        <v>0.36782000000000004</v>
      </c>
      <c r="BM312" s="67">
        <f t="shared" si="186"/>
        <v>6.3154000000000002E-2</v>
      </c>
      <c r="BN312" s="67">
        <f t="shared" si="175"/>
        <v>5.9579245283018882E-3</v>
      </c>
    </row>
    <row r="313" spans="1:543" x14ac:dyDescent="0.3">
      <c r="A313" s="22" t="s">
        <v>54</v>
      </c>
      <c r="B313" s="70">
        <v>1.26</v>
      </c>
      <c r="C313" s="8"/>
      <c r="D313" s="8"/>
      <c r="E313" s="8"/>
      <c r="F313" s="13"/>
      <c r="G313" s="8"/>
      <c r="H313" s="8"/>
      <c r="I313" s="8">
        <v>1.4</v>
      </c>
      <c r="J313" s="9"/>
      <c r="K313" s="10">
        <v>2</v>
      </c>
      <c r="L313" s="8">
        <f t="shared" si="176"/>
        <v>1.4285714285714286</v>
      </c>
      <c r="M313" s="8"/>
      <c r="N313" s="67">
        <f t="shared" si="177"/>
        <v>1.7639999999999999E-2</v>
      </c>
      <c r="O313" s="67">
        <f t="shared" si="178"/>
        <v>2.52E-2</v>
      </c>
      <c r="P313" s="67">
        <f t="shared" si="171"/>
        <v>1.8000000000000002E-2</v>
      </c>
      <c r="Q313" s="22" t="s">
        <v>54</v>
      </c>
      <c r="R313" s="7">
        <v>1.72</v>
      </c>
      <c r="S313" s="8"/>
      <c r="T313" s="8"/>
      <c r="U313" s="8"/>
      <c r="V313" s="13"/>
      <c r="W313" s="8"/>
      <c r="X313" s="8">
        <v>1.55</v>
      </c>
      <c r="Y313" s="8">
        <v>2.5</v>
      </c>
      <c r="Z313" s="10"/>
      <c r="AA313" s="10"/>
      <c r="AB313" s="8">
        <f t="shared" si="187"/>
        <v>0.62</v>
      </c>
      <c r="AC313" s="8"/>
      <c r="AD313" s="67">
        <f t="shared" si="179"/>
        <v>2.666E-2</v>
      </c>
      <c r="AE313" s="67">
        <f t="shared" si="180"/>
        <v>4.2999999999999997E-2</v>
      </c>
      <c r="AF313" s="67">
        <f t="shared" si="188"/>
        <v>1.0664E-2</v>
      </c>
      <c r="AG313" s="22" t="s">
        <v>54</v>
      </c>
      <c r="AH313" s="9">
        <v>1.75</v>
      </c>
      <c r="AI313" s="9"/>
      <c r="AJ313" s="9"/>
      <c r="AK313" s="9"/>
      <c r="AL313" s="11"/>
      <c r="AM313" s="9"/>
      <c r="AN313" s="9">
        <v>14.4</v>
      </c>
      <c r="AO313" s="9">
        <v>3</v>
      </c>
      <c r="AP313" s="10"/>
      <c r="AQ313" s="10"/>
      <c r="AR313" s="9"/>
      <c r="AS313" s="8">
        <f t="shared" si="181"/>
        <v>4.8</v>
      </c>
      <c r="AT313" s="9"/>
      <c r="AU313" s="67">
        <f t="shared" si="182"/>
        <v>5.2499999999999998E-2</v>
      </c>
      <c r="AV313" s="67">
        <f t="shared" si="183"/>
        <v>0.252</v>
      </c>
      <c r="AW313" s="67">
        <f t="shared" si="174"/>
        <v>8.4000000000000005E-2</v>
      </c>
      <c r="AX313" s="22" t="s">
        <v>54</v>
      </c>
      <c r="AY313" s="9">
        <v>2.91</v>
      </c>
      <c r="AZ313" s="9"/>
      <c r="BA313" s="9"/>
      <c r="BB313" s="9"/>
      <c r="BC313" s="11"/>
      <c r="BD313" s="9"/>
      <c r="BE313" s="9">
        <v>1.3</v>
      </c>
      <c r="BF313" s="9">
        <v>0.61</v>
      </c>
      <c r="BG313" s="12"/>
      <c r="BH313" s="10"/>
      <c r="BI313" s="9"/>
      <c r="BJ313" s="8">
        <f t="shared" si="184"/>
        <v>2.1311475409836067</v>
      </c>
      <c r="BK313" s="9"/>
      <c r="BL313" s="67">
        <f t="shared" si="185"/>
        <v>1.7751000000000003E-2</v>
      </c>
      <c r="BM313" s="67">
        <f t="shared" si="186"/>
        <v>3.7830000000000003E-2</v>
      </c>
      <c r="BN313" s="67">
        <f t="shared" si="175"/>
        <v>6.2016393442622962E-2</v>
      </c>
    </row>
    <row r="314" spans="1:543" x14ac:dyDescent="0.3">
      <c r="A314" s="22" t="s">
        <v>59</v>
      </c>
      <c r="B314" s="70">
        <v>3.46</v>
      </c>
      <c r="C314" s="8"/>
      <c r="D314" s="8"/>
      <c r="E314" s="8"/>
      <c r="F314" s="13"/>
      <c r="G314" s="8"/>
      <c r="H314" s="8"/>
      <c r="I314" s="8">
        <v>4.03</v>
      </c>
      <c r="J314" s="9"/>
      <c r="K314" s="10">
        <v>2.31</v>
      </c>
      <c r="L314" s="8">
        <f t="shared" si="176"/>
        <v>0.57320099255583123</v>
      </c>
      <c r="M314" s="8"/>
      <c r="N314" s="67">
        <f t="shared" si="177"/>
        <v>0.13943800000000001</v>
      </c>
      <c r="O314" s="67">
        <f t="shared" si="178"/>
        <v>7.9925999999999997E-2</v>
      </c>
      <c r="P314" s="67">
        <f t="shared" si="171"/>
        <v>1.9832754342431761E-2</v>
      </c>
      <c r="Q314" s="22" t="s">
        <v>59</v>
      </c>
      <c r="R314" s="7">
        <v>0.69</v>
      </c>
      <c r="S314" s="8"/>
      <c r="T314" s="8"/>
      <c r="U314" s="8"/>
      <c r="V314" s="13"/>
      <c r="W314" s="8"/>
      <c r="X314" s="8">
        <v>0.64</v>
      </c>
      <c r="Y314" s="8">
        <v>5.09</v>
      </c>
      <c r="Z314" s="10"/>
      <c r="AA314" s="10"/>
      <c r="AB314" s="8">
        <f t="shared" si="187"/>
        <v>0.1257367387033399</v>
      </c>
      <c r="AC314" s="8"/>
      <c r="AD314" s="67">
        <f t="shared" si="179"/>
        <v>4.4159999999999998E-3</v>
      </c>
      <c r="AE314" s="67">
        <f t="shared" si="180"/>
        <v>3.5120999999999999E-2</v>
      </c>
      <c r="AF314" s="67">
        <f t="shared" si="188"/>
        <v>8.6758349705304521E-4</v>
      </c>
      <c r="AG314" s="22" t="s">
        <v>59</v>
      </c>
      <c r="AH314" s="9">
        <v>4.32</v>
      </c>
      <c r="AI314" s="9"/>
      <c r="AJ314" s="9"/>
      <c r="AK314" s="9"/>
      <c r="AL314" s="11"/>
      <c r="AM314" s="9"/>
      <c r="AN314" s="9">
        <v>4.3600000000000003</v>
      </c>
      <c r="AO314" s="9">
        <v>3.09</v>
      </c>
      <c r="AP314" s="10"/>
      <c r="AQ314" s="10"/>
      <c r="AR314" s="9"/>
      <c r="AS314" s="8">
        <f t="shared" si="181"/>
        <v>1.4110032362459548</v>
      </c>
      <c r="AT314" s="9"/>
      <c r="AU314" s="67">
        <f t="shared" si="182"/>
        <v>0.133488</v>
      </c>
      <c r="AV314" s="67">
        <f t="shared" si="183"/>
        <v>0.18835200000000005</v>
      </c>
      <c r="AW314" s="67">
        <f t="shared" si="174"/>
        <v>6.0955339805825251E-2</v>
      </c>
      <c r="AX314" s="22" t="s">
        <v>59</v>
      </c>
      <c r="AY314" s="9">
        <v>1.59</v>
      </c>
      <c r="AZ314" s="9"/>
      <c r="BA314" s="9"/>
      <c r="BB314" s="9"/>
      <c r="BC314" s="11"/>
      <c r="BD314" s="9"/>
      <c r="BE314" s="9">
        <v>2.4</v>
      </c>
      <c r="BF314" s="9">
        <v>6.01</v>
      </c>
      <c r="BG314" s="12"/>
      <c r="BH314" s="10"/>
      <c r="BI314" s="9"/>
      <c r="BJ314" s="8">
        <f t="shared" si="184"/>
        <v>0.39933444259567386</v>
      </c>
      <c r="BK314" s="9"/>
      <c r="BL314" s="67">
        <f t="shared" si="185"/>
        <v>9.5558999999999991E-2</v>
      </c>
      <c r="BM314" s="67">
        <f t="shared" si="186"/>
        <v>3.8159999999999999E-2</v>
      </c>
      <c r="BN314" s="67">
        <f t="shared" si="175"/>
        <v>6.3494176372712145E-3</v>
      </c>
    </row>
    <row r="315" spans="1:543" x14ac:dyDescent="0.3">
      <c r="A315" s="22" t="s">
        <v>60</v>
      </c>
      <c r="B315" s="70">
        <v>6.25</v>
      </c>
      <c r="C315" s="8"/>
      <c r="D315" s="8"/>
      <c r="E315" s="8"/>
      <c r="F315" s="13"/>
      <c r="G315" s="8"/>
      <c r="H315" s="8"/>
      <c r="I315" s="8">
        <v>5.94</v>
      </c>
      <c r="J315" s="9"/>
      <c r="K315" s="10">
        <v>2.6</v>
      </c>
      <c r="L315" s="8">
        <f t="shared" si="176"/>
        <v>0.43771043771043772</v>
      </c>
      <c r="M315" s="8"/>
      <c r="N315" s="67">
        <f t="shared" si="177"/>
        <v>0.37125000000000002</v>
      </c>
      <c r="O315" s="67">
        <f t="shared" si="178"/>
        <v>0.16250000000000001</v>
      </c>
      <c r="P315" s="67">
        <f t="shared" si="171"/>
        <v>2.7356902356902357E-2</v>
      </c>
      <c r="Q315" s="22" t="s">
        <v>60</v>
      </c>
      <c r="R315" s="7">
        <v>5.74</v>
      </c>
      <c r="S315" s="8"/>
      <c r="T315" s="8"/>
      <c r="U315" s="8"/>
      <c r="V315" s="13"/>
      <c r="W315" s="8"/>
      <c r="X315" s="8">
        <v>1.63</v>
      </c>
      <c r="Y315" s="8">
        <v>7.95</v>
      </c>
      <c r="Z315" s="10"/>
      <c r="AA315" s="10"/>
      <c r="AB315" s="8">
        <f t="shared" si="187"/>
        <v>0.20503144654088049</v>
      </c>
      <c r="AC315" s="8"/>
      <c r="AD315" s="67">
        <f t="shared" si="179"/>
        <v>9.3561999999999992E-2</v>
      </c>
      <c r="AE315" s="67">
        <f t="shared" si="180"/>
        <v>0.45633000000000001</v>
      </c>
      <c r="AF315" s="67">
        <f t="shared" si="188"/>
        <v>1.176880503144654E-2</v>
      </c>
      <c r="AG315" s="22" t="s">
        <v>60</v>
      </c>
      <c r="AH315" s="9">
        <v>1.65</v>
      </c>
      <c r="AI315" s="9"/>
      <c r="AJ315" s="9"/>
      <c r="AK315" s="9"/>
      <c r="AL315" s="11"/>
      <c r="AM315" s="9"/>
      <c r="AN315" s="9">
        <v>5.63</v>
      </c>
      <c r="AO315" s="9">
        <v>14.7</v>
      </c>
      <c r="AP315" s="10"/>
      <c r="AQ315" s="10"/>
      <c r="AR315" s="9"/>
      <c r="AS315" s="8">
        <f t="shared" si="181"/>
        <v>0.38299319727891157</v>
      </c>
      <c r="AT315" s="9"/>
      <c r="AU315" s="67">
        <f t="shared" si="182"/>
        <v>0.24254999999999999</v>
      </c>
      <c r="AV315" s="67">
        <f t="shared" si="183"/>
        <v>9.2894999999999991E-2</v>
      </c>
      <c r="AW315" s="67">
        <f t="shared" si="174"/>
        <v>6.3193877551020409E-3</v>
      </c>
      <c r="AX315" s="22" t="s">
        <v>60</v>
      </c>
      <c r="AY315" s="9">
        <v>1.59</v>
      </c>
      <c r="AZ315" s="9"/>
      <c r="BA315" s="9"/>
      <c r="BB315" s="9"/>
      <c r="BC315" s="11"/>
      <c r="BD315" s="9"/>
      <c r="BE315" s="9">
        <v>5.35</v>
      </c>
      <c r="BF315" s="9">
        <v>14.7</v>
      </c>
      <c r="BG315" s="12"/>
      <c r="BH315" s="10"/>
      <c r="BI315" s="9"/>
      <c r="BJ315" s="8">
        <f t="shared" si="184"/>
        <v>0.36394557823129253</v>
      </c>
      <c r="BK315" s="9"/>
      <c r="BL315" s="67">
        <f t="shared" si="185"/>
        <v>0.23373000000000002</v>
      </c>
      <c r="BM315" s="67">
        <f t="shared" si="186"/>
        <v>8.5064999999999988E-2</v>
      </c>
      <c r="BN315" s="67">
        <f t="shared" si="175"/>
        <v>5.7867346938775509E-3</v>
      </c>
    </row>
    <row r="316" spans="1:543" x14ac:dyDescent="0.3">
      <c r="A316" s="22" t="s">
        <v>55</v>
      </c>
      <c r="B316" s="70">
        <v>3.37</v>
      </c>
      <c r="C316" s="8"/>
      <c r="D316" s="8"/>
      <c r="E316" s="8"/>
      <c r="F316" s="13"/>
      <c r="G316" s="8"/>
      <c r="H316" s="8"/>
      <c r="I316" s="8">
        <v>1.1100000000000001</v>
      </c>
      <c r="J316" s="9"/>
      <c r="K316" s="10">
        <v>3.6</v>
      </c>
      <c r="L316" s="8">
        <f t="shared" si="176"/>
        <v>3.243243243243243</v>
      </c>
      <c r="M316" s="8"/>
      <c r="N316" s="67">
        <f t="shared" si="177"/>
        <v>3.7407000000000003E-2</v>
      </c>
      <c r="O316" s="67">
        <f t="shared" si="178"/>
        <v>0.12132000000000001</v>
      </c>
      <c r="P316" s="67">
        <f t="shared" si="171"/>
        <v>0.10929729729729729</v>
      </c>
      <c r="Q316" s="22" t="s">
        <v>55</v>
      </c>
      <c r="R316" s="7">
        <v>2.71</v>
      </c>
      <c r="S316" s="8"/>
      <c r="T316" s="8"/>
      <c r="U316" s="8"/>
      <c r="V316" s="13"/>
      <c r="W316" s="8"/>
      <c r="X316" s="8">
        <v>1.59</v>
      </c>
      <c r="Y316" s="8">
        <v>3.91</v>
      </c>
      <c r="Z316" s="10"/>
      <c r="AA316" s="10"/>
      <c r="AB316" s="8">
        <f t="shared" si="187"/>
        <v>0.40664961636828645</v>
      </c>
      <c r="AC316" s="8"/>
      <c r="AD316" s="67">
        <f t="shared" si="179"/>
        <v>4.3089000000000002E-2</v>
      </c>
      <c r="AE316" s="67">
        <f t="shared" si="180"/>
        <v>0.105961</v>
      </c>
      <c r="AF316" s="67">
        <f t="shared" si="188"/>
        <v>1.1020204603580563E-2</v>
      </c>
      <c r="AG316" s="22" t="s">
        <v>55</v>
      </c>
      <c r="AH316" s="9">
        <v>1.79</v>
      </c>
      <c r="AI316" s="9"/>
      <c r="AJ316" s="9"/>
      <c r="AK316" s="9"/>
      <c r="AL316" s="11"/>
      <c r="AM316" s="9"/>
      <c r="AN316" s="9">
        <v>14.7</v>
      </c>
      <c r="AO316" s="9">
        <v>11.2</v>
      </c>
      <c r="AP316" s="10"/>
      <c r="AQ316" s="10"/>
      <c r="AR316" s="9"/>
      <c r="AS316" s="8">
        <f t="shared" si="181"/>
        <v>1.3125</v>
      </c>
      <c r="AT316" s="9"/>
      <c r="AU316" s="67">
        <f t="shared" si="182"/>
        <v>0.20047999999999999</v>
      </c>
      <c r="AV316" s="67">
        <f t="shared" si="183"/>
        <v>0.26312999999999998</v>
      </c>
      <c r="AW316" s="67">
        <f t="shared" si="174"/>
        <v>2.3493750000000001E-2</v>
      </c>
      <c r="AX316" s="22" t="s">
        <v>55</v>
      </c>
      <c r="AY316" s="9">
        <v>2.15</v>
      </c>
      <c r="AZ316" s="9"/>
      <c r="BA316" s="9"/>
      <c r="BB316" s="9"/>
      <c r="BC316" s="11"/>
      <c r="BD316" s="9"/>
      <c r="BE316" s="9">
        <v>4.9000000000000004</v>
      </c>
      <c r="BF316" s="9">
        <v>3.17</v>
      </c>
      <c r="BG316" s="12"/>
      <c r="BH316" s="10"/>
      <c r="BI316" s="9"/>
      <c r="BJ316" s="8">
        <f t="shared" si="184"/>
        <v>1.5457413249211358</v>
      </c>
      <c r="BK316" s="9"/>
      <c r="BL316" s="67">
        <f t="shared" si="185"/>
        <v>6.8154999999999993E-2</v>
      </c>
      <c r="BM316" s="67">
        <f t="shared" si="186"/>
        <v>0.10535</v>
      </c>
      <c r="BN316" s="67">
        <f t="shared" si="175"/>
        <v>3.3233438485804422E-2</v>
      </c>
    </row>
    <row r="317" spans="1:543" x14ac:dyDescent="0.3">
      <c r="A317" s="70" t="s">
        <v>64</v>
      </c>
      <c r="B317" s="70">
        <v>38.6</v>
      </c>
      <c r="C317" s="72"/>
      <c r="D317" s="72"/>
      <c r="E317" s="72"/>
      <c r="F317" s="72"/>
      <c r="G317" s="72"/>
      <c r="H317" s="72"/>
      <c r="I317" s="72">
        <v>0.31</v>
      </c>
      <c r="J317" s="73"/>
      <c r="K317" s="70">
        <v>0.17</v>
      </c>
      <c r="L317" s="8">
        <f t="shared" si="176"/>
        <v>0.54838709677419362</v>
      </c>
      <c r="M317" s="72"/>
      <c r="N317" s="67">
        <f t="shared" si="177"/>
        <v>0.11966000000000002</v>
      </c>
      <c r="O317" s="67">
        <f t="shared" si="178"/>
        <v>6.5619999999999998E-2</v>
      </c>
      <c r="P317" s="67">
        <f t="shared" si="171"/>
        <v>0.21167741935483875</v>
      </c>
      <c r="Q317" s="70" t="s">
        <v>64</v>
      </c>
      <c r="R317" s="7">
        <v>28.8</v>
      </c>
      <c r="S317" s="8"/>
      <c r="T317" s="8"/>
      <c r="U317" s="8"/>
      <c r="V317" s="13"/>
      <c r="W317" s="8"/>
      <c r="X317" s="8">
        <v>9.2999999999999999E-2</v>
      </c>
      <c r="Y317" s="8">
        <v>4.2999999999999997E-2</v>
      </c>
      <c r="Z317" s="10"/>
      <c r="AA317" s="10"/>
      <c r="AB317" s="8">
        <f t="shared" si="187"/>
        <v>2.1627906976744189</v>
      </c>
      <c r="AC317" s="8"/>
      <c r="AD317" s="67">
        <f t="shared" si="179"/>
        <v>2.6783999999999999E-2</v>
      </c>
      <c r="AE317" s="67">
        <f t="shared" si="180"/>
        <v>1.2383999999999999E-2</v>
      </c>
      <c r="AF317" s="67">
        <f t="shared" si="188"/>
        <v>0.62288372093023259</v>
      </c>
      <c r="AG317" s="22" t="s">
        <v>64</v>
      </c>
      <c r="AH317" s="74"/>
      <c r="AI317" s="74"/>
      <c r="AJ317" s="74"/>
      <c r="AK317" s="74"/>
      <c r="AL317" s="74"/>
      <c r="AM317" s="74"/>
      <c r="AN317" s="74"/>
      <c r="AO317" s="74"/>
      <c r="AP317" s="75"/>
      <c r="AQ317" s="75"/>
      <c r="AR317" s="74"/>
      <c r="AS317" s="76"/>
      <c r="AT317" s="60"/>
      <c r="AU317" s="60"/>
      <c r="AV317" s="60"/>
      <c r="AW317" s="60"/>
      <c r="AX317" s="22" t="s">
        <v>64</v>
      </c>
      <c r="AY317" s="62"/>
      <c r="AZ317" s="62"/>
      <c r="BA317" s="62"/>
      <c r="BB317" s="62"/>
      <c r="BC317" s="63"/>
      <c r="BD317" s="62"/>
      <c r="BE317" s="62"/>
      <c r="BF317" s="62"/>
      <c r="BG317" s="71"/>
      <c r="BH317" s="65"/>
      <c r="BI317" s="62"/>
      <c r="BJ317" s="60"/>
      <c r="BK317" s="60"/>
      <c r="BL317" s="60"/>
      <c r="BM317" s="60"/>
      <c r="BN317" s="60"/>
    </row>
    <row r="318" spans="1:543" x14ac:dyDescent="0.3">
      <c r="A318" s="70" t="s">
        <v>41</v>
      </c>
      <c r="B318" s="70">
        <v>4.09</v>
      </c>
      <c r="C318" s="72"/>
      <c r="D318" s="72"/>
      <c r="E318" s="72"/>
      <c r="F318" s="72"/>
      <c r="G318" s="72"/>
      <c r="H318" s="72"/>
      <c r="I318" s="72">
        <v>3.86</v>
      </c>
      <c r="J318" s="73"/>
      <c r="K318" s="70">
        <v>1.84</v>
      </c>
      <c r="L318" s="8">
        <f t="shared" si="176"/>
        <v>0.47668393782383423</v>
      </c>
      <c r="M318" s="72"/>
      <c r="N318" s="67">
        <f t="shared" si="177"/>
        <v>0.15787399999999999</v>
      </c>
      <c r="O318" s="67">
        <f t="shared" si="178"/>
        <v>7.5256000000000003E-2</v>
      </c>
      <c r="P318" s="67">
        <f t="shared" si="171"/>
        <v>1.9496373056994819E-2</v>
      </c>
      <c r="Q318" s="70" t="s">
        <v>41</v>
      </c>
      <c r="R318" s="7">
        <v>3.13</v>
      </c>
      <c r="S318" s="8"/>
      <c r="T318" s="8"/>
      <c r="U318" s="8"/>
      <c r="V318" s="13"/>
      <c r="W318" s="8"/>
      <c r="X318" s="8">
        <v>5.77</v>
      </c>
      <c r="Y318" s="8">
        <v>4.79</v>
      </c>
      <c r="Z318" s="10"/>
      <c r="AA318" s="10"/>
      <c r="AB318" s="8">
        <f t="shared" si="187"/>
        <v>1.2045929018789143</v>
      </c>
      <c r="AC318" s="8"/>
      <c r="AD318" s="67">
        <f t="shared" si="179"/>
        <v>0.18060099999999998</v>
      </c>
      <c r="AE318" s="67">
        <f t="shared" si="180"/>
        <v>0.149927</v>
      </c>
      <c r="AF318" s="67">
        <f t="shared" si="188"/>
        <v>3.7703757828810018E-2</v>
      </c>
      <c r="AG318" s="22" t="s">
        <v>41</v>
      </c>
      <c r="AH318" s="9">
        <v>2.2999999999999998</v>
      </c>
      <c r="AI318" s="9"/>
      <c r="AJ318" s="9"/>
      <c r="AK318" s="9"/>
      <c r="AL318" s="11"/>
      <c r="AM318" s="9"/>
      <c r="AN318" s="8">
        <v>13.4</v>
      </c>
      <c r="AO318" s="8">
        <v>2.36</v>
      </c>
      <c r="AP318" s="10"/>
      <c r="AQ318" s="10"/>
      <c r="AR318" s="9"/>
      <c r="AS318" s="8">
        <f>AN318/AO318</f>
        <v>5.6779661016949161</v>
      </c>
      <c r="AT318" s="9"/>
      <c r="AU318" s="67">
        <f>AH318*AO318/100</f>
        <v>5.4279999999999988E-2</v>
      </c>
      <c r="AV318" s="67">
        <f>AN318*AH318/100</f>
        <v>0.30819999999999997</v>
      </c>
      <c r="AW318" s="67">
        <f>AS318*AH318/100</f>
        <v>0.13059322033898307</v>
      </c>
      <c r="AX318" s="22" t="s">
        <v>41</v>
      </c>
      <c r="AY318" s="9">
        <v>2.4</v>
      </c>
      <c r="AZ318" s="9"/>
      <c r="BA318" s="9"/>
      <c r="BB318" s="9"/>
      <c r="BC318" s="11"/>
      <c r="BD318" s="9"/>
      <c r="BE318" s="8">
        <v>29.2</v>
      </c>
      <c r="BF318" s="8">
        <v>3.63</v>
      </c>
      <c r="BG318" s="8"/>
      <c r="BH318" s="10"/>
      <c r="BI318" s="9"/>
      <c r="BJ318" s="8">
        <f t="shared" si="184"/>
        <v>8.0440771349862263</v>
      </c>
      <c r="BK318" s="9"/>
      <c r="BL318" s="67">
        <f>BF318*AY318/100</f>
        <v>8.7120000000000003E-2</v>
      </c>
      <c r="BM318" s="67">
        <f>BE318*AY318/100</f>
        <v>0.70079999999999998</v>
      </c>
      <c r="BN318" s="67">
        <f>BJ318*AY318/100</f>
        <v>0.19305785123966943</v>
      </c>
    </row>
    <row r="319" spans="1:543" x14ac:dyDescent="0.3">
      <c r="A319" s="22" t="s">
        <v>66</v>
      </c>
      <c r="B319" s="70">
        <v>36</v>
      </c>
      <c r="C319" s="8"/>
      <c r="D319" s="8"/>
      <c r="E319" s="8"/>
      <c r="F319" s="13"/>
      <c r="G319" s="8"/>
      <c r="H319" s="8"/>
      <c r="I319" s="8">
        <v>0.36</v>
      </c>
      <c r="J319" s="8"/>
      <c r="K319" s="8">
        <v>9.1999999999999998E-2</v>
      </c>
      <c r="L319" s="8">
        <f t="shared" si="176"/>
        <v>0.25555555555555554</v>
      </c>
      <c r="M319" s="8"/>
      <c r="N319" s="67">
        <f t="shared" si="177"/>
        <v>0.12959999999999999</v>
      </c>
      <c r="O319" s="67">
        <f t="shared" si="178"/>
        <v>3.3119999999999997E-2</v>
      </c>
      <c r="P319" s="67">
        <f t="shared" si="171"/>
        <v>9.1999999999999998E-2</v>
      </c>
      <c r="Q319" s="70" t="s">
        <v>66</v>
      </c>
      <c r="R319" s="7">
        <v>17.399999999999999</v>
      </c>
      <c r="S319" s="8"/>
      <c r="T319" s="8"/>
      <c r="U319" s="8"/>
      <c r="V319" s="13"/>
      <c r="W319" s="8"/>
      <c r="X319" s="8">
        <v>3.9E-2</v>
      </c>
      <c r="Y319" s="8">
        <v>0.14000000000000001</v>
      </c>
      <c r="Z319" s="10"/>
      <c r="AA319" s="10"/>
      <c r="AB319" s="8">
        <f t="shared" si="187"/>
        <v>0.27857142857142853</v>
      </c>
      <c r="AC319" s="8"/>
      <c r="AD319" s="67">
        <f t="shared" si="179"/>
        <v>6.7859999999999995E-3</v>
      </c>
      <c r="AE319" s="67">
        <f t="shared" si="180"/>
        <v>2.436E-2</v>
      </c>
      <c r="AF319" s="67">
        <f t="shared" si="188"/>
        <v>4.8471428571428561E-2</v>
      </c>
      <c r="AG319" s="22" t="s">
        <v>66</v>
      </c>
      <c r="AH319" s="62"/>
      <c r="AI319" s="62"/>
      <c r="AJ319" s="62"/>
      <c r="AK319" s="62"/>
      <c r="AL319" s="63"/>
      <c r="AM319" s="62"/>
      <c r="AN319" s="62"/>
      <c r="AO319" s="62"/>
      <c r="AP319" s="65"/>
      <c r="AQ319" s="65"/>
      <c r="AR319" s="62"/>
      <c r="AS319" s="60"/>
      <c r="AT319" s="60"/>
      <c r="AU319" s="60"/>
      <c r="AV319" s="60"/>
      <c r="AW319" s="60"/>
      <c r="AX319" s="22" t="s">
        <v>66</v>
      </c>
      <c r="AY319" s="62"/>
      <c r="AZ319" s="62"/>
      <c r="BA319" s="62"/>
      <c r="BB319" s="62"/>
      <c r="BC319" s="63"/>
      <c r="BD319" s="62"/>
      <c r="BE319" s="62"/>
      <c r="BF319" s="62"/>
      <c r="BG319" s="71"/>
      <c r="BH319" s="65"/>
      <c r="BI319" s="62"/>
      <c r="BJ319" s="60"/>
      <c r="BK319" s="60"/>
      <c r="BL319" s="60"/>
      <c r="BM319" s="60"/>
      <c r="BN319" s="60"/>
    </row>
    <row r="320" spans="1:543" s="77" customFormat="1" x14ac:dyDescent="0.3">
      <c r="A320" s="70" t="s">
        <v>67</v>
      </c>
      <c r="B320" s="70">
        <v>26.2</v>
      </c>
      <c r="C320" s="8"/>
      <c r="D320" s="8"/>
      <c r="E320" s="8"/>
      <c r="F320" s="13"/>
      <c r="G320" s="8"/>
      <c r="H320" s="8"/>
      <c r="I320" s="8">
        <v>6.4000000000000001E-2</v>
      </c>
      <c r="J320" s="9"/>
      <c r="K320" s="10">
        <v>4.2999999999999997E-2</v>
      </c>
      <c r="L320" s="8">
        <f t="shared" si="176"/>
        <v>0.67187499999999989</v>
      </c>
      <c r="M320" s="8"/>
      <c r="N320" s="67">
        <f t="shared" si="177"/>
        <v>1.6768000000000002E-2</v>
      </c>
      <c r="O320" s="67">
        <f t="shared" si="178"/>
        <v>1.1265999999999998E-2</v>
      </c>
      <c r="P320" s="67">
        <f t="shared" si="171"/>
        <v>0.17603124999999994</v>
      </c>
      <c r="Q320" s="70" t="s">
        <v>67</v>
      </c>
      <c r="R320" s="68"/>
      <c r="S320" s="60"/>
      <c r="T320" s="60"/>
      <c r="U320" s="60"/>
      <c r="V320" s="61"/>
      <c r="W320" s="60"/>
      <c r="X320" s="60"/>
      <c r="Y320" s="60"/>
      <c r="Z320" s="65"/>
      <c r="AA320" s="65"/>
      <c r="AB320" s="60"/>
      <c r="AC320" s="60"/>
      <c r="AD320" s="60"/>
      <c r="AE320" s="60"/>
      <c r="AF320" s="60"/>
      <c r="AG320" s="70" t="s">
        <v>67</v>
      </c>
      <c r="AH320" s="62"/>
      <c r="AI320" s="62"/>
      <c r="AJ320" s="62"/>
      <c r="AK320" s="62"/>
      <c r="AL320" s="63"/>
      <c r="AM320" s="62"/>
      <c r="AN320" s="62"/>
      <c r="AO320" s="62"/>
      <c r="AP320" s="65"/>
      <c r="AQ320" s="65"/>
      <c r="AR320" s="62"/>
      <c r="AS320" s="60"/>
      <c r="AT320" s="60"/>
      <c r="AU320" s="60"/>
      <c r="AV320" s="60"/>
      <c r="AW320" s="60"/>
      <c r="AX320" s="70" t="s">
        <v>67</v>
      </c>
      <c r="AY320" s="62"/>
      <c r="AZ320" s="62"/>
      <c r="BA320" s="62"/>
      <c r="BB320" s="62"/>
      <c r="BC320" s="63"/>
      <c r="BD320" s="62"/>
      <c r="BE320" s="62"/>
      <c r="BF320" s="62"/>
      <c r="BG320" s="71"/>
      <c r="BH320" s="65"/>
      <c r="BI320" s="62"/>
      <c r="BJ320" s="60"/>
      <c r="BK320" s="60"/>
      <c r="BL320" s="60"/>
      <c r="BM320" s="60"/>
      <c r="BN320" s="60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  <c r="JF320" s="9"/>
      <c r="JG320" s="9"/>
      <c r="JH320" s="9"/>
      <c r="JI320" s="9"/>
      <c r="JJ320" s="9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  <c r="JY320" s="9"/>
      <c r="JZ320" s="9"/>
      <c r="KA320" s="9"/>
      <c r="KB320" s="9"/>
      <c r="KC320" s="9"/>
      <c r="KD320" s="9"/>
      <c r="KE320" s="9"/>
      <c r="KF320" s="9"/>
      <c r="KG320" s="9"/>
      <c r="KH320" s="9"/>
      <c r="KI320" s="9"/>
      <c r="KJ320" s="9"/>
      <c r="KK320" s="9"/>
      <c r="KL320" s="9"/>
      <c r="KM320" s="9"/>
      <c r="KN320" s="9"/>
      <c r="KO320" s="9"/>
      <c r="KP320" s="9"/>
      <c r="KQ320" s="9"/>
      <c r="KR320" s="9"/>
      <c r="KS320" s="9"/>
      <c r="KT320" s="9"/>
      <c r="KU320" s="9"/>
      <c r="KV320" s="9"/>
      <c r="KW320" s="9"/>
      <c r="KX320" s="9"/>
      <c r="KY320" s="9"/>
      <c r="KZ320" s="9"/>
      <c r="LA320" s="9"/>
      <c r="LB320" s="9"/>
      <c r="LC320" s="9"/>
      <c r="LD320" s="9"/>
      <c r="LE320" s="9"/>
      <c r="LF320" s="9"/>
      <c r="LG320" s="9"/>
      <c r="LH320" s="9"/>
      <c r="LI320" s="9"/>
      <c r="LJ320" s="9"/>
      <c r="LK320" s="9"/>
      <c r="LL320" s="9"/>
      <c r="LM320" s="9"/>
      <c r="LN320" s="9"/>
      <c r="LO320" s="9"/>
      <c r="LP320" s="9"/>
      <c r="LQ320" s="9"/>
      <c r="LR320" s="9"/>
      <c r="LS320" s="9"/>
      <c r="LT320" s="9"/>
      <c r="LU320" s="9"/>
      <c r="LV320" s="9"/>
      <c r="LW320" s="9"/>
      <c r="LX320" s="9"/>
      <c r="LY320" s="9"/>
      <c r="LZ320" s="9"/>
      <c r="MA320" s="9"/>
      <c r="MB320" s="9"/>
      <c r="MC320" s="9"/>
      <c r="MD320" s="9"/>
      <c r="ME320" s="9"/>
      <c r="MF320" s="9"/>
      <c r="MG320" s="9"/>
      <c r="MH320" s="9"/>
      <c r="MI320" s="9"/>
      <c r="MJ320" s="9"/>
      <c r="MK320" s="9"/>
      <c r="ML320" s="9"/>
      <c r="MM320" s="9"/>
      <c r="MN320" s="9"/>
      <c r="MO320" s="9"/>
      <c r="MP320" s="9"/>
      <c r="MQ320" s="9"/>
      <c r="MR320" s="9"/>
      <c r="MS320" s="9"/>
      <c r="MT320" s="9"/>
      <c r="MU320" s="9"/>
      <c r="MV320" s="9"/>
      <c r="MW320" s="9"/>
      <c r="MX320" s="9"/>
      <c r="MY320" s="9"/>
      <c r="MZ320" s="9"/>
      <c r="NA320" s="9"/>
      <c r="NB320" s="9"/>
      <c r="NC320" s="9"/>
      <c r="ND320" s="9"/>
      <c r="NE320" s="9"/>
      <c r="NF320" s="9"/>
      <c r="NG320" s="9"/>
      <c r="NH320" s="9"/>
      <c r="NI320" s="9"/>
      <c r="NJ320" s="9"/>
      <c r="NK320" s="9"/>
      <c r="NL320" s="9"/>
      <c r="NM320" s="9"/>
      <c r="NN320" s="9"/>
      <c r="NO320" s="9"/>
      <c r="NP320" s="9"/>
      <c r="NQ320" s="9"/>
      <c r="NR320" s="9"/>
      <c r="NS320" s="9"/>
      <c r="NT320" s="9"/>
      <c r="NU320" s="9"/>
      <c r="NV320" s="9"/>
      <c r="NW320" s="9"/>
      <c r="NX320" s="9"/>
      <c r="NY320" s="9"/>
      <c r="NZ320" s="9"/>
      <c r="OA320" s="9"/>
      <c r="OB320" s="9"/>
      <c r="OC320" s="9"/>
      <c r="OD320" s="9"/>
      <c r="OE320" s="9"/>
      <c r="OF320" s="9"/>
      <c r="OG320" s="9"/>
      <c r="OH320" s="9"/>
      <c r="OI320" s="9"/>
      <c r="OJ320" s="9"/>
      <c r="OK320" s="9"/>
      <c r="OL320" s="9"/>
      <c r="OM320" s="9"/>
      <c r="ON320" s="9"/>
      <c r="OO320" s="9"/>
      <c r="OP320" s="9"/>
      <c r="OQ320" s="9"/>
      <c r="OR320" s="9"/>
      <c r="OS320" s="9"/>
      <c r="OT320" s="9"/>
      <c r="OU320" s="9"/>
      <c r="OV320" s="9"/>
      <c r="OW320" s="9"/>
      <c r="OX320" s="9"/>
      <c r="OY320" s="9"/>
      <c r="OZ320" s="9"/>
      <c r="PA320" s="9"/>
      <c r="PB320" s="9"/>
      <c r="PC320" s="9"/>
      <c r="PD320" s="9"/>
      <c r="PE320" s="9"/>
      <c r="PF320" s="9"/>
      <c r="PG320" s="9"/>
      <c r="PH320" s="9"/>
      <c r="PI320" s="9"/>
      <c r="PJ320" s="9"/>
      <c r="PK320" s="9"/>
      <c r="PL320" s="9"/>
      <c r="PM320" s="9"/>
      <c r="PN320" s="9"/>
      <c r="PO320" s="9"/>
      <c r="PP320" s="9"/>
      <c r="PQ320" s="9"/>
      <c r="PR320" s="9"/>
      <c r="PS320" s="9"/>
      <c r="PT320" s="9"/>
      <c r="PU320" s="9"/>
      <c r="PV320" s="9"/>
      <c r="PW320" s="9"/>
      <c r="PX320" s="9"/>
      <c r="PY320" s="9"/>
      <c r="PZ320" s="9"/>
      <c r="QA320" s="9"/>
      <c r="QB320" s="9"/>
      <c r="QC320" s="9"/>
      <c r="QD320" s="9"/>
      <c r="QE320" s="9"/>
      <c r="QF320" s="9"/>
      <c r="QG320" s="9"/>
      <c r="QH320" s="9"/>
      <c r="QI320" s="9"/>
      <c r="QJ320" s="9"/>
      <c r="QK320" s="9"/>
      <c r="QL320" s="9"/>
      <c r="QM320" s="9"/>
      <c r="QN320" s="9"/>
      <c r="QO320" s="9"/>
      <c r="QP320" s="9"/>
      <c r="QQ320" s="9"/>
      <c r="QR320" s="9"/>
      <c r="QS320" s="9"/>
      <c r="QT320" s="9"/>
      <c r="QU320" s="9"/>
      <c r="QV320" s="9"/>
      <c r="QW320" s="9"/>
      <c r="QX320" s="9"/>
      <c r="QY320" s="9"/>
      <c r="QZ320" s="9"/>
      <c r="RA320" s="9"/>
      <c r="RB320" s="9"/>
      <c r="RC320" s="9"/>
      <c r="RD320" s="9"/>
      <c r="RE320" s="9"/>
      <c r="RF320" s="9"/>
      <c r="RG320" s="9"/>
      <c r="RH320" s="9"/>
      <c r="RI320" s="9"/>
      <c r="RJ320" s="9"/>
      <c r="RK320" s="9"/>
      <c r="RL320" s="9"/>
      <c r="RM320" s="9"/>
      <c r="RN320" s="9"/>
      <c r="RO320" s="9"/>
      <c r="RP320" s="9"/>
      <c r="RQ320" s="9"/>
      <c r="RR320" s="9"/>
      <c r="RS320" s="9"/>
      <c r="RT320" s="9"/>
      <c r="RU320" s="9"/>
      <c r="RV320" s="9"/>
      <c r="RW320" s="9"/>
      <c r="RX320" s="9"/>
      <c r="RY320" s="9"/>
      <c r="RZ320" s="9"/>
      <c r="SA320" s="9"/>
      <c r="SB320" s="9"/>
      <c r="SC320" s="9"/>
      <c r="SD320" s="9"/>
      <c r="SE320" s="9"/>
      <c r="SF320" s="9"/>
      <c r="SG320" s="9"/>
      <c r="SH320" s="9"/>
      <c r="SI320" s="9"/>
      <c r="SJ320" s="9"/>
      <c r="SK320" s="9"/>
      <c r="SL320" s="9"/>
      <c r="SM320" s="9"/>
      <c r="SN320" s="9"/>
      <c r="SO320" s="9"/>
      <c r="SP320" s="9"/>
      <c r="SQ320" s="9"/>
      <c r="SR320" s="9"/>
      <c r="SS320" s="9"/>
      <c r="ST320" s="9"/>
      <c r="SU320" s="9"/>
      <c r="SV320" s="9"/>
      <c r="SW320" s="9"/>
      <c r="SX320" s="9"/>
      <c r="SY320" s="9"/>
      <c r="SZ320" s="9"/>
      <c r="TA320" s="9"/>
      <c r="TB320" s="9"/>
      <c r="TC320" s="9"/>
      <c r="TD320" s="9"/>
      <c r="TE320" s="9"/>
      <c r="TF320" s="9"/>
      <c r="TG320" s="9"/>
      <c r="TH320" s="9"/>
      <c r="TI320" s="9"/>
      <c r="TJ320" s="9"/>
      <c r="TK320" s="9"/>
      <c r="TL320" s="9"/>
      <c r="TM320" s="9"/>
      <c r="TN320" s="9"/>
      <c r="TO320" s="9"/>
      <c r="TP320" s="9"/>
      <c r="TQ320" s="9"/>
      <c r="TR320" s="9"/>
      <c r="TS320" s="9"/>
      <c r="TT320" s="9"/>
      <c r="TU320" s="9"/>
      <c r="TV320" s="9"/>
      <c r="TW320" s="9"/>
    </row>
    <row r="321" spans="1:543" s="77" customFormat="1" x14ac:dyDescent="0.3">
      <c r="A321" s="70" t="s">
        <v>69</v>
      </c>
      <c r="B321" s="70">
        <v>28.8</v>
      </c>
      <c r="C321" s="8"/>
      <c r="D321" s="8"/>
      <c r="E321" s="8"/>
      <c r="F321" s="13"/>
      <c r="G321" s="8"/>
      <c r="H321" s="8"/>
      <c r="I321" s="8">
        <v>0.11</v>
      </c>
      <c r="J321" s="9"/>
      <c r="K321" s="10">
        <v>9.1999999999999998E-2</v>
      </c>
      <c r="L321" s="8">
        <f t="shared" si="176"/>
        <v>0.83636363636363631</v>
      </c>
      <c r="M321" s="8"/>
      <c r="N321" s="67">
        <f t="shared" si="177"/>
        <v>3.168E-2</v>
      </c>
      <c r="O321" s="67">
        <f t="shared" si="178"/>
        <v>2.6495999999999999E-2</v>
      </c>
      <c r="P321" s="67">
        <f t="shared" si="171"/>
        <v>0.24087272727272727</v>
      </c>
      <c r="Q321" s="70" t="s">
        <v>69</v>
      </c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0"/>
      <c r="AE321" s="60"/>
      <c r="AF321" s="60"/>
      <c r="AG321" s="70" t="s">
        <v>69</v>
      </c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0"/>
      <c r="AU321" s="60"/>
      <c r="AV321" s="60"/>
      <c r="AW321" s="60"/>
      <c r="AX321" s="70" t="s">
        <v>69</v>
      </c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0"/>
      <c r="BL321" s="60"/>
      <c r="BM321" s="60"/>
      <c r="BN321" s="60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  <c r="JF321" s="9"/>
      <c r="JG321" s="9"/>
      <c r="JH321" s="9"/>
      <c r="JI321" s="9"/>
      <c r="JJ321" s="9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  <c r="JY321" s="9"/>
      <c r="JZ321" s="9"/>
      <c r="KA321" s="9"/>
      <c r="KB321" s="9"/>
      <c r="KC321" s="9"/>
      <c r="KD321" s="9"/>
      <c r="KE321" s="9"/>
      <c r="KF321" s="9"/>
      <c r="KG321" s="9"/>
      <c r="KH321" s="9"/>
      <c r="KI321" s="9"/>
      <c r="KJ321" s="9"/>
      <c r="KK321" s="9"/>
      <c r="KL321" s="9"/>
      <c r="KM321" s="9"/>
      <c r="KN321" s="9"/>
      <c r="KO321" s="9"/>
      <c r="KP321" s="9"/>
      <c r="KQ321" s="9"/>
      <c r="KR321" s="9"/>
      <c r="KS321" s="9"/>
      <c r="KT321" s="9"/>
      <c r="KU321" s="9"/>
      <c r="KV321" s="9"/>
      <c r="KW321" s="9"/>
      <c r="KX321" s="9"/>
      <c r="KY321" s="9"/>
      <c r="KZ321" s="9"/>
      <c r="LA321" s="9"/>
      <c r="LB321" s="9"/>
      <c r="LC321" s="9"/>
      <c r="LD321" s="9"/>
      <c r="LE321" s="9"/>
      <c r="LF321" s="9"/>
      <c r="LG321" s="9"/>
      <c r="LH321" s="9"/>
      <c r="LI321" s="9"/>
      <c r="LJ321" s="9"/>
      <c r="LK321" s="9"/>
      <c r="LL321" s="9"/>
      <c r="LM321" s="9"/>
      <c r="LN321" s="9"/>
      <c r="LO321" s="9"/>
      <c r="LP321" s="9"/>
      <c r="LQ321" s="9"/>
      <c r="LR321" s="9"/>
      <c r="LS321" s="9"/>
      <c r="LT321" s="9"/>
      <c r="LU321" s="9"/>
      <c r="LV321" s="9"/>
      <c r="LW321" s="9"/>
      <c r="LX321" s="9"/>
      <c r="LY321" s="9"/>
      <c r="LZ321" s="9"/>
      <c r="MA321" s="9"/>
      <c r="MB321" s="9"/>
      <c r="MC321" s="9"/>
      <c r="MD321" s="9"/>
      <c r="ME321" s="9"/>
      <c r="MF321" s="9"/>
      <c r="MG321" s="9"/>
      <c r="MH321" s="9"/>
      <c r="MI321" s="9"/>
      <c r="MJ321" s="9"/>
      <c r="MK321" s="9"/>
      <c r="ML321" s="9"/>
      <c r="MM321" s="9"/>
      <c r="MN321" s="9"/>
      <c r="MO321" s="9"/>
      <c r="MP321" s="9"/>
      <c r="MQ321" s="9"/>
      <c r="MR321" s="9"/>
      <c r="MS321" s="9"/>
      <c r="MT321" s="9"/>
      <c r="MU321" s="9"/>
      <c r="MV321" s="9"/>
      <c r="MW321" s="9"/>
      <c r="MX321" s="9"/>
      <c r="MY321" s="9"/>
      <c r="MZ321" s="9"/>
      <c r="NA321" s="9"/>
      <c r="NB321" s="9"/>
      <c r="NC321" s="9"/>
      <c r="ND321" s="9"/>
      <c r="NE321" s="9"/>
      <c r="NF321" s="9"/>
      <c r="NG321" s="9"/>
      <c r="NH321" s="9"/>
      <c r="NI321" s="9"/>
      <c r="NJ321" s="9"/>
      <c r="NK321" s="9"/>
      <c r="NL321" s="9"/>
      <c r="NM321" s="9"/>
      <c r="NN321" s="9"/>
      <c r="NO321" s="9"/>
      <c r="NP321" s="9"/>
      <c r="NQ321" s="9"/>
      <c r="NR321" s="9"/>
      <c r="NS321" s="9"/>
      <c r="NT321" s="9"/>
      <c r="NU321" s="9"/>
      <c r="NV321" s="9"/>
      <c r="NW321" s="9"/>
      <c r="NX321" s="9"/>
      <c r="NY321" s="9"/>
      <c r="NZ321" s="9"/>
      <c r="OA321" s="9"/>
      <c r="OB321" s="9"/>
      <c r="OC321" s="9"/>
      <c r="OD321" s="9"/>
      <c r="OE321" s="9"/>
      <c r="OF321" s="9"/>
      <c r="OG321" s="9"/>
      <c r="OH321" s="9"/>
      <c r="OI321" s="9"/>
      <c r="OJ321" s="9"/>
      <c r="OK321" s="9"/>
      <c r="OL321" s="9"/>
      <c r="OM321" s="9"/>
      <c r="ON321" s="9"/>
      <c r="OO321" s="9"/>
      <c r="OP321" s="9"/>
      <c r="OQ321" s="9"/>
      <c r="OR321" s="9"/>
      <c r="OS321" s="9"/>
      <c r="OT321" s="9"/>
      <c r="OU321" s="9"/>
      <c r="OV321" s="9"/>
      <c r="OW321" s="9"/>
      <c r="OX321" s="9"/>
      <c r="OY321" s="9"/>
      <c r="OZ321" s="9"/>
      <c r="PA321" s="9"/>
      <c r="PB321" s="9"/>
      <c r="PC321" s="9"/>
      <c r="PD321" s="9"/>
      <c r="PE321" s="9"/>
      <c r="PF321" s="9"/>
      <c r="PG321" s="9"/>
      <c r="PH321" s="9"/>
      <c r="PI321" s="9"/>
      <c r="PJ321" s="9"/>
      <c r="PK321" s="9"/>
      <c r="PL321" s="9"/>
      <c r="PM321" s="9"/>
      <c r="PN321" s="9"/>
      <c r="PO321" s="9"/>
      <c r="PP321" s="9"/>
      <c r="PQ321" s="9"/>
      <c r="PR321" s="9"/>
      <c r="PS321" s="9"/>
      <c r="PT321" s="9"/>
      <c r="PU321" s="9"/>
      <c r="PV321" s="9"/>
      <c r="PW321" s="9"/>
      <c r="PX321" s="9"/>
      <c r="PY321" s="9"/>
      <c r="PZ321" s="9"/>
      <c r="QA321" s="9"/>
      <c r="QB321" s="9"/>
      <c r="QC321" s="9"/>
      <c r="QD321" s="9"/>
      <c r="QE321" s="9"/>
      <c r="QF321" s="9"/>
      <c r="QG321" s="9"/>
      <c r="QH321" s="9"/>
      <c r="QI321" s="9"/>
      <c r="QJ321" s="9"/>
      <c r="QK321" s="9"/>
      <c r="QL321" s="9"/>
      <c r="QM321" s="9"/>
      <c r="QN321" s="9"/>
      <c r="QO321" s="9"/>
      <c r="QP321" s="9"/>
      <c r="QQ321" s="9"/>
      <c r="QR321" s="9"/>
      <c r="QS321" s="9"/>
      <c r="QT321" s="9"/>
      <c r="QU321" s="9"/>
      <c r="QV321" s="9"/>
      <c r="QW321" s="9"/>
      <c r="QX321" s="9"/>
      <c r="QY321" s="9"/>
      <c r="QZ321" s="9"/>
      <c r="RA321" s="9"/>
      <c r="RB321" s="9"/>
      <c r="RC321" s="9"/>
      <c r="RD321" s="9"/>
      <c r="RE321" s="9"/>
      <c r="RF321" s="9"/>
      <c r="RG321" s="9"/>
      <c r="RH321" s="9"/>
      <c r="RI321" s="9"/>
      <c r="RJ321" s="9"/>
      <c r="RK321" s="9"/>
      <c r="RL321" s="9"/>
      <c r="RM321" s="9"/>
      <c r="RN321" s="9"/>
      <c r="RO321" s="9"/>
      <c r="RP321" s="9"/>
      <c r="RQ321" s="9"/>
      <c r="RR321" s="9"/>
      <c r="RS321" s="9"/>
      <c r="RT321" s="9"/>
      <c r="RU321" s="9"/>
      <c r="RV321" s="9"/>
      <c r="RW321" s="9"/>
      <c r="RX321" s="9"/>
      <c r="RY321" s="9"/>
      <c r="RZ321" s="9"/>
      <c r="SA321" s="9"/>
      <c r="SB321" s="9"/>
      <c r="SC321" s="9"/>
      <c r="SD321" s="9"/>
      <c r="SE321" s="9"/>
      <c r="SF321" s="9"/>
      <c r="SG321" s="9"/>
      <c r="SH321" s="9"/>
      <c r="SI321" s="9"/>
      <c r="SJ321" s="9"/>
      <c r="SK321" s="9"/>
      <c r="SL321" s="9"/>
      <c r="SM321" s="9"/>
      <c r="SN321" s="9"/>
      <c r="SO321" s="9"/>
      <c r="SP321" s="9"/>
      <c r="SQ321" s="9"/>
      <c r="SR321" s="9"/>
      <c r="SS321" s="9"/>
      <c r="ST321" s="9"/>
      <c r="SU321" s="9"/>
      <c r="SV321" s="9"/>
      <c r="SW321" s="9"/>
      <c r="SX321" s="9"/>
      <c r="SY321" s="9"/>
      <c r="SZ321" s="9"/>
      <c r="TA321" s="9"/>
      <c r="TB321" s="9"/>
      <c r="TC321" s="9"/>
      <c r="TD321" s="9"/>
      <c r="TE321" s="9"/>
      <c r="TF321" s="9"/>
      <c r="TG321" s="9"/>
      <c r="TH321" s="9"/>
      <c r="TI321" s="9"/>
      <c r="TJ321" s="9"/>
      <c r="TK321" s="9"/>
      <c r="TL321" s="9"/>
      <c r="TM321" s="9"/>
      <c r="TN321" s="9"/>
      <c r="TO321" s="9"/>
      <c r="TP321" s="9"/>
      <c r="TQ321" s="9"/>
      <c r="TR321" s="9"/>
      <c r="TS321" s="9"/>
      <c r="TT321" s="9"/>
      <c r="TU321" s="9"/>
      <c r="TV321" s="9"/>
      <c r="TW321" s="9"/>
    </row>
    <row r="322" spans="1:543" s="77" customFormat="1" x14ac:dyDescent="0.3">
      <c r="A322" s="70" t="s">
        <v>70</v>
      </c>
      <c r="B322" s="70">
        <v>31</v>
      </c>
      <c r="C322" s="8"/>
      <c r="D322" s="8"/>
      <c r="E322" s="8"/>
      <c r="F322" s="13"/>
      <c r="G322" s="8"/>
      <c r="H322" s="8"/>
      <c r="I322" s="8">
        <v>0.12</v>
      </c>
      <c r="J322" s="9"/>
      <c r="K322" s="10">
        <v>0.15</v>
      </c>
      <c r="L322" s="8">
        <f t="shared" si="176"/>
        <v>1.25</v>
      </c>
      <c r="M322" s="8"/>
      <c r="N322" s="67">
        <f t="shared" si="177"/>
        <v>3.7199999999999997E-2</v>
      </c>
      <c r="O322" s="67">
        <f t="shared" si="178"/>
        <v>4.6499999999999993E-2</v>
      </c>
      <c r="P322" s="67">
        <f t="shared" si="171"/>
        <v>0.38750000000000001</v>
      </c>
      <c r="Q322" s="70" t="s">
        <v>70</v>
      </c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0"/>
      <c r="AE322" s="60"/>
      <c r="AF322" s="60"/>
      <c r="AG322" s="70" t="s">
        <v>70</v>
      </c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0"/>
      <c r="AU322" s="60"/>
      <c r="AV322" s="60"/>
      <c r="AW322" s="60"/>
      <c r="AX322" s="70" t="s">
        <v>70</v>
      </c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0"/>
      <c r="BL322" s="60"/>
      <c r="BM322" s="60"/>
      <c r="BN322" s="60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  <c r="JZ322" s="9"/>
      <c r="KA322" s="9"/>
      <c r="KB322" s="9"/>
      <c r="KC322" s="9"/>
      <c r="KD322" s="9"/>
      <c r="KE322" s="9"/>
      <c r="KF322" s="9"/>
      <c r="KG322" s="9"/>
      <c r="KH322" s="9"/>
      <c r="KI322" s="9"/>
      <c r="KJ322" s="9"/>
      <c r="KK322" s="9"/>
      <c r="KL322" s="9"/>
      <c r="KM322" s="9"/>
      <c r="KN322" s="9"/>
      <c r="KO322" s="9"/>
      <c r="KP322" s="9"/>
      <c r="KQ322" s="9"/>
      <c r="KR322" s="9"/>
      <c r="KS322" s="9"/>
      <c r="KT322" s="9"/>
      <c r="KU322" s="9"/>
      <c r="KV322" s="9"/>
      <c r="KW322" s="9"/>
      <c r="KX322" s="9"/>
      <c r="KY322" s="9"/>
      <c r="KZ322" s="9"/>
      <c r="LA322" s="9"/>
      <c r="LB322" s="9"/>
      <c r="LC322" s="9"/>
      <c r="LD322" s="9"/>
      <c r="LE322" s="9"/>
      <c r="LF322" s="9"/>
      <c r="LG322" s="9"/>
      <c r="LH322" s="9"/>
      <c r="LI322" s="9"/>
      <c r="LJ322" s="9"/>
      <c r="LK322" s="9"/>
      <c r="LL322" s="9"/>
      <c r="LM322" s="9"/>
      <c r="LN322" s="9"/>
      <c r="LO322" s="9"/>
      <c r="LP322" s="9"/>
      <c r="LQ322" s="9"/>
      <c r="LR322" s="9"/>
      <c r="LS322" s="9"/>
      <c r="LT322" s="9"/>
      <c r="LU322" s="9"/>
      <c r="LV322" s="9"/>
      <c r="LW322" s="9"/>
      <c r="LX322" s="9"/>
      <c r="LY322" s="9"/>
      <c r="LZ322" s="9"/>
      <c r="MA322" s="9"/>
      <c r="MB322" s="9"/>
      <c r="MC322" s="9"/>
      <c r="MD322" s="9"/>
      <c r="ME322" s="9"/>
      <c r="MF322" s="9"/>
      <c r="MG322" s="9"/>
      <c r="MH322" s="9"/>
      <c r="MI322" s="9"/>
      <c r="MJ322" s="9"/>
      <c r="MK322" s="9"/>
      <c r="ML322" s="9"/>
      <c r="MM322" s="9"/>
      <c r="MN322" s="9"/>
      <c r="MO322" s="9"/>
      <c r="MP322" s="9"/>
      <c r="MQ322" s="9"/>
      <c r="MR322" s="9"/>
      <c r="MS322" s="9"/>
      <c r="MT322" s="9"/>
      <c r="MU322" s="9"/>
      <c r="MV322" s="9"/>
      <c r="MW322" s="9"/>
      <c r="MX322" s="9"/>
      <c r="MY322" s="9"/>
      <c r="MZ322" s="9"/>
      <c r="NA322" s="9"/>
      <c r="NB322" s="9"/>
      <c r="NC322" s="9"/>
      <c r="ND322" s="9"/>
      <c r="NE322" s="9"/>
      <c r="NF322" s="9"/>
      <c r="NG322" s="9"/>
      <c r="NH322" s="9"/>
      <c r="NI322" s="9"/>
      <c r="NJ322" s="9"/>
      <c r="NK322" s="9"/>
      <c r="NL322" s="9"/>
      <c r="NM322" s="9"/>
      <c r="NN322" s="9"/>
      <c r="NO322" s="9"/>
      <c r="NP322" s="9"/>
      <c r="NQ322" s="9"/>
      <c r="NR322" s="9"/>
      <c r="NS322" s="9"/>
      <c r="NT322" s="9"/>
      <c r="NU322" s="9"/>
      <c r="NV322" s="9"/>
      <c r="NW322" s="9"/>
      <c r="NX322" s="9"/>
      <c r="NY322" s="9"/>
      <c r="NZ322" s="9"/>
      <c r="OA322" s="9"/>
      <c r="OB322" s="9"/>
      <c r="OC322" s="9"/>
      <c r="OD322" s="9"/>
      <c r="OE322" s="9"/>
      <c r="OF322" s="9"/>
      <c r="OG322" s="9"/>
      <c r="OH322" s="9"/>
      <c r="OI322" s="9"/>
      <c r="OJ322" s="9"/>
      <c r="OK322" s="9"/>
      <c r="OL322" s="9"/>
      <c r="OM322" s="9"/>
      <c r="ON322" s="9"/>
      <c r="OO322" s="9"/>
      <c r="OP322" s="9"/>
      <c r="OQ322" s="9"/>
      <c r="OR322" s="9"/>
      <c r="OS322" s="9"/>
      <c r="OT322" s="9"/>
      <c r="OU322" s="9"/>
      <c r="OV322" s="9"/>
      <c r="OW322" s="9"/>
      <c r="OX322" s="9"/>
      <c r="OY322" s="9"/>
      <c r="OZ322" s="9"/>
      <c r="PA322" s="9"/>
      <c r="PB322" s="9"/>
      <c r="PC322" s="9"/>
      <c r="PD322" s="9"/>
      <c r="PE322" s="9"/>
      <c r="PF322" s="9"/>
      <c r="PG322" s="9"/>
      <c r="PH322" s="9"/>
      <c r="PI322" s="9"/>
      <c r="PJ322" s="9"/>
      <c r="PK322" s="9"/>
      <c r="PL322" s="9"/>
      <c r="PM322" s="9"/>
      <c r="PN322" s="9"/>
      <c r="PO322" s="9"/>
      <c r="PP322" s="9"/>
      <c r="PQ322" s="9"/>
      <c r="PR322" s="9"/>
      <c r="PS322" s="9"/>
      <c r="PT322" s="9"/>
      <c r="PU322" s="9"/>
      <c r="PV322" s="9"/>
      <c r="PW322" s="9"/>
      <c r="PX322" s="9"/>
      <c r="PY322" s="9"/>
      <c r="PZ322" s="9"/>
      <c r="QA322" s="9"/>
      <c r="QB322" s="9"/>
      <c r="QC322" s="9"/>
      <c r="QD322" s="9"/>
      <c r="QE322" s="9"/>
      <c r="QF322" s="9"/>
      <c r="QG322" s="9"/>
      <c r="QH322" s="9"/>
      <c r="QI322" s="9"/>
      <c r="QJ322" s="9"/>
      <c r="QK322" s="9"/>
      <c r="QL322" s="9"/>
      <c r="QM322" s="9"/>
      <c r="QN322" s="9"/>
      <c r="QO322" s="9"/>
      <c r="QP322" s="9"/>
      <c r="QQ322" s="9"/>
      <c r="QR322" s="9"/>
      <c r="QS322" s="9"/>
      <c r="QT322" s="9"/>
      <c r="QU322" s="9"/>
      <c r="QV322" s="9"/>
      <c r="QW322" s="9"/>
      <c r="QX322" s="9"/>
      <c r="QY322" s="9"/>
      <c r="QZ322" s="9"/>
      <c r="RA322" s="9"/>
      <c r="RB322" s="9"/>
      <c r="RC322" s="9"/>
      <c r="RD322" s="9"/>
      <c r="RE322" s="9"/>
      <c r="RF322" s="9"/>
      <c r="RG322" s="9"/>
      <c r="RH322" s="9"/>
      <c r="RI322" s="9"/>
      <c r="RJ322" s="9"/>
      <c r="RK322" s="9"/>
      <c r="RL322" s="9"/>
      <c r="RM322" s="9"/>
      <c r="RN322" s="9"/>
      <c r="RO322" s="9"/>
      <c r="RP322" s="9"/>
      <c r="RQ322" s="9"/>
      <c r="RR322" s="9"/>
      <c r="RS322" s="9"/>
      <c r="RT322" s="9"/>
      <c r="RU322" s="9"/>
      <c r="RV322" s="9"/>
      <c r="RW322" s="9"/>
      <c r="RX322" s="9"/>
      <c r="RY322" s="9"/>
      <c r="RZ322" s="9"/>
      <c r="SA322" s="9"/>
      <c r="SB322" s="9"/>
      <c r="SC322" s="9"/>
      <c r="SD322" s="9"/>
      <c r="SE322" s="9"/>
      <c r="SF322" s="9"/>
      <c r="SG322" s="9"/>
      <c r="SH322" s="9"/>
      <c r="SI322" s="9"/>
      <c r="SJ322" s="9"/>
      <c r="SK322" s="9"/>
      <c r="SL322" s="9"/>
      <c r="SM322" s="9"/>
      <c r="SN322" s="9"/>
      <c r="SO322" s="9"/>
      <c r="SP322" s="9"/>
      <c r="SQ322" s="9"/>
      <c r="SR322" s="9"/>
      <c r="SS322" s="9"/>
      <c r="ST322" s="9"/>
      <c r="SU322" s="9"/>
      <c r="SV322" s="9"/>
      <c r="SW322" s="9"/>
      <c r="SX322" s="9"/>
      <c r="SY322" s="9"/>
      <c r="SZ322" s="9"/>
      <c r="TA322" s="9"/>
      <c r="TB322" s="9"/>
      <c r="TC322" s="9"/>
      <c r="TD322" s="9"/>
      <c r="TE322" s="9"/>
      <c r="TF322" s="9"/>
      <c r="TG322" s="9"/>
      <c r="TH322" s="9"/>
      <c r="TI322" s="9"/>
      <c r="TJ322" s="9"/>
      <c r="TK322" s="9"/>
      <c r="TL322" s="9"/>
      <c r="TM322" s="9"/>
      <c r="TN322" s="9"/>
      <c r="TO322" s="9"/>
      <c r="TP322" s="9"/>
      <c r="TQ322" s="9"/>
      <c r="TR322" s="9"/>
      <c r="TS322" s="9"/>
      <c r="TT322" s="9"/>
      <c r="TU322" s="9"/>
      <c r="TV322" s="9"/>
      <c r="TW322" s="9"/>
    </row>
    <row r="323" spans="1:543" s="77" customFormat="1" x14ac:dyDescent="0.3">
      <c r="A323" s="70" t="s">
        <v>65</v>
      </c>
      <c r="B323" s="78"/>
      <c r="C323" s="60"/>
      <c r="D323" s="60"/>
      <c r="E323" s="60"/>
      <c r="F323" s="61"/>
      <c r="G323" s="60"/>
      <c r="H323" s="60"/>
      <c r="I323" s="60"/>
      <c r="J323" s="62"/>
      <c r="K323" s="65"/>
      <c r="L323" s="60"/>
      <c r="M323" s="60"/>
      <c r="N323" s="76"/>
      <c r="O323" s="76"/>
      <c r="P323" s="76"/>
      <c r="Q323" s="70" t="s">
        <v>65</v>
      </c>
      <c r="R323" s="68"/>
      <c r="S323" s="60"/>
      <c r="T323" s="60"/>
      <c r="U323" s="60"/>
      <c r="V323" s="61"/>
      <c r="W323" s="60"/>
      <c r="X323" s="60"/>
      <c r="Y323" s="60"/>
      <c r="Z323" s="65"/>
      <c r="AA323" s="65"/>
      <c r="AB323" s="60"/>
      <c r="AC323" s="60"/>
      <c r="AD323" s="60"/>
      <c r="AE323" s="60"/>
      <c r="AF323" s="60"/>
      <c r="AG323" s="70" t="s">
        <v>65</v>
      </c>
      <c r="AH323" s="62"/>
      <c r="AI323" s="62"/>
      <c r="AJ323" s="62"/>
      <c r="AK323" s="62"/>
      <c r="AL323" s="63"/>
      <c r="AM323" s="62"/>
      <c r="AN323" s="62"/>
      <c r="AO323" s="62"/>
      <c r="AP323" s="65"/>
      <c r="AQ323" s="65"/>
      <c r="AR323" s="62"/>
      <c r="AS323" s="60"/>
      <c r="AT323" s="60"/>
      <c r="AU323" s="60"/>
      <c r="AV323" s="60"/>
      <c r="AW323" s="60"/>
      <c r="AX323" s="70" t="s">
        <v>65</v>
      </c>
      <c r="AY323" s="62"/>
      <c r="AZ323" s="62"/>
      <c r="BA323" s="62"/>
      <c r="BB323" s="62"/>
      <c r="BC323" s="63"/>
      <c r="BD323" s="62"/>
      <c r="BE323" s="62"/>
      <c r="BF323" s="62"/>
      <c r="BG323" s="71"/>
      <c r="BH323" s="65"/>
      <c r="BI323" s="62"/>
      <c r="BJ323" s="60"/>
      <c r="BK323" s="60"/>
      <c r="BL323" s="60"/>
      <c r="BM323" s="60"/>
      <c r="BN323" s="60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  <c r="JY323" s="9"/>
      <c r="JZ323" s="9"/>
      <c r="KA323" s="9"/>
      <c r="KB323" s="9"/>
      <c r="KC323" s="9"/>
      <c r="KD323" s="9"/>
      <c r="KE323" s="9"/>
      <c r="KF323" s="9"/>
      <c r="KG323" s="9"/>
      <c r="KH323" s="9"/>
      <c r="KI323" s="9"/>
      <c r="KJ323" s="9"/>
      <c r="KK323" s="9"/>
      <c r="KL323" s="9"/>
      <c r="KM323" s="9"/>
      <c r="KN323" s="9"/>
      <c r="KO323" s="9"/>
      <c r="KP323" s="9"/>
      <c r="KQ323" s="9"/>
      <c r="KR323" s="9"/>
      <c r="KS323" s="9"/>
      <c r="KT323" s="9"/>
      <c r="KU323" s="9"/>
      <c r="KV323" s="9"/>
      <c r="KW323" s="9"/>
      <c r="KX323" s="9"/>
      <c r="KY323" s="9"/>
      <c r="KZ323" s="9"/>
      <c r="LA323" s="9"/>
      <c r="LB323" s="9"/>
      <c r="LC323" s="9"/>
      <c r="LD323" s="9"/>
      <c r="LE323" s="9"/>
      <c r="LF323" s="9"/>
      <c r="LG323" s="9"/>
      <c r="LH323" s="9"/>
      <c r="LI323" s="9"/>
      <c r="LJ323" s="9"/>
      <c r="LK323" s="9"/>
      <c r="LL323" s="9"/>
      <c r="LM323" s="9"/>
      <c r="LN323" s="9"/>
      <c r="LO323" s="9"/>
      <c r="LP323" s="9"/>
      <c r="LQ323" s="9"/>
      <c r="LR323" s="9"/>
      <c r="LS323" s="9"/>
      <c r="LT323" s="9"/>
      <c r="LU323" s="9"/>
      <c r="LV323" s="9"/>
      <c r="LW323" s="9"/>
      <c r="LX323" s="9"/>
      <c r="LY323" s="9"/>
      <c r="LZ323" s="9"/>
      <c r="MA323" s="9"/>
      <c r="MB323" s="9"/>
      <c r="MC323" s="9"/>
      <c r="MD323" s="9"/>
      <c r="ME323" s="9"/>
      <c r="MF323" s="9"/>
      <c r="MG323" s="9"/>
      <c r="MH323" s="9"/>
      <c r="MI323" s="9"/>
      <c r="MJ323" s="9"/>
      <c r="MK323" s="9"/>
      <c r="ML323" s="9"/>
      <c r="MM323" s="9"/>
      <c r="MN323" s="9"/>
      <c r="MO323" s="9"/>
      <c r="MP323" s="9"/>
      <c r="MQ323" s="9"/>
      <c r="MR323" s="9"/>
      <c r="MS323" s="9"/>
      <c r="MT323" s="9"/>
      <c r="MU323" s="9"/>
      <c r="MV323" s="9"/>
      <c r="MW323" s="9"/>
      <c r="MX323" s="9"/>
      <c r="MY323" s="9"/>
      <c r="MZ323" s="9"/>
      <c r="NA323" s="9"/>
      <c r="NB323" s="9"/>
      <c r="NC323" s="9"/>
      <c r="ND323" s="9"/>
      <c r="NE323" s="9"/>
      <c r="NF323" s="9"/>
      <c r="NG323" s="9"/>
      <c r="NH323" s="9"/>
      <c r="NI323" s="9"/>
      <c r="NJ323" s="9"/>
      <c r="NK323" s="9"/>
      <c r="NL323" s="9"/>
      <c r="NM323" s="9"/>
      <c r="NN323" s="9"/>
      <c r="NO323" s="9"/>
      <c r="NP323" s="9"/>
      <c r="NQ323" s="9"/>
      <c r="NR323" s="9"/>
      <c r="NS323" s="9"/>
      <c r="NT323" s="9"/>
      <c r="NU323" s="9"/>
      <c r="NV323" s="9"/>
      <c r="NW323" s="9"/>
      <c r="NX323" s="9"/>
      <c r="NY323" s="9"/>
      <c r="NZ323" s="9"/>
      <c r="OA323" s="9"/>
      <c r="OB323" s="9"/>
      <c r="OC323" s="9"/>
      <c r="OD323" s="9"/>
      <c r="OE323" s="9"/>
      <c r="OF323" s="9"/>
      <c r="OG323" s="9"/>
      <c r="OH323" s="9"/>
      <c r="OI323" s="9"/>
      <c r="OJ323" s="9"/>
      <c r="OK323" s="9"/>
      <c r="OL323" s="9"/>
      <c r="OM323" s="9"/>
      <c r="ON323" s="9"/>
      <c r="OO323" s="9"/>
      <c r="OP323" s="9"/>
      <c r="OQ323" s="9"/>
      <c r="OR323" s="9"/>
      <c r="OS323" s="9"/>
      <c r="OT323" s="9"/>
      <c r="OU323" s="9"/>
      <c r="OV323" s="9"/>
      <c r="OW323" s="9"/>
      <c r="OX323" s="9"/>
      <c r="OY323" s="9"/>
      <c r="OZ323" s="9"/>
      <c r="PA323" s="9"/>
      <c r="PB323" s="9"/>
      <c r="PC323" s="9"/>
      <c r="PD323" s="9"/>
      <c r="PE323" s="9"/>
      <c r="PF323" s="9"/>
      <c r="PG323" s="9"/>
      <c r="PH323" s="9"/>
      <c r="PI323" s="9"/>
      <c r="PJ323" s="9"/>
      <c r="PK323" s="9"/>
      <c r="PL323" s="9"/>
      <c r="PM323" s="9"/>
      <c r="PN323" s="9"/>
      <c r="PO323" s="9"/>
      <c r="PP323" s="9"/>
      <c r="PQ323" s="9"/>
      <c r="PR323" s="9"/>
      <c r="PS323" s="9"/>
      <c r="PT323" s="9"/>
      <c r="PU323" s="9"/>
      <c r="PV323" s="9"/>
      <c r="PW323" s="9"/>
      <c r="PX323" s="9"/>
      <c r="PY323" s="9"/>
      <c r="PZ323" s="9"/>
      <c r="QA323" s="9"/>
      <c r="QB323" s="9"/>
      <c r="QC323" s="9"/>
      <c r="QD323" s="9"/>
      <c r="QE323" s="9"/>
      <c r="QF323" s="9"/>
      <c r="QG323" s="9"/>
      <c r="QH323" s="9"/>
      <c r="QI323" s="9"/>
      <c r="QJ323" s="9"/>
      <c r="QK323" s="9"/>
      <c r="QL323" s="9"/>
      <c r="QM323" s="9"/>
      <c r="QN323" s="9"/>
      <c r="QO323" s="9"/>
      <c r="QP323" s="9"/>
      <c r="QQ323" s="9"/>
      <c r="QR323" s="9"/>
      <c r="QS323" s="9"/>
      <c r="QT323" s="9"/>
      <c r="QU323" s="9"/>
      <c r="QV323" s="9"/>
      <c r="QW323" s="9"/>
      <c r="QX323" s="9"/>
      <c r="QY323" s="9"/>
      <c r="QZ323" s="9"/>
      <c r="RA323" s="9"/>
      <c r="RB323" s="9"/>
      <c r="RC323" s="9"/>
      <c r="RD323" s="9"/>
      <c r="RE323" s="9"/>
      <c r="RF323" s="9"/>
      <c r="RG323" s="9"/>
      <c r="RH323" s="9"/>
      <c r="RI323" s="9"/>
      <c r="RJ323" s="9"/>
      <c r="RK323" s="9"/>
      <c r="RL323" s="9"/>
      <c r="RM323" s="9"/>
      <c r="RN323" s="9"/>
      <c r="RO323" s="9"/>
      <c r="RP323" s="9"/>
      <c r="RQ323" s="9"/>
      <c r="RR323" s="9"/>
      <c r="RS323" s="9"/>
      <c r="RT323" s="9"/>
      <c r="RU323" s="9"/>
      <c r="RV323" s="9"/>
      <c r="RW323" s="9"/>
      <c r="RX323" s="9"/>
      <c r="RY323" s="9"/>
      <c r="RZ323" s="9"/>
      <c r="SA323" s="9"/>
      <c r="SB323" s="9"/>
      <c r="SC323" s="9"/>
      <c r="SD323" s="9"/>
      <c r="SE323" s="9"/>
      <c r="SF323" s="9"/>
      <c r="SG323" s="9"/>
      <c r="SH323" s="9"/>
      <c r="SI323" s="9"/>
      <c r="SJ323" s="9"/>
      <c r="SK323" s="9"/>
      <c r="SL323" s="9"/>
      <c r="SM323" s="9"/>
      <c r="SN323" s="9"/>
      <c r="SO323" s="9"/>
      <c r="SP323" s="9"/>
      <c r="SQ323" s="9"/>
      <c r="SR323" s="9"/>
      <c r="SS323" s="9"/>
      <c r="ST323" s="9"/>
      <c r="SU323" s="9"/>
      <c r="SV323" s="9"/>
      <c r="SW323" s="9"/>
      <c r="SX323" s="9"/>
      <c r="SY323" s="9"/>
      <c r="SZ323" s="9"/>
      <c r="TA323" s="9"/>
      <c r="TB323" s="9"/>
      <c r="TC323" s="9"/>
      <c r="TD323" s="9"/>
      <c r="TE323" s="9"/>
      <c r="TF323" s="9"/>
      <c r="TG323" s="9"/>
      <c r="TH323" s="9"/>
      <c r="TI323" s="9"/>
      <c r="TJ323" s="9"/>
      <c r="TK323" s="9"/>
      <c r="TL323" s="9"/>
      <c r="TM323" s="9"/>
      <c r="TN323" s="9"/>
      <c r="TO323" s="9"/>
      <c r="TP323" s="9"/>
      <c r="TQ323" s="9"/>
      <c r="TR323" s="9"/>
      <c r="TS323" s="9"/>
      <c r="TT323" s="9"/>
      <c r="TU323" s="9"/>
      <c r="TV323" s="9"/>
      <c r="TW323" s="9"/>
    </row>
    <row r="324" spans="1:543" s="77" customFormat="1" x14ac:dyDescent="0.3">
      <c r="A324" s="70" t="s">
        <v>68</v>
      </c>
      <c r="B324" s="75"/>
      <c r="C324" s="76"/>
      <c r="D324" s="76"/>
      <c r="E324" s="76"/>
      <c r="F324" s="76"/>
      <c r="G324" s="76"/>
      <c r="H324" s="76"/>
      <c r="I324" s="76"/>
      <c r="J324" s="74"/>
      <c r="K324" s="75"/>
      <c r="L324" s="60"/>
      <c r="M324" s="76"/>
      <c r="N324" s="76"/>
      <c r="O324" s="76"/>
      <c r="P324" s="76"/>
      <c r="Q324" s="70" t="s">
        <v>68</v>
      </c>
      <c r="R324" s="68"/>
      <c r="S324" s="60"/>
      <c r="T324" s="60"/>
      <c r="U324" s="60"/>
      <c r="V324" s="61"/>
      <c r="W324" s="60"/>
      <c r="X324" s="60"/>
      <c r="Y324" s="60"/>
      <c r="Z324" s="65"/>
      <c r="AA324" s="65"/>
      <c r="AB324" s="60"/>
      <c r="AC324" s="60"/>
      <c r="AD324" s="60"/>
      <c r="AE324" s="60"/>
      <c r="AF324" s="60"/>
      <c r="AG324" s="70" t="s">
        <v>68</v>
      </c>
      <c r="AH324" s="62"/>
      <c r="AI324" s="62"/>
      <c r="AJ324" s="62"/>
      <c r="AK324" s="62"/>
      <c r="AL324" s="63"/>
      <c r="AM324" s="62"/>
      <c r="AN324" s="62"/>
      <c r="AO324" s="62"/>
      <c r="AP324" s="65"/>
      <c r="AQ324" s="65"/>
      <c r="AR324" s="62"/>
      <c r="AS324" s="60"/>
      <c r="AT324" s="60"/>
      <c r="AU324" s="60"/>
      <c r="AV324" s="60"/>
      <c r="AW324" s="60"/>
      <c r="AX324" s="70" t="s">
        <v>68</v>
      </c>
      <c r="AY324" s="62"/>
      <c r="AZ324" s="62"/>
      <c r="BA324" s="62"/>
      <c r="BB324" s="62"/>
      <c r="BC324" s="63"/>
      <c r="BD324" s="62"/>
      <c r="BE324" s="62"/>
      <c r="BF324" s="62"/>
      <c r="BG324" s="71"/>
      <c r="BH324" s="65"/>
      <c r="BI324" s="62"/>
      <c r="BJ324" s="60"/>
      <c r="BK324" s="60"/>
      <c r="BL324" s="60"/>
      <c r="BM324" s="60"/>
      <c r="BN324" s="60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  <c r="JF324" s="9"/>
      <c r="JG324" s="9"/>
      <c r="JH324" s="9"/>
      <c r="JI324" s="9"/>
      <c r="JJ324" s="9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  <c r="JY324" s="9"/>
      <c r="JZ324" s="9"/>
      <c r="KA324" s="9"/>
      <c r="KB324" s="9"/>
      <c r="KC324" s="9"/>
      <c r="KD324" s="9"/>
      <c r="KE324" s="9"/>
      <c r="KF324" s="9"/>
      <c r="KG324" s="9"/>
      <c r="KH324" s="9"/>
      <c r="KI324" s="9"/>
      <c r="KJ324" s="9"/>
      <c r="KK324" s="9"/>
      <c r="KL324" s="9"/>
      <c r="KM324" s="9"/>
      <c r="KN324" s="9"/>
      <c r="KO324" s="9"/>
      <c r="KP324" s="9"/>
      <c r="KQ324" s="9"/>
      <c r="KR324" s="9"/>
      <c r="KS324" s="9"/>
      <c r="KT324" s="9"/>
      <c r="KU324" s="9"/>
      <c r="KV324" s="9"/>
      <c r="KW324" s="9"/>
      <c r="KX324" s="9"/>
      <c r="KY324" s="9"/>
      <c r="KZ324" s="9"/>
      <c r="LA324" s="9"/>
      <c r="LB324" s="9"/>
      <c r="LC324" s="9"/>
      <c r="LD324" s="9"/>
      <c r="LE324" s="9"/>
      <c r="LF324" s="9"/>
      <c r="LG324" s="9"/>
      <c r="LH324" s="9"/>
      <c r="LI324" s="9"/>
      <c r="LJ324" s="9"/>
      <c r="LK324" s="9"/>
      <c r="LL324" s="9"/>
      <c r="LM324" s="9"/>
      <c r="LN324" s="9"/>
      <c r="LO324" s="9"/>
      <c r="LP324" s="9"/>
      <c r="LQ324" s="9"/>
      <c r="LR324" s="9"/>
      <c r="LS324" s="9"/>
      <c r="LT324" s="9"/>
      <c r="LU324" s="9"/>
      <c r="LV324" s="9"/>
      <c r="LW324" s="9"/>
      <c r="LX324" s="9"/>
      <c r="LY324" s="9"/>
      <c r="LZ324" s="9"/>
      <c r="MA324" s="9"/>
      <c r="MB324" s="9"/>
      <c r="MC324" s="9"/>
      <c r="MD324" s="9"/>
      <c r="ME324" s="9"/>
      <c r="MF324" s="9"/>
      <c r="MG324" s="9"/>
      <c r="MH324" s="9"/>
      <c r="MI324" s="9"/>
      <c r="MJ324" s="9"/>
      <c r="MK324" s="9"/>
      <c r="ML324" s="9"/>
      <c r="MM324" s="9"/>
      <c r="MN324" s="9"/>
      <c r="MO324" s="9"/>
      <c r="MP324" s="9"/>
      <c r="MQ324" s="9"/>
      <c r="MR324" s="9"/>
      <c r="MS324" s="9"/>
      <c r="MT324" s="9"/>
      <c r="MU324" s="9"/>
      <c r="MV324" s="9"/>
      <c r="MW324" s="9"/>
      <c r="MX324" s="9"/>
      <c r="MY324" s="9"/>
      <c r="MZ324" s="9"/>
      <c r="NA324" s="9"/>
      <c r="NB324" s="9"/>
      <c r="NC324" s="9"/>
      <c r="ND324" s="9"/>
      <c r="NE324" s="9"/>
      <c r="NF324" s="9"/>
      <c r="NG324" s="9"/>
      <c r="NH324" s="9"/>
      <c r="NI324" s="9"/>
      <c r="NJ324" s="9"/>
      <c r="NK324" s="9"/>
      <c r="NL324" s="9"/>
      <c r="NM324" s="9"/>
      <c r="NN324" s="9"/>
      <c r="NO324" s="9"/>
      <c r="NP324" s="9"/>
      <c r="NQ324" s="9"/>
      <c r="NR324" s="9"/>
      <c r="NS324" s="9"/>
      <c r="NT324" s="9"/>
      <c r="NU324" s="9"/>
      <c r="NV324" s="9"/>
      <c r="NW324" s="9"/>
      <c r="NX324" s="9"/>
      <c r="NY324" s="9"/>
      <c r="NZ324" s="9"/>
      <c r="OA324" s="9"/>
      <c r="OB324" s="9"/>
      <c r="OC324" s="9"/>
      <c r="OD324" s="9"/>
      <c r="OE324" s="9"/>
      <c r="OF324" s="9"/>
      <c r="OG324" s="9"/>
      <c r="OH324" s="9"/>
      <c r="OI324" s="9"/>
      <c r="OJ324" s="9"/>
      <c r="OK324" s="9"/>
      <c r="OL324" s="9"/>
      <c r="OM324" s="9"/>
      <c r="ON324" s="9"/>
      <c r="OO324" s="9"/>
      <c r="OP324" s="9"/>
      <c r="OQ324" s="9"/>
      <c r="OR324" s="9"/>
      <c r="OS324" s="9"/>
      <c r="OT324" s="9"/>
      <c r="OU324" s="9"/>
      <c r="OV324" s="9"/>
      <c r="OW324" s="9"/>
      <c r="OX324" s="9"/>
      <c r="OY324" s="9"/>
      <c r="OZ324" s="9"/>
      <c r="PA324" s="9"/>
      <c r="PB324" s="9"/>
      <c r="PC324" s="9"/>
      <c r="PD324" s="9"/>
      <c r="PE324" s="9"/>
      <c r="PF324" s="9"/>
      <c r="PG324" s="9"/>
      <c r="PH324" s="9"/>
      <c r="PI324" s="9"/>
      <c r="PJ324" s="9"/>
      <c r="PK324" s="9"/>
      <c r="PL324" s="9"/>
      <c r="PM324" s="9"/>
      <c r="PN324" s="9"/>
      <c r="PO324" s="9"/>
      <c r="PP324" s="9"/>
      <c r="PQ324" s="9"/>
      <c r="PR324" s="9"/>
      <c r="PS324" s="9"/>
      <c r="PT324" s="9"/>
      <c r="PU324" s="9"/>
      <c r="PV324" s="9"/>
      <c r="PW324" s="9"/>
      <c r="PX324" s="9"/>
      <c r="PY324" s="9"/>
      <c r="PZ324" s="9"/>
      <c r="QA324" s="9"/>
      <c r="QB324" s="9"/>
      <c r="QC324" s="9"/>
      <c r="QD324" s="9"/>
      <c r="QE324" s="9"/>
      <c r="QF324" s="9"/>
      <c r="QG324" s="9"/>
      <c r="QH324" s="9"/>
      <c r="QI324" s="9"/>
      <c r="QJ324" s="9"/>
      <c r="QK324" s="9"/>
      <c r="QL324" s="9"/>
      <c r="QM324" s="9"/>
      <c r="QN324" s="9"/>
      <c r="QO324" s="9"/>
      <c r="QP324" s="9"/>
      <c r="QQ324" s="9"/>
      <c r="QR324" s="9"/>
      <c r="QS324" s="9"/>
      <c r="QT324" s="9"/>
      <c r="QU324" s="9"/>
      <c r="QV324" s="9"/>
      <c r="QW324" s="9"/>
      <c r="QX324" s="9"/>
      <c r="QY324" s="9"/>
      <c r="QZ324" s="9"/>
      <c r="RA324" s="9"/>
      <c r="RB324" s="9"/>
      <c r="RC324" s="9"/>
      <c r="RD324" s="9"/>
      <c r="RE324" s="9"/>
      <c r="RF324" s="9"/>
      <c r="RG324" s="9"/>
      <c r="RH324" s="9"/>
      <c r="RI324" s="9"/>
      <c r="RJ324" s="9"/>
      <c r="RK324" s="9"/>
      <c r="RL324" s="9"/>
      <c r="RM324" s="9"/>
      <c r="RN324" s="9"/>
      <c r="RO324" s="9"/>
      <c r="RP324" s="9"/>
      <c r="RQ324" s="9"/>
      <c r="RR324" s="9"/>
      <c r="RS324" s="9"/>
      <c r="RT324" s="9"/>
      <c r="RU324" s="9"/>
      <c r="RV324" s="9"/>
      <c r="RW324" s="9"/>
      <c r="RX324" s="9"/>
      <c r="RY324" s="9"/>
      <c r="RZ324" s="9"/>
      <c r="SA324" s="9"/>
      <c r="SB324" s="9"/>
      <c r="SC324" s="9"/>
      <c r="SD324" s="9"/>
      <c r="SE324" s="9"/>
      <c r="SF324" s="9"/>
      <c r="SG324" s="9"/>
      <c r="SH324" s="9"/>
      <c r="SI324" s="9"/>
      <c r="SJ324" s="9"/>
      <c r="SK324" s="9"/>
      <c r="SL324" s="9"/>
      <c r="SM324" s="9"/>
      <c r="SN324" s="9"/>
      <c r="SO324" s="9"/>
      <c r="SP324" s="9"/>
      <c r="SQ324" s="9"/>
      <c r="SR324" s="9"/>
      <c r="SS324" s="9"/>
      <c r="ST324" s="9"/>
      <c r="SU324" s="9"/>
      <c r="SV324" s="9"/>
      <c r="SW324" s="9"/>
      <c r="SX324" s="9"/>
      <c r="SY324" s="9"/>
      <c r="SZ324" s="9"/>
      <c r="TA324" s="9"/>
      <c r="TB324" s="9"/>
      <c r="TC324" s="9"/>
      <c r="TD324" s="9"/>
      <c r="TE324" s="9"/>
      <c r="TF324" s="9"/>
      <c r="TG324" s="9"/>
      <c r="TH324" s="9"/>
      <c r="TI324" s="9"/>
      <c r="TJ324" s="9"/>
      <c r="TK324" s="9"/>
      <c r="TL324" s="9"/>
      <c r="TM324" s="9"/>
      <c r="TN324" s="9"/>
      <c r="TO324" s="9"/>
      <c r="TP324" s="9"/>
      <c r="TQ324" s="9"/>
      <c r="TR324" s="9"/>
      <c r="TS324" s="9"/>
      <c r="TT324" s="9"/>
      <c r="TU324" s="9"/>
      <c r="TV324" s="9"/>
      <c r="TW324" s="9"/>
    </row>
    <row r="325" spans="1:543" s="77" customFormat="1" x14ac:dyDescent="0.3">
      <c r="A325" s="70" t="s">
        <v>71</v>
      </c>
      <c r="B325" s="75"/>
      <c r="C325" s="76"/>
      <c r="D325" s="76"/>
      <c r="E325" s="76"/>
      <c r="F325" s="76"/>
      <c r="G325" s="76"/>
      <c r="H325" s="76"/>
      <c r="I325" s="76"/>
      <c r="J325" s="74"/>
      <c r="K325" s="75"/>
      <c r="L325" s="60"/>
      <c r="M325" s="76"/>
      <c r="N325" s="76"/>
      <c r="O325" s="76"/>
      <c r="P325" s="76"/>
      <c r="Q325" s="70" t="s">
        <v>71</v>
      </c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0"/>
      <c r="AE325" s="60"/>
      <c r="AF325" s="60"/>
      <c r="AG325" s="70" t="s">
        <v>71</v>
      </c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0"/>
      <c r="AU325" s="60"/>
      <c r="AV325" s="60"/>
      <c r="AW325" s="60"/>
      <c r="AX325" s="70" t="s">
        <v>71</v>
      </c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0"/>
      <c r="BL325" s="60"/>
      <c r="BM325" s="60"/>
      <c r="BN325" s="60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  <c r="JF325" s="9"/>
      <c r="JG325" s="9"/>
      <c r="JH325" s="9"/>
      <c r="JI325" s="9"/>
      <c r="JJ325" s="9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  <c r="JY325" s="9"/>
      <c r="JZ325" s="9"/>
      <c r="KA325" s="9"/>
      <c r="KB325" s="9"/>
      <c r="KC325" s="9"/>
      <c r="KD325" s="9"/>
      <c r="KE325" s="9"/>
      <c r="KF325" s="9"/>
      <c r="KG325" s="9"/>
      <c r="KH325" s="9"/>
      <c r="KI325" s="9"/>
      <c r="KJ325" s="9"/>
      <c r="KK325" s="9"/>
      <c r="KL325" s="9"/>
      <c r="KM325" s="9"/>
      <c r="KN325" s="9"/>
      <c r="KO325" s="9"/>
      <c r="KP325" s="9"/>
      <c r="KQ325" s="9"/>
      <c r="KR325" s="9"/>
      <c r="KS325" s="9"/>
      <c r="KT325" s="9"/>
      <c r="KU325" s="9"/>
      <c r="KV325" s="9"/>
      <c r="KW325" s="9"/>
      <c r="KX325" s="9"/>
      <c r="KY325" s="9"/>
      <c r="KZ325" s="9"/>
      <c r="LA325" s="9"/>
      <c r="LB325" s="9"/>
      <c r="LC325" s="9"/>
      <c r="LD325" s="9"/>
      <c r="LE325" s="9"/>
      <c r="LF325" s="9"/>
      <c r="LG325" s="9"/>
      <c r="LH325" s="9"/>
      <c r="LI325" s="9"/>
      <c r="LJ325" s="9"/>
      <c r="LK325" s="9"/>
      <c r="LL325" s="9"/>
      <c r="LM325" s="9"/>
      <c r="LN325" s="9"/>
      <c r="LO325" s="9"/>
      <c r="LP325" s="9"/>
      <c r="LQ325" s="9"/>
      <c r="LR325" s="9"/>
      <c r="LS325" s="9"/>
      <c r="LT325" s="9"/>
      <c r="LU325" s="9"/>
      <c r="LV325" s="9"/>
      <c r="LW325" s="9"/>
      <c r="LX325" s="9"/>
      <c r="LY325" s="9"/>
      <c r="LZ325" s="9"/>
      <c r="MA325" s="9"/>
      <c r="MB325" s="9"/>
      <c r="MC325" s="9"/>
      <c r="MD325" s="9"/>
      <c r="ME325" s="9"/>
      <c r="MF325" s="9"/>
      <c r="MG325" s="9"/>
      <c r="MH325" s="9"/>
      <c r="MI325" s="9"/>
      <c r="MJ325" s="9"/>
      <c r="MK325" s="9"/>
      <c r="ML325" s="9"/>
      <c r="MM325" s="9"/>
      <c r="MN325" s="9"/>
      <c r="MO325" s="9"/>
      <c r="MP325" s="9"/>
      <c r="MQ325" s="9"/>
      <c r="MR325" s="9"/>
      <c r="MS325" s="9"/>
      <c r="MT325" s="9"/>
      <c r="MU325" s="9"/>
      <c r="MV325" s="9"/>
      <c r="MW325" s="9"/>
      <c r="MX325" s="9"/>
      <c r="MY325" s="9"/>
      <c r="MZ325" s="9"/>
      <c r="NA325" s="9"/>
      <c r="NB325" s="9"/>
      <c r="NC325" s="9"/>
      <c r="ND325" s="9"/>
      <c r="NE325" s="9"/>
      <c r="NF325" s="9"/>
      <c r="NG325" s="9"/>
      <c r="NH325" s="9"/>
      <c r="NI325" s="9"/>
      <c r="NJ325" s="9"/>
      <c r="NK325" s="9"/>
      <c r="NL325" s="9"/>
      <c r="NM325" s="9"/>
      <c r="NN325" s="9"/>
      <c r="NO325" s="9"/>
      <c r="NP325" s="9"/>
      <c r="NQ325" s="9"/>
      <c r="NR325" s="9"/>
      <c r="NS325" s="9"/>
      <c r="NT325" s="9"/>
      <c r="NU325" s="9"/>
      <c r="NV325" s="9"/>
      <c r="NW325" s="9"/>
      <c r="NX325" s="9"/>
      <c r="NY325" s="9"/>
      <c r="NZ325" s="9"/>
      <c r="OA325" s="9"/>
      <c r="OB325" s="9"/>
      <c r="OC325" s="9"/>
      <c r="OD325" s="9"/>
      <c r="OE325" s="9"/>
      <c r="OF325" s="9"/>
      <c r="OG325" s="9"/>
      <c r="OH325" s="9"/>
      <c r="OI325" s="9"/>
      <c r="OJ325" s="9"/>
      <c r="OK325" s="9"/>
      <c r="OL325" s="9"/>
      <c r="OM325" s="9"/>
      <c r="ON325" s="9"/>
      <c r="OO325" s="9"/>
      <c r="OP325" s="9"/>
      <c r="OQ325" s="9"/>
      <c r="OR325" s="9"/>
      <c r="OS325" s="9"/>
      <c r="OT325" s="9"/>
      <c r="OU325" s="9"/>
      <c r="OV325" s="9"/>
      <c r="OW325" s="9"/>
      <c r="OX325" s="9"/>
      <c r="OY325" s="9"/>
      <c r="OZ325" s="9"/>
      <c r="PA325" s="9"/>
      <c r="PB325" s="9"/>
      <c r="PC325" s="9"/>
      <c r="PD325" s="9"/>
      <c r="PE325" s="9"/>
      <c r="PF325" s="9"/>
      <c r="PG325" s="9"/>
      <c r="PH325" s="9"/>
      <c r="PI325" s="9"/>
      <c r="PJ325" s="9"/>
      <c r="PK325" s="9"/>
      <c r="PL325" s="9"/>
      <c r="PM325" s="9"/>
      <c r="PN325" s="9"/>
      <c r="PO325" s="9"/>
      <c r="PP325" s="9"/>
      <c r="PQ325" s="9"/>
      <c r="PR325" s="9"/>
      <c r="PS325" s="9"/>
      <c r="PT325" s="9"/>
      <c r="PU325" s="9"/>
      <c r="PV325" s="9"/>
      <c r="PW325" s="9"/>
      <c r="PX325" s="9"/>
      <c r="PY325" s="9"/>
      <c r="PZ325" s="9"/>
      <c r="QA325" s="9"/>
      <c r="QB325" s="9"/>
      <c r="QC325" s="9"/>
      <c r="QD325" s="9"/>
      <c r="QE325" s="9"/>
      <c r="QF325" s="9"/>
      <c r="QG325" s="9"/>
      <c r="QH325" s="9"/>
      <c r="QI325" s="9"/>
      <c r="QJ325" s="9"/>
      <c r="QK325" s="9"/>
      <c r="QL325" s="9"/>
      <c r="QM325" s="9"/>
      <c r="QN325" s="9"/>
      <c r="QO325" s="9"/>
      <c r="QP325" s="9"/>
      <c r="QQ325" s="9"/>
      <c r="QR325" s="9"/>
      <c r="QS325" s="9"/>
      <c r="QT325" s="9"/>
      <c r="QU325" s="9"/>
      <c r="QV325" s="9"/>
      <c r="QW325" s="9"/>
      <c r="QX325" s="9"/>
      <c r="QY325" s="9"/>
      <c r="QZ325" s="9"/>
      <c r="RA325" s="9"/>
      <c r="RB325" s="9"/>
      <c r="RC325" s="9"/>
      <c r="RD325" s="9"/>
      <c r="RE325" s="9"/>
      <c r="RF325" s="9"/>
      <c r="RG325" s="9"/>
      <c r="RH325" s="9"/>
      <c r="RI325" s="9"/>
      <c r="RJ325" s="9"/>
      <c r="RK325" s="9"/>
      <c r="RL325" s="9"/>
      <c r="RM325" s="9"/>
      <c r="RN325" s="9"/>
      <c r="RO325" s="9"/>
      <c r="RP325" s="9"/>
      <c r="RQ325" s="9"/>
      <c r="RR325" s="9"/>
      <c r="RS325" s="9"/>
      <c r="RT325" s="9"/>
      <c r="RU325" s="9"/>
      <c r="RV325" s="9"/>
      <c r="RW325" s="9"/>
      <c r="RX325" s="9"/>
      <c r="RY325" s="9"/>
      <c r="RZ325" s="9"/>
      <c r="SA325" s="9"/>
      <c r="SB325" s="9"/>
      <c r="SC325" s="9"/>
      <c r="SD325" s="9"/>
      <c r="SE325" s="9"/>
      <c r="SF325" s="9"/>
      <c r="SG325" s="9"/>
      <c r="SH325" s="9"/>
      <c r="SI325" s="9"/>
      <c r="SJ325" s="9"/>
      <c r="SK325" s="9"/>
      <c r="SL325" s="9"/>
      <c r="SM325" s="9"/>
      <c r="SN325" s="9"/>
      <c r="SO325" s="9"/>
      <c r="SP325" s="9"/>
      <c r="SQ325" s="9"/>
      <c r="SR325" s="9"/>
      <c r="SS325" s="9"/>
      <c r="ST325" s="9"/>
      <c r="SU325" s="9"/>
      <c r="SV325" s="9"/>
      <c r="SW325" s="9"/>
      <c r="SX325" s="9"/>
      <c r="SY325" s="9"/>
      <c r="SZ325" s="9"/>
      <c r="TA325" s="9"/>
      <c r="TB325" s="9"/>
      <c r="TC325" s="9"/>
      <c r="TD325" s="9"/>
      <c r="TE325" s="9"/>
      <c r="TF325" s="9"/>
      <c r="TG325" s="9"/>
      <c r="TH325" s="9"/>
      <c r="TI325" s="9"/>
      <c r="TJ325" s="9"/>
      <c r="TK325" s="9"/>
      <c r="TL325" s="9"/>
      <c r="TM325" s="9"/>
      <c r="TN325" s="9"/>
      <c r="TO325" s="9"/>
      <c r="TP325" s="9"/>
      <c r="TQ325" s="9"/>
      <c r="TR325" s="9"/>
      <c r="TS325" s="9"/>
      <c r="TT325" s="9"/>
      <c r="TU325" s="9"/>
      <c r="TV325" s="9"/>
      <c r="TW325" s="9"/>
    </row>
    <row r="326" spans="1:543" x14ac:dyDescent="0.3">
      <c r="A326" s="22" t="s">
        <v>65</v>
      </c>
      <c r="B326" s="78"/>
      <c r="C326" s="60"/>
      <c r="D326" s="60"/>
      <c r="E326" s="60"/>
      <c r="F326" s="61"/>
      <c r="G326" s="60"/>
      <c r="H326" s="60"/>
      <c r="I326" s="60"/>
      <c r="J326" s="60"/>
      <c r="K326" s="60"/>
      <c r="L326" s="60"/>
      <c r="M326" s="76"/>
      <c r="N326" s="76"/>
      <c r="O326" s="76"/>
      <c r="P326" s="76"/>
      <c r="AD326" s="69"/>
      <c r="AE326" s="69"/>
      <c r="AF326" s="69"/>
      <c r="AU326" s="69"/>
      <c r="AV326" s="69"/>
      <c r="AW326" s="69"/>
      <c r="BL326" s="69"/>
      <c r="BM326" s="69"/>
      <c r="BN326" s="69"/>
    </row>
    <row r="327" spans="1:543" x14ac:dyDescent="0.3">
      <c r="A327" s="22" t="s">
        <v>66</v>
      </c>
      <c r="B327" s="70">
        <v>36</v>
      </c>
      <c r="C327" s="8"/>
      <c r="D327" s="8"/>
      <c r="E327" s="8"/>
      <c r="F327" s="13"/>
      <c r="G327" s="8"/>
      <c r="H327" s="8"/>
      <c r="I327" s="8">
        <v>0.36</v>
      </c>
      <c r="J327" s="8"/>
      <c r="K327" s="8">
        <v>9.1999999999999998E-2</v>
      </c>
      <c r="L327" s="8">
        <f t="shared" ref="L327:L328" si="189">K327/I327</f>
        <v>0.25555555555555554</v>
      </c>
      <c r="N327" s="67">
        <f t="shared" si="177"/>
        <v>0.12959999999999999</v>
      </c>
      <c r="O327" s="67">
        <f t="shared" si="178"/>
        <v>3.3119999999999997E-2</v>
      </c>
      <c r="P327" s="67">
        <f t="shared" ref="P327:P328" si="190">L327*B327/100</f>
        <v>9.1999999999999998E-2</v>
      </c>
      <c r="AD327" s="69"/>
      <c r="AE327" s="69"/>
      <c r="AF327" s="69"/>
      <c r="AU327" s="69"/>
      <c r="AV327" s="69"/>
      <c r="AW327" s="69"/>
      <c r="BL327" s="69"/>
      <c r="BM327" s="69"/>
      <c r="BN327" s="69"/>
    </row>
    <row r="328" spans="1:543" x14ac:dyDescent="0.3">
      <c r="A328" s="22" t="s">
        <v>67</v>
      </c>
      <c r="B328" s="70">
        <v>26.2</v>
      </c>
      <c r="C328" s="8"/>
      <c r="D328" s="8"/>
      <c r="E328" s="8"/>
      <c r="F328" s="13"/>
      <c r="G328" s="8"/>
      <c r="H328" s="8"/>
      <c r="I328" s="8">
        <v>6.4000000000000001E-2</v>
      </c>
      <c r="J328" s="8"/>
      <c r="K328" s="8">
        <v>4.2999999999999997E-2</v>
      </c>
      <c r="L328" s="8">
        <f t="shared" si="189"/>
        <v>0.67187499999999989</v>
      </c>
      <c r="N328" s="67">
        <f t="shared" si="177"/>
        <v>1.6768000000000002E-2</v>
      </c>
      <c r="O328" s="67">
        <f t="shared" si="178"/>
        <v>1.1265999999999998E-2</v>
      </c>
      <c r="P328" s="67">
        <f t="shared" si="190"/>
        <v>0.17603124999999994</v>
      </c>
      <c r="AD328" s="69"/>
      <c r="AE328" s="69"/>
      <c r="AF328" s="69"/>
      <c r="AU328" s="69"/>
      <c r="AV328" s="69"/>
      <c r="AW328" s="69"/>
      <c r="BL328" s="69"/>
      <c r="BM328" s="69"/>
      <c r="BN328" s="69"/>
    </row>
    <row r="329" spans="1:543" x14ac:dyDescent="0.3">
      <c r="A329" s="22" t="s">
        <v>68</v>
      </c>
      <c r="B329" s="78"/>
      <c r="C329" s="60"/>
      <c r="D329" s="60"/>
      <c r="E329" s="60"/>
      <c r="F329" s="61"/>
      <c r="G329" s="60"/>
      <c r="H329" s="60"/>
      <c r="I329" s="60"/>
      <c r="J329" s="60"/>
      <c r="K329" s="60"/>
      <c r="L329" s="60"/>
      <c r="M329" s="76"/>
      <c r="N329" s="76"/>
      <c r="O329" s="76"/>
      <c r="P329" s="76"/>
      <c r="AD329" s="69"/>
      <c r="AE329" s="69"/>
      <c r="AF329" s="69"/>
      <c r="AU329" s="69"/>
      <c r="AV329" s="69"/>
      <c r="AW329" s="69"/>
      <c r="BL329" s="69"/>
      <c r="BM329" s="69"/>
      <c r="BN329" s="69"/>
    </row>
    <row r="330" spans="1:543" x14ac:dyDescent="0.3">
      <c r="A330" s="22" t="s">
        <v>69</v>
      </c>
      <c r="B330" s="70">
        <v>28.8</v>
      </c>
      <c r="C330" s="8"/>
      <c r="D330" s="8"/>
      <c r="E330" s="8"/>
      <c r="F330" s="13"/>
      <c r="G330" s="8"/>
      <c r="H330" s="8"/>
      <c r="I330" s="8">
        <v>0.11</v>
      </c>
      <c r="J330" s="8"/>
      <c r="K330" s="8">
        <v>9.1999999999999998E-2</v>
      </c>
      <c r="L330" s="8">
        <f t="shared" ref="L330" si="191">K330/I330</f>
        <v>0.83636363636363631</v>
      </c>
      <c r="N330" s="67">
        <f t="shared" si="177"/>
        <v>3.168E-2</v>
      </c>
      <c r="O330" s="67">
        <f t="shared" si="178"/>
        <v>2.6495999999999999E-2</v>
      </c>
      <c r="P330" s="67">
        <f>L330*B330/100</f>
        <v>0.24087272727272727</v>
      </c>
      <c r="AD330" s="69"/>
      <c r="AE330" s="69"/>
      <c r="AF330" s="69"/>
      <c r="AU330" s="69"/>
      <c r="AV330" s="69"/>
      <c r="AW330" s="69"/>
      <c r="BL330" s="69"/>
      <c r="BM330" s="69"/>
      <c r="BN330" s="69"/>
    </row>
    <row r="331" spans="1:543" x14ac:dyDescent="0.3">
      <c r="A331" s="22" t="s">
        <v>71</v>
      </c>
      <c r="B331" s="78"/>
      <c r="C331" s="60"/>
      <c r="D331" s="60"/>
      <c r="E331" s="60"/>
      <c r="F331" s="61"/>
      <c r="G331" s="60"/>
      <c r="H331" s="60"/>
      <c r="I331" s="60"/>
      <c r="J331" s="60"/>
      <c r="K331" s="60"/>
      <c r="L331" s="60"/>
      <c r="M331" s="76"/>
      <c r="N331" s="76"/>
      <c r="O331" s="76"/>
      <c r="P331" s="76"/>
      <c r="AD331" s="69"/>
      <c r="AE331" s="69"/>
      <c r="AF331" s="69"/>
      <c r="AU331" s="69"/>
      <c r="AV331" s="69"/>
      <c r="AW331" s="69"/>
      <c r="BL331" s="69"/>
      <c r="BM331" s="69"/>
      <c r="BN331" s="69"/>
    </row>
    <row r="332" spans="1:543" x14ac:dyDescent="0.3">
      <c r="N332" s="69"/>
      <c r="O332" s="69"/>
      <c r="P332" s="69"/>
      <c r="AD332" s="69"/>
      <c r="AE332" s="69"/>
      <c r="AF332" s="69"/>
      <c r="AU332" s="69"/>
      <c r="AV332" s="69"/>
      <c r="AW332" s="69"/>
      <c r="BL332" s="69"/>
      <c r="BM332" s="69"/>
      <c r="BN332" s="69"/>
    </row>
    <row r="333" spans="1:543" x14ac:dyDescent="0.3">
      <c r="N333" s="69"/>
      <c r="O333" s="69"/>
      <c r="P333" s="69"/>
      <c r="AD333" s="69"/>
      <c r="AE333" s="69"/>
      <c r="AF333" s="69"/>
      <c r="AU333" s="69"/>
      <c r="AV333" s="69"/>
      <c r="AW333" s="69"/>
      <c r="BL333" s="69"/>
      <c r="BM333" s="69"/>
      <c r="BN333" s="69"/>
    </row>
    <row r="334" spans="1:543" x14ac:dyDescent="0.3">
      <c r="A334" s="27" t="s">
        <v>77</v>
      </c>
      <c r="B334" s="27">
        <v>4.1100000000000003</v>
      </c>
      <c r="C334" s="8"/>
      <c r="D334" s="8"/>
      <c r="E334" s="8"/>
      <c r="F334" s="13"/>
      <c r="G334" s="8"/>
      <c r="H334" s="8"/>
      <c r="I334" s="8">
        <v>9.69</v>
      </c>
      <c r="J334" s="9"/>
      <c r="K334" s="10">
        <v>6.68</v>
      </c>
      <c r="L334" s="8">
        <f>K334/I334</f>
        <v>0.68937048503611975</v>
      </c>
      <c r="M334" s="8"/>
      <c r="N334" s="67">
        <f>I334*B334/100</f>
        <v>0.39825900000000003</v>
      </c>
      <c r="O334" s="67">
        <f>K334*B334/100</f>
        <v>0.27454800000000001</v>
      </c>
      <c r="P334" s="67">
        <f>L334*B334/100</f>
        <v>2.8333126934984524E-2</v>
      </c>
      <c r="Q334" s="27" t="s">
        <v>77</v>
      </c>
      <c r="R334" s="7">
        <v>4.71</v>
      </c>
      <c r="S334" s="8"/>
      <c r="T334" s="8"/>
      <c r="U334" s="8"/>
      <c r="V334" s="13"/>
      <c r="W334" s="8"/>
      <c r="X334" s="85"/>
      <c r="Y334" s="85"/>
      <c r="Z334" s="87"/>
      <c r="AA334" s="87"/>
      <c r="AB334" s="85"/>
      <c r="AC334" s="85"/>
      <c r="AD334" s="86"/>
      <c r="AE334" s="86"/>
      <c r="AF334" s="86"/>
      <c r="AG334" s="27" t="s">
        <v>77</v>
      </c>
      <c r="AH334" s="9">
        <v>2.0299999999999998</v>
      </c>
      <c r="AI334" s="9"/>
      <c r="AJ334" s="9"/>
      <c r="AK334" s="9"/>
      <c r="AL334" s="11"/>
      <c r="AM334" s="9"/>
      <c r="AN334" s="88"/>
      <c r="AO334" s="88"/>
      <c r="AP334" s="87"/>
      <c r="AQ334" s="87"/>
      <c r="AR334" s="88"/>
      <c r="AS334" s="85"/>
      <c r="AT334" s="88"/>
      <c r="AU334" s="86"/>
      <c r="AV334" s="86"/>
      <c r="AW334" s="86"/>
      <c r="AX334" s="27" t="s">
        <v>77</v>
      </c>
      <c r="AY334" s="9">
        <v>2.3199999999999998</v>
      </c>
      <c r="AZ334" s="9"/>
      <c r="BA334" s="9"/>
      <c r="BB334" s="9"/>
      <c r="BC334" s="11"/>
      <c r="BD334" s="9"/>
      <c r="BE334" s="88"/>
      <c r="BF334" s="88"/>
      <c r="BG334" s="90"/>
      <c r="BH334" s="87"/>
      <c r="BI334" s="88"/>
      <c r="BJ334" s="85"/>
      <c r="BK334" s="88"/>
      <c r="BL334" s="86"/>
      <c r="BM334" s="86"/>
      <c r="BN334" s="86"/>
    </row>
    <row r="335" spans="1:543" x14ac:dyDescent="0.3">
      <c r="A335" s="27" t="s">
        <v>94</v>
      </c>
      <c r="B335" s="79"/>
      <c r="C335" s="60"/>
      <c r="D335" s="60"/>
      <c r="E335" s="60"/>
      <c r="F335" s="61"/>
      <c r="G335" s="60"/>
      <c r="H335" s="60"/>
      <c r="I335" s="60"/>
      <c r="J335" s="62"/>
      <c r="K335" s="65"/>
      <c r="L335" s="60"/>
      <c r="M335" s="60"/>
      <c r="N335" s="60"/>
      <c r="O335" s="60"/>
      <c r="P335" s="60"/>
      <c r="Q335" s="27" t="s">
        <v>167</v>
      </c>
      <c r="R335" s="7">
        <v>9.4700000000000006</v>
      </c>
      <c r="S335" s="8"/>
      <c r="T335" s="8"/>
      <c r="U335" s="8"/>
      <c r="V335" s="13"/>
      <c r="W335" s="8"/>
      <c r="X335" s="8">
        <v>2.34</v>
      </c>
      <c r="Y335" s="8">
        <v>26.7</v>
      </c>
      <c r="Z335" s="10"/>
      <c r="AA335" s="10"/>
      <c r="AB335" s="8">
        <f t="shared" ref="AB335:AB364" si="192">X335/Y335</f>
        <v>8.7640449438202248E-2</v>
      </c>
      <c r="AC335" s="8"/>
      <c r="AD335" s="67">
        <f t="shared" ref="AD335:AD355" si="193">X335*R335/100</f>
        <v>0.22159800000000002</v>
      </c>
      <c r="AE335" s="67">
        <f t="shared" ref="AE335:AE355" si="194">Y335*R335/100</f>
        <v>2.5284900000000001</v>
      </c>
      <c r="AF335" s="67">
        <f t="shared" ref="AF335:AF355" si="195">AB335*R335/100</f>
        <v>8.2995505617977534E-3</v>
      </c>
      <c r="AG335" s="27" t="s">
        <v>167</v>
      </c>
      <c r="AH335" s="9">
        <v>14</v>
      </c>
      <c r="AI335" s="9"/>
      <c r="AJ335" s="9"/>
      <c r="AK335" s="9"/>
      <c r="AL335" s="11"/>
      <c r="AM335" s="9"/>
      <c r="AN335" s="9">
        <v>0.86</v>
      </c>
      <c r="AO335" s="9">
        <v>33.9</v>
      </c>
      <c r="AP335" s="10"/>
      <c r="AQ335" s="10"/>
      <c r="AR335" s="9"/>
      <c r="AS335" s="8">
        <f t="shared" ref="AS335:AS361" si="196">AN335/AO335</f>
        <v>2.5368731563421829E-2</v>
      </c>
      <c r="AT335" s="9"/>
      <c r="AU335" s="67">
        <f t="shared" ref="AU335:AU364" si="197">AH335*AO335/100</f>
        <v>4.7459999999999996</v>
      </c>
      <c r="AV335" s="67">
        <f t="shared" ref="AV335:AV361" si="198">AN335*AH335/100</f>
        <v>0.12039999999999999</v>
      </c>
      <c r="AW335" s="67">
        <f t="shared" ref="AW335:AW361" si="199">AS335*AH335/100</f>
        <v>3.5516224188790555E-3</v>
      </c>
      <c r="AX335" s="27" t="s">
        <v>167</v>
      </c>
      <c r="AY335" s="9">
        <v>15.7</v>
      </c>
      <c r="AZ335" s="9"/>
      <c r="BA335" s="9"/>
      <c r="BB335" s="9"/>
      <c r="BC335" s="11"/>
      <c r="BD335" s="9"/>
      <c r="BE335" s="9">
        <v>0.48</v>
      </c>
      <c r="BF335" s="9">
        <v>8.1300000000000008</v>
      </c>
      <c r="BG335" s="12"/>
      <c r="BH335" s="10"/>
      <c r="BI335" s="9"/>
      <c r="BJ335" s="8">
        <f t="shared" ref="BJ335:BJ362" si="200">BE335/BF335</f>
        <v>5.904059040590405E-2</v>
      </c>
      <c r="BK335" s="9"/>
      <c r="BL335" s="67">
        <f t="shared" ref="BL335:BL343" si="201">BF335*AY335/100</f>
        <v>1.27641</v>
      </c>
      <c r="BM335" s="67">
        <f t="shared" ref="BM335:BM343" si="202">BE335*AY335/100</f>
        <v>7.5359999999999996E-2</v>
      </c>
      <c r="BN335" s="67">
        <f t="shared" ref="BN335:BN362" si="203">BM335/BL335</f>
        <v>5.9040590405904057E-2</v>
      </c>
    </row>
    <row r="336" spans="1:543" x14ac:dyDescent="0.3">
      <c r="A336" s="27" t="s">
        <v>73</v>
      </c>
      <c r="B336" s="27">
        <v>15.8</v>
      </c>
      <c r="C336" s="8"/>
      <c r="D336" s="8"/>
      <c r="E336" s="8"/>
      <c r="F336" s="13"/>
      <c r="G336" s="8"/>
      <c r="H336" s="8"/>
      <c r="I336" s="8">
        <v>13.4</v>
      </c>
      <c r="J336" s="9"/>
      <c r="K336" s="10">
        <v>2.4500000000000002</v>
      </c>
      <c r="L336" s="8">
        <f t="shared" ref="L336:L345" si="204">K336/I336</f>
        <v>0.18283582089552239</v>
      </c>
      <c r="M336" s="8"/>
      <c r="N336" s="67">
        <f t="shared" ref="N336:N345" si="205">I336*B336/100</f>
        <v>2.1172000000000004</v>
      </c>
      <c r="O336" s="67">
        <f t="shared" ref="O336:O345" si="206">K336*B336/100</f>
        <v>0.38710000000000006</v>
      </c>
      <c r="P336" s="67">
        <f t="shared" ref="P336:P345" si="207">L336*B336/100</f>
        <v>2.8888059701492538E-2</v>
      </c>
      <c r="Q336" s="27" t="s">
        <v>73</v>
      </c>
      <c r="R336" s="7">
        <v>33.200000000000003</v>
      </c>
      <c r="S336" s="8"/>
      <c r="T336" s="8"/>
      <c r="U336" s="8"/>
      <c r="V336" s="13"/>
      <c r="W336" s="8"/>
      <c r="X336" s="8">
        <v>1.8</v>
      </c>
      <c r="Y336" s="8">
        <v>17.7</v>
      </c>
      <c r="Z336" s="10"/>
      <c r="AA336" s="10"/>
      <c r="AB336" s="8">
        <f t="shared" si="192"/>
        <v>0.10169491525423729</v>
      </c>
      <c r="AC336" s="8"/>
      <c r="AD336" s="67">
        <f t="shared" si="193"/>
        <v>0.59760000000000002</v>
      </c>
      <c r="AE336" s="67">
        <f t="shared" si="194"/>
        <v>5.8764000000000003</v>
      </c>
      <c r="AF336" s="67">
        <f t="shared" si="195"/>
        <v>3.3762711864406783E-2</v>
      </c>
      <c r="AG336" s="27" t="s">
        <v>73</v>
      </c>
      <c r="AH336" s="9">
        <v>10.3</v>
      </c>
      <c r="AI336" s="9"/>
      <c r="AJ336" s="9"/>
      <c r="AK336" s="9"/>
      <c r="AL336" s="11"/>
      <c r="AM336" s="9"/>
      <c r="AN336" s="9">
        <v>2.35</v>
      </c>
      <c r="AO336" s="9">
        <v>16.2</v>
      </c>
      <c r="AP336" s="10"/>
      <c r="AQ336" s="10"/>
      <c r="AR336" s="9"/>
      <c r="AS336" s="8">
        <f t="shared" si="196"/>
        <v>0.14506172839506173</v>
      </c>
      <c r="AT336" s="9"/>
      <c r="AU336" s="67">
        <f t="shared" si="197"/>
        <v>1.6686000000000001</v>
      </c>
      <c r="AV336" s="67">
        <f t="shared" si="198"/>
        <v>0.24205000000000002</v>
      </c>
      <c r="AW336" s="67">
        <f t="shared" si="199"/>
        <v>1.494135802469136E-2</v>
      </c>
      <c r="AX336" s="27" t="s">
        <v>73</v>
      </c>
      <c r="AY336" s="9">
        <v>10.7</v>
      </c>
      <c r="AZ336" s="9"/>
      <c r="BA336" s="9"/>
      <c r="BB336" s="9"/>
      <c r="BC336" s="11"/>
      <c r="BD336" s="9"/>
      <c r="BE336" s="9">
        <v>0.62</v>
      </c>
      <c r="BF336" s="9">
        <v>13.7</v>
      </c>
      <c r="BG336" s="12"/>
      <c r="BH336" s="10"/>
      <c r="BI336" s="9"/>
      <c r="BJ336" s="8">
        <f t="shared" si="200"/>
        <v>4.5255474452554748E-2</v>
      </c>
      <c r="BK336" s="9"/>
      <c r="BL336" s="67">
        <f t="shared" si="201"/>
        <v>1.4658999999999998</v>
      </c>
      <c r="BM336" s="67">
        <f t="shared" si="202"/>
        <v>6.6339999999999996E-2</v>
      </c>
      <c r="BN336" s="67">
        <f t="shared" si="203"/>
        <v>4.5255474452554748E-2</v>
      </c>
    </row>
    <row r="337" spans="1:66" x14ac:dyDescent="0.3">
      <c r="A337" s="27" t="s">
        <v>74</v>
      </c>
      <c r="B337" s="27">
        <v>4.43</v>
      </c>
      <c r="C337" s="8"/>
      <c r="D337" s="8"/>
      <c r="E337" s="8"/>
      <c r="F337" s="13"/>
      <c r="G337" s="8"/>
      <c r="H337" s="8"/>
      <c r="I337" s="85"/>
      <c r="J337" s="88"/>
      <c r="K337" s="87"/>
      <c r="L337" s="85"/>
      <c r="M337" s="85"/>
      <c r="N337" s="86"/>
      <c r="O337" s="86"/>
      <c r="P337" s="86"/>
      <c r="Q337" s="27" t="s">
        <v>74</v>
      </c>
      <c r="R337" s="7">
        <v>3.66</v>
      </c>
      <c r="S337" s="8"/>
      <c r="T337" s="8"/>
      <c r="U337" s="8"/>
      <c r="V337" s="13"/>
      <c r="W337" s="8"/>
      <c r="X337" s="85"/>
      <c r="Y337" s="85"/>
      <c r="Z337" s="87"/>
      <c r="AA337" s="87"/>
      <c r="AB337" s="85"/>
      <c r="AC337" s="85"/>
      <c r="AD337" s="86"/>
      <c r="AE337" s="86"/>
      <c r="AF337" s="86"/>
      <c r="AG337" s="27" t="s">
        <v>74</v>
      </c>
      <c r="AH337" s="9">
        <v>1.89</v>
      </c>
      <c r="AI337" s="9"/>
      <c r="AJ337" s="9"/>
      <c r="AK337" s="9"/>
      <c r="AL337" s="11"/>
      <c r="AM337" s="9"/>
      <c r="AN337" s="9">
        <v>33.700000000000003</v>
      </c>
      <c r="AO337" s="9">
        <v>44.3</v>
      </c>
      <c r="AP337" s="10"/>
      <c r="AQ337" s="10"/>
      <c r="AR337" s="9"/>
      <c r="AS337" s="8">
        <f t="shared" si="196"/>
        <v>0.76072234762979696</v>
      </c>
      <c r="AT337" s="9"/>
      <c r="AU337" s="67">
        <f t="shared" si="197"/>
        <v>0.83726999999999985</v>
      </c>
      <c r="AV337" s="67">
        <f t="shared" si="198"/>
        <v>0.63693</v>
      </c>
      <c r="AW337" s="67">
        <f t="shared" si="199"/>
        <v>1.4377652370203163E-2</v>
      </c>
      <c r="AX337" s="27" t="s">
        <v>74</v>
      </c>
      <c r="AY337" s="9">
        <v>1.78</v>
      </c>
      <c r="AZ337" s="9"/>
      <c r="BA337" s="9"/>
      <c r="BB337" s="9"/>
      <c r="BC337" s="11"/>
      <c r="BD337" s="9"/>
      <c r="BE337" s="9">
        <v>18.100000000000001</v>
      </c>
      <c r="BF337" s="9">
        <v>54.2</v>
      </c>
      <c r="BG337" s="12"/>
      <c r="BH337" s="10"/>
      <c r="BI337" s="9"/>
      <c r="BJ337" s="8">
        <f t="shared" si="200"/>
        <v>0.33394833948339486</v>
      </c>
      <c r="BK337" s="9"/>
      <c r="BL337" s="67">
        <f t="shared" si="201"/>
        <v>0.96476000000000017</v>
      </c>
      <c r="BM337" s="67">
        <f t="shared" si="202"/>
        <v>0.32218000000000002</v>
      </c>
      <c r="BN337" s="67">
        <f t="shared" si="203"/>
        <v>0.33394833948339481</v>
      </c>
    </row>
    <row r="338" spans="1:66" x14ac:dyDescent="0.3">
      <c r="A338" s="27" t="s">
        <v>80</v>
      </c>
      <c r="B338" s="27">
        <v>24.5</v>
      </c>
      <c r="C338" s="8"/>
      <c r="D338" s="8"/>
      <c r="E338" s="8"/>
      <c r="F338" s="13"/>
      <c r="G338" s="8"/>
      <c r="H338" s="8"/>
      <c r="I338" s="8">
        <v>29.2</v>
      </c>
      <c r="J338" s="9"/>
      <c r="K338" s="10">
        <v>6.74</v>
      </c>
      <c r="L338" s="8">
        <f t="shared" si="204"/>
        <v>0.2308219178082192</v>
      </c>
      <c r="M338" s="8"/>
      <c r="N338" s="67">
        <f t="shared" si="205"/>
        <v>7.1539999999999999</v>
      </c>
      <c r="O338" s="67">
        <f t="shared" si="206"/>
        <v>1.6513</v>
      </c>
      <c r="P338" s="67">
        <f t="shared" si="207"/>
        <v>5.6551369863013699E-2</v>
      </c>
      <c r="Q338" s="27" t="s">
        <v>80</v>
      </c>
      <c r="R338" s="7">
        <v>5.4</v>
      </c>
      <c r="S338" s="8"/>
      <c r="T338" s="8"/>
      <c r="U338" s="8"/>
      <c r="V338" s="13"/>
      <c r="W338" s="8"/>
      <c r="X338" s="8">
        <v>1.37</v>
      </c>
      <c r="Y338" s="8">
        <v>28.3</v>
      </c>
      <c r="Z338" s="10"/>
      <c r="AA338" s="10"/>
      <c r="AB338" s="8">
        <f t="shared" si="192"/>
        <v>4.8409893992932863E-2</v>
      </c>
      <c r="AC338" s="8"/>
      <c r="AD338" s="67">
        <f t="shared" si="193"/>
        <v>7.3980000000000018E-2</v>
      </c>
      <c r="AE338" s="67">
        <f t="shared" si="194"/>
        <v>1.5282000000000002</v>
      </c>
      <c r="AF338" s="67">
        <f t="shared" si="195"/>
        <v>2.6141342756183751E-3</v>
      </c>
      <c r="AG338" s="27" t="s">
        <v>80</v>
      </c>
      <c r="AH338" s="9">
        <v>7.96</v>
      </c>
      <c r="AI338" s="9"/>
      <c r="AJ338" s="9"/>
      <c r="AK338" s="9"/>
      <c r="AL338" s="11"/>
      <c r="AM338" s="9"/>
      <c r="AN338" s="9">
        <v>22.1</v>
      </c>
      <c r="AO338" s="9">
        <v>41.1</v>
      </c>
      <c r="AP338" s="10"/>
      <c r="AQ338" s="10"/>
      <c r="AR338" s="9"/>
      <c r="AS338" s="8">
        <f t="shared" si="196"/>
        <v>0.53771289537712896</v>
      </c>
      <c r="AT338" s="9"/>
      <c r="AU338" s="67">
        <f t="shared" si="197"/>
        <v>3.27156</v>
      </c>
      <c r="AV338" s="67">
        <f t="shared" si="198"/>
        <v>1.7591600000000001</v>
      </c>
      <c r="AW338" s="67">
        <f t="shared" si="199"/>
        <v>4.2801946472019459E-2</v>
      </c>
      <c r="AX338" s="27" t="s">
        <v>80</v>
      </c>
      <c r="AY338" s="9">
        <v>5.95</v>
      </c>
      <c r="AZ338" s="9"/>
      <c r="BA338" s="9"/>
      <c r="BB338" s="9"/>
      <c r="BC338" s="11"/>
      <c r="BD338" s="9"/>
      <c r="BE338" s="9">
        <v>0.99</v>
      </c>
      <c r="BF338" s="9">
        <v>21.5</v>
      </c>
      <c r="BG338" s="12"/>
      <c r="BH338" s="10"/>
      <c r="BI338" s="9"/>
      <c r="BJ338" s="8">
        <f t="shared" si="200"/>
        <v>4.6046511627906975E-2</v>
      </c>
      <c r="BK338" s="9"/>
      <c r="BL338" s="67">
        <f t="shared" si="201"/>
        <v>1.27925</v>
      </c>
      <c r="BM338" s="67">
        <f t="shared" si="202"/>
        <v>5.8905000000000006E-2</v>
      </c>
      <c r="BN338" s="67">
        <f t="shared" si="203"/>
        <v>4.6046511627906982E-2</v>
      </c>
    </row>
    <row r="339" spans="1:66" x14ac:dyDescent="0.3">
      <c r="A339" s="27" t="s">
        <v>72</v>
      </c>
      <c r="B339" s="27">
        <v>25</v>
      </c>
      <c r="C339" s="8"/>
      <c r="D339" s="8"/>
      <c r="E339" s="8"/>
      <c r="F339" s="13"/>
      <c r="G339" s="8"/>
      <c r="H339" s="8"/>
      <c r="I339" s="8">
        <v>5.5</v>
      </c>
      <c r="J339" s="9"/>
      <c r="K339" s="10">
        <v>1.42</v>
      </c>
      <c r="L339" s="8">
        <f t="shared" si="204"/>
        <v>0.25818181818181818</v>
      </c>
      <c r="M339" s="8"/>
      <c r="N339" s="67">
        <f t="shared" si="205"/>
        <v>1.375</v>
      </c>
      <c r="O339" s="67">
        <f t="shared" si="206"/>
        <v>0.35499999999999998</v>
      </c>
      <c r="P339" s="67">
        <f t="shared" si="207"/>
        <v>6.4545454545454545E-2</v>
      </c>
      <c r="Q339" s="27" t="s">
        <v>72</v>
      </c>
      <c r="R339" s="7">
        <v>9.84</v>
      </c>
      <c r="S339" s="8"/>
      <c r="T339" s="8"/>
      <c r="U339" s="8"/>
      <c r="V339" s="13"/>
      <c r="W339" s="8"/>
      <c r="X339" s="8">
        <v>3.72</v>
      </c>
      <c r="Y339" s="8">
        <v>14</v>
      </c>
      <c r="Z339" s="10"/>
      <c r="AA339" s="10"/>
      <c r="AB339" s="8">
        <f t="shared" si="192"/>
        <v>0.26571428571428574</v>
      </c>
      <c r="AC339" s="8"/>
      <c r="AD339" s="67">
        <f t="shared" si="193"/>
        <v>0.36604800000000004</v>
      </c>
      <c r="AE339" s="67">
        <f t="shared" si="194"/>
        <v>1.3775999999999999</v>
      </c>
      <c r="AF339" s="67">
        <f t="shared" si="195"/>
        <v>2.6146285714285719E-2</v>
      </c>
      <c r="AG339" s="27" t="s">
        <v>72</v>
      </c>
      <c r="AH339" s="9">
        <v>5.83</v>
      </c>
      <c r="AI339" s="9"/>
      <c r="AJ339" s="9"/>
      <c r="AK339" s="9"/>
      <c r="AL339" s="11"/>
      <c r="AM339" s="9"/>
      <c r="AN339" s="9">
        <v>3.67</v>
      </c>
      <c r="AO339" s="9">
        <v>19.7</v>
      </c>
      <c r="AP339" s="10"/>
      <c r="AQ339" s="10"/>
      <c r="AR339" s="9"/>
      <c r="AS339" s="8">
        <f t="shared" si="196"/>
        <v>0.18629441624365484</v>
      </c>
      <c r="AT339" s="9"/>
      <c r="AU339" s="67">
        <f t="shared" si="197"/>
        <v>1.1485099999999999</v>
      </c>
      <c r="AV339" s="67">
        <f t="shared" si="198"/>
        <v>0.21396100000000001</v>
      </c>
      <c r="AW339" s="67">
        <f t="shared" si="199"/>
        <v>1.0860964467005076E-2</v>
      </c>
      <c r="AX339" s="27" t="s">
        <v>72</v>
      </c>
      <c r="AY339" s="9">
        <v>6.56</v>
      </c>
      <c r="AZ339" s="9"/>
      <c r="BA339" s="9"/>
      <c r="BB339" s="9"/>
      <c r="BC339" s="11"/>
      <c r="BD339" s="9"/>
      <c r="BE339" s="9">
        <v>1.22</v>
      </c>
      <c r="BF339" s="9">
        <v>31.3</v>
      </c>
      <c r="BG339" s="12"/>
      <c r="BH339" s="10"/>
      <c r="BI339" s="9"/>
      <c r="BJ339" s="8">
        <f t="shared" si="200"/>
        <v>3.8977635782747599E-2</v>
      </c>
      <c r="BK339" s="9"/>
      <c r="BL339" s="67">
        <f t="shared" si="201"/>
        <v>2.05328</v>
      </c>
      <c r="BM339" s="67">
        <f t="shared" si="202"/>
        <v>8.0031999999999992E-2</v>
      </c>
      <c r="BN339" s="67">
        <f t="shared" si="203"/>
        <v>3.8977635782747599E-2</v>
      </c>
    </row>
    <row r="340" spans="1:66" x14ac:dyDescent="0.3">
      <c r="A340" s="27" t="s">
        <v>93</v>
      </c>
      <c r="B340" s="27">
        <v>19</v>
      </c>
      <c r="C340" s="8"/>
      <c r="D340" s="8"/>
      <c r="E340" s="8"/>
      <c r="F340" s="13"/>
      <c r="G340" s="8"/>
      <c r="H340" s="8"/>
      <c r="I340" s="8">
        <v>46.9</v>
      </c>
      <c r="J340" s="9"/>
      <c r="K340" s="10">
        <v>3.69</v>
      </c>
      <c r="L340" s="8">
        <f t="shared" si="204"/>
        <v>7.8678038379530912E-2</v>
      </c>
      <c r="M340" s="8"/>
      <c r="N340" s="67">
        <f t="shared" si="205"/>
        <v>8.9109999999999996</v>
      </c>
      <c r="O340" s="67">
        <f t="shared" si="206"/>
        <v>0.70109999999999995</v>
      </c>
      <c r="P340" s="67">
        <f t="shared" si="207"/>
        <v>1.4948827292110873E-2</v>
      </c>
      <c r="Q340" s="27" t="s">
        <v>93</v>
      </c>
      <c r="R340" s="7">
        <v>9.43</v>
      </c>
      <c r="S340" s="8"/>
      <c r="T340" s="8"/>
      <c r="U340" s="8"/>
      <c r="V340" s="13"/>
      <c r="W340" s="8"/>
      <c r="X340" s="8">
        <v>6.22</v>
      </c>
      <c r="Y340" s="8">
        <v>47.1</v>
      </c>
      <c r="Z340" s="10"/>
      <c r="AA340" s="10"/>
      <c r="AB340" s="8">
        <f t="shared" si="192"/>
        <v>0.13205944798301486</v>
      </c>
      <c r="AC340" s="8"/>
      <c r="AD340" s="67">
        <f t="shared" si="193"/>
        <v>0.5865459999999999</v>
      </c>
      <c r="AE340" s="67">
        <f t="shared" si="194"/>
        <v>4.4415300000000002</v>
      </c>
      <c r="AF340" s="67">
        <f t="shared" si="195"/>
        <v>1.2453205944798301E-2</v>
      </c>
      <c r="AG340" s="27" t="s">
        <v>93</v>
      </c>
      <c r="AH340" s="9">
        <v>6.78</v>
      </c>
      <c r="AI340" s="9"/>
      <c r="AJ340" s="9"/>
      <c r="AK340" s="9"/>
      <c r="AL340" s="11"/>
      <c r="AM340" s="9"/>
      <c r="AN340" s="9">
        <v>5.28</v>
      </c>
      <c r="AO340" s="9">
        <v>49.9</v>
      </c>
      <c r="AP340" s="10"/>
      <c r="AQ340" s="10"/>
      <c r="AR340" s="9"/>
      <c r="AS340" s="8">
        <f t="shared" si="196"/>
        <v>0.105811623246493</v>
      </c>
      <c r="AT340" s="9"/>
      <c r="AU340" s="67">
        <f t="shared" si="197"/>
        <v>3.3832200000000001</v>
      </c>
      <c r="AV340" s="67">
        <f t="shared" si="198"/>
        <v>0.35798400000000002</v>
      </c>
      <c r="AW340" s="67">
        <f t="shared" si="199"/>
        <v>7.1740280561122258E-3</v>
      </c>
      <c r="AX340" s="27" t="s">
        <v>93</v>
      </c>
      <c r="AY340" s="9">
        <v>5.6</v>
      </c>
      <c r="AZ340" s="9"/>
      <c r="BA340" s="9"/>
      <c r="BB340" s="9"/>
      <c r="BC340" s="11"/>
      <c r="BD340" s="9"/>
      <c r="BE340" s="9">
        <v>4.57</v>
      </c>
      <c r="BF340" s="9">
        <v>9.82</v>
      </c>
      <c r="BG340" s="12"/>
      <c r="BH340" s="10"/>
      <c r="BI340" s="9"/>
      <c r="BJ340" s="8">
        <f t="shared" si="200"/>
        <v>0.46537678207739308</v>
      </c>
      <c r="BK340" s="9"/>
      <c r="BL340" s="67">
        <f t="shared" si="201"/>
        <v>0.54991999999999996</v>
      </c>
      <c r="BM340" s="67">
        <f t="shared" si="202"/>
        <v>0.25591999999999998</v>
      </c>
      <c r="BN340" s="67">
        <f t="shared" si="203"/>
        <v>0.46537678207739308</v>
      </c>
    </row>
    <row r="341" spans="1:66" x14ac:dyDescent="0.3">
      <c r="A341" s="27" t="s">
        <v>92</v>
      </c>
      <c r="B341" s="27">
        <v>2.85</v>
      </c>
      <c r="C341" s="8"/>
      <c r="D341" s="8"/>
      <c r="E341" s="8"/>
      <c r="F341" s="13"/>
      <c r="G341" s="8"/>
      <c r="H341" s="8"/>
      <c r="I341" s="8">
        <v>13.2</v>
      </c>
      <c r="J341" s="9"/>
      <c r="K341" s="10">
        <v>3.7</v>
      </c>
      <c r="L341" s="8">
        <f t="shared" si="204"/>
        <v>0.28030303030303033</v>
      </c>
      <c r="M341" s="8"/>
      <c r="N341" s="67">
        <f t="shared" si="205"/>
        <v>0.37619999999999998</v>
      </c>
      <c r="O341" s="67">
        <f t="shared" si="206"/>
        <v>0.10545000000000002</v>
      </c>
      <c r="P341" s="67">
        <f t="shared" si="207"/>
        <v>7.9886363636363644E-3</v>
      </c>
      <c r="Q341" s="27" t="s">
        <v>92</v>
      </c>
      <c r="R341" s="7">
        <v>0.82</v>
      </c>
      <c r="S341" s="8"/>
      <c r="T341" s="8"/>
      <c r="U341" s="8"/>
      <c r="V341" s="13"/>
      <c r="W341" s="8"/>
      <c r="X341" s="8">
        <v>2.14</v>
      </c>
      <c r="Y341" s="8">
        <v>33.6</v>
      </c>
      <c r="Z341" s="10"/>
      <c r="AA341" s="10"/>
      <c r="AB341" s="8">
        <f t="shared" si="192"/>
        <v>6.3690476190476186E-2</v>
      </c>
      <c r="AC341" s="8"/>
      <c r="AD341" s="67">
        <f t="shared" si="193"/>
        <v>1.7547999999999998E-2</v>
      </c>
      <c r="AE341" s="67">
        <f t="shared" si="194"/>
        <v>0.27551999999999999</v>
      </c>
      <c r="AF341" s="67">
        <f t="shared" si="195"/>
        <v>5.2226190476190471E-4</v>
      </c>
      <c r="AG341" s="27" t="s">
        <v>92</v>
      </c>
      <c r="AH341" s="9">
        <v>0.72</v>
      </c>
      <c r="AI341" s="9"/>
      <c r="AJ341" s="9"/>
      <c r="AK341" s="9"/>
      <c r="AL341" s="11"/>
      <c r="AM341" s="9"/>
      <c r="AN341" s="9">
        <v>5.88</v>
      </c>
      <c r="AO341" s="9">
        <v>16.600000000000001</v>
      </c>
      <c r="AP341" s="10"/>
      <c r="AQ341" s="10"/>
      <c r="AR341" s="9"/>
      <c r="AS341" s="8">
        <f t="shared" si="196"/>
        <v>0.35421686746987946</v>
      </c>
      <c r="AT341" s="9"/>
      <c r="AU341" s="67">
        <f t="shared" si="197"/>
        <v>0.11952</v>
      </c>
      <c r="AV341" s="67">
        <f t="shared" si="198"/>
        <v>4.2335999999999999E-2</v>
      </c>
      <c r="AW341" s="67">
        <f t="shared" si="199"/>
        <v>2.5503614457831319E-3</v>
      </c>
      <c r="AX341" s="27" t="s">
        <v>92</v>
      </c>
      <c r="AY341" s="9">
        <v>3.48</v>
      </c>
      <c r="AZ341" s="9"/>
      <c r="BA341" s="9"/>
      <c r="BB341" s="9"/>
      <c r="BC341" s="11"/>
      <c r="BD341" s="9"/>
      <c r="BE341" s="88"/>
      <c r="BF341" s="88"/>
      <c r="BG341" s="90"/>
      <c r="BH341" s="87"/>
      <c r="BI341" s="88"/>
      <c r="BJ341" s="85"/>
      <c r="BK341" s="88"/>
      <c r="BL341" s="86"/>
      <c r="BM341" s="86"/>
      <c r="BN341" s="86"/>
    </row>
    <row r="342" spans="1:66" x14ac:dyDescent="0.3">
      <c r="A342" s="27" t="s">
        <v>96</v>
      </c>
      <c r="B342" s="27">
        <v>2.57</v>
      </c>
      <c r="C342" s="8"/>
      <c r="D342" s="8"/>
      <c r="E342" s="8"/>
      <c r="F342" s="13"/>
      <c r="G342" s="8"/>
      <c r="H342" s="8"/>
      <c r="I342" s="8">
        <v>16.8</v>
      </c>
      <c r="J342" s="9"/>
      <c r="K342" s="10">
        <v>10.6</v>
      </c>
      <c r="L342" s="8">
        <f t="shared" si="204"/>
        <v>0.63095238095238093</v>
      </c>
      <c r="M342" s="8"/>
      <c r="N342" s="67">
        <f t="shared" si="205"/>
        <v>0.43176000000000003</v>
      </c>
      <c r="O342" s="67">
        <f t="shared" si="206"/>
        <v>0.27242</v>
      </c>
      <c r="P342" s="67">
        <f t="shared" si="207"/>
        <v>1.6215476190476186E-2</v>
      </c>
      <c r="Q342" s="27" t="s">
        <v>168</v>
      </c>
      <c r="R342" s="7">
        <v>0.56000000000000005</v>
      </c>
      <c r="S342" s="8"/>
      <c r="T342" s="8"/>
      <c r="U342" s="8"/>
      <c r="V342" s="13"/>
      <c r="W342" s="8"/>
      <c r="X342" s="8">
        <v>6.13</v>
      </c>
      <c r="Y342" s="8">
        <v>24.8</v>
      </c>
      <c r="Z342" s="10"/>
      <c r="AA342" s="10"/>
      <c r="AB342" s="8">
        <f t="shared" si="192"/>
        <v>0.2471774193548387</v>
      </c>
      <c r="AC342" s="8"/>
      <c r="AD342" s="67">
        <f t="shared" si="193"/>
        <v>3.4328000000000004E-2</v>
      </c>
      <c r="AE342" s="67">
        <f t="shared" si="194"/>
        <v>0.13888</v>
      </c>
      <c r="AF342" s="67">
        <f t="shared" si="195"/>
        <v>1.3841935483870967E-3</v>
      </c>
      <c r="AG342" s="27" t="s">
        <v>168</v>
      </c>
      <c r="AH342" s="9">
        <v>1.05</v>
      </c>
      <c r="AI342" s="9"/>
      <c r="AJ342" s="9"/>
      <c r="AK342" s="9"/>
      <c r="AL342" s="11"/>
      <c r="AM342" s="9"/>
      <c r="AN342" s="9">
        <v>5.79</v>
      </c>
      <c r="AO342" s="9">
        <v>23</v>
      </c>
      <c r="AP342" s="10"/>
      <c r="AQ342" s="10"/>
      <c r="AR342" s="9"/>
      <c r="AS342" s="8">
        <f t="shared" si="196"/>
        <v>0.25173913043478263</v>
      </c>
      <c r="AT342" s="9"/>
      <c r="AU342" s="67">
        <f t="shared" si="197"/>
        <v>0.24150000000000002</v>
      </c>
      <c r="AV342" s="67">
        <f t="shared" si="198"/>
        <v>6.0795000000000002E-2</v>
      </c>
      <c r="AW342" s="67">
        <f t="shared" si="199"/>
        <v>2.6432608695652177E-3</v>
      </c>
      <c r="AX342" s="27" t="s">
        <v>168</v>
      </c>
      <c r="AY342" s="9">
        <v>1.77</v>
      </c>
      <c r="AZ342" s="9"/>
      <c r="BA342" s="9"/>
      <c r="BB342" s="9"/>
      <c r="BC342" s="11"/>
      <c r="BD342" s="9"/>
      <c r="BE342" s="9">
        <v>1.2</v>
      </c>
      <c r="BF342" s="9">
        <v>16.899999999999999</v>
      </c>
      <c r="BG342" s="12"/>
      <c r="BH342" s="10"/>
      <c r="BI342" s="9"/>
      <c r="BJ342" s="8">
        <f t="shared" si="200"/>
        <v>7.1005917159763315E-2</v>
      </c>
      <c r="BK342" s="9"/>
      <c r="BL342" s="67">
        <f t="shared" si="201"/>
        <v>0.29912999999999995</v>
      </c>
      <c r="BM342" s="67">
        <f t="shared" si="202"/>
        <v>2.1240000000000002E-2</v>
      </c>
      <c r="BN342" s="67">
        <f t="shared" si="203"/>
        <v>7.1005917159763329E-2</v>
      </c>
    </row>
    <row r="343" spans="1:66" x14ac:dyDescent="0.3">
      <c r="A343" s="27" t="s">
        <v>90</v>
      </c>
      <c r="B343" s="27">
        <v>31.9</v>
      </c>
      <c r="C343" s="8"/>
      <c r="D343" s="8"/>
      <c r="E343" s="8"/>
      <c r="F343" s="13"/>
      <c r="G343" s="8"/>
      <c r="H343" s="8"/>
      <c r="I343" s="8">
        <v>16.5</v>
      </c>
      <c r="J343" s="9"/>
      <c r="K343" s="10">
        <v>0.89</v>
      </c>
      <c r="L343" s="8">
        <f t="shared" si="204"/>
        <v>5.393939393939394E-2</v>
      </c>
      <c r="M343" s="8"/>
      <c r="N343" s="67">
        <f t="shared" si="205"/>
        <v>5.2635000000000005</v>
      </c>
      <c r="O343" s="67">
        <f t="shared" si="206"/>
        <v>0.28391</v>
      </c>
      <c r="P343" s="67">
        <f t="shared" si="207"/>
        <v>1.7206666666666665E-2</v>
      </c>
      <c r="Q343" s="27" t="s">
        <v>90</v>
      </c>
      <c r="R343" s="7">
        <v>4.37</v>
      </c>
      <c r="S343" s="8"/>
      <c r="T343" s="8"/>
      <c r="U343" s="8"/>
      <c r="V343" s="13"/>
      <c r="W343" s="8"/>
      <c r="X343" s="8">
        <v>1.96</v>
      </c>
      <c r="Y343" s="8">
        <v>30.8</v>
      </c>
      <c r="Z343" s="10"/>
      <c r="AA343" s="10"/>
      <c r="AB343" s="8">
        <f t="shared" si="192"/>
        <v>6.363636363636363E-2</v>
      </c>
      <c r="AC343" s="8"/>
      <c r="AD343" s="67">
        <f t="shared" si="193"/>
        <v>8.5652000000000006E-2</v>
      </c>
      <c r="AE343" s="67">
        <f t="shared" si="194"/>
        <v>1.34596</v>
      </c>
      <c r="AF343" s="67">
        <f t="shared" si="195"/>
        <v>2.7809090909090904E-3</v>
      </c>
      <c r="AG343" s="27" t="s">
        <v>90</v>
      </c>
      <c r="AH343" s="9">
        <v>4.3499999999999996</v>
      </c>
      <c r="AI343" s="9"/>
      <c r="AJ343" s="9"/>
      <c r="AK343" s="9"/>
      <c r="AL343" s="11"/>
      <c r="AM343" s="9"/>
      <c r="AN343" s="9">
        <v>3.47</v>
      </c>
      <c r="AO343" s="9">
        <v>39.700000000000003</v>
      </c>
      <c r="AP343" s="10"/>
      <c r="AQ343" s="10"/>
      <c r="AR343" s="9"/>
      <c r="AS343" s="8">
        <f t="shared" si="196"/>
        <v>8.7405541561712846E-2</v>
      </c>
      <c r="AT343" s="9"/>
      <c r="AU343" s="67">
        <f t="shared" si="197"/>
        <v>1.72695</v>
      </c>
      <c r="AV343" s="67">
        <f t="shared" si="198"/>
        <v>0.150945</v>
      </c>
      <c r="AW343" s="67">
        <f t="shared" si="199"/>
        <v>3.8021410579345081E-3</v>
      </c>
      <c r="AX343" s="27" t="s">
        <v>90</v>
      </c>
      <c r="AY343" s="9">
        <v>5.7</v>
      </c>
      <c r="AZ343" s="9"/>
      <c r="BA343" s="9"/>
      <c r="BB343" s="9"/>
      <c r="BC343" s="11"/>
      <c r="BD343" s="9"/>
      <c r="BE343" s="9">
        <v>1.1200000000000001</v>
      </c>
      <c r="BF343" s="9">
        <v>8.8800000000000008</v>
      </c>
      <c r="BG343" s="12"/>
      <c r="BH343" s="10"/>
      <c r="BI343" s="9"/>
      <c r="BJ343" s="8">
        <f t="shared" si="200"/>
        <v>0.12612612612612611</v>
      </c>
      <c r="BK343" s="9"/>
      <c r="BL343" s="67">
        <f t="shared" si="201"/>
        <v>0.50616000000000005</v>
      </c>
      <c r="BM343" s="67">
        <f t="shared" si="202"/>
        <v>6.3840000000000008E-2</v>
      </c>
      <c r="BN343" s="67">
        <f t="shared" si="203"/>
        <v>0.12612612612612611</v>
      </c>
    </row>
    <row r="344" spans="1:66" x14ac:dyDescent="0.3">
      <c r="A344" s="27" t="s">
        <v>169</v>
      </c>
      <c r="B344" s="27">
        <v>36.6</v>
      </c>
      <c r="C344" s="8"/>
      <c r="D344" s="8"/>
      <c r="E344" s="8"/>
      <c r="F344" s="13"/>
      <c r="G344" s="8"/>
      <c r="H344" s="8"/>
      <c r="I344" s="8">
        <v>17.3</v>
      </c>
      <c r="J344" s="9"/>
      <c r="K344" s="10">
        <v>1.1200000000000001</v>
      </c>
      <c r="L344" s="8">
        <f t="shared" si="204"/>
        <v>6.4739884393063593E-2</v>
      </c>
      <c r="M344" s="8"/>
      <c r="N344" s="67">
        <f t="shared" si="205"/>
        <v>6.3318000000000003</v>
      </c>
      <c r="O344" s="67">
        <f t="shared" si="206"/>
        <v>0.40992000000000006</v>
      </c>
      <c r="P344" s="67">
        <f t="shared" si="207"/>
        <v>2.3694797687861278E-2</v>
      </c>
      <c r="Q344" s="27" t="s">
        <v>169</v>
      </c>
      <c r="R344" s="7">
        <v>12.2</v>
      </c>
      <c r="S344" s="8"/>
      <c r="T344" s="8"/>
      <c r="U344" s="8"/>
      <c r="V344" s="13"/>
      <c r="W344" s="8"/>
      <c r="X344" s="8">
        <v>3.92</v>
      </c>
      <c r="Y344" s="8">
        <v>57.2</v>
      </c>
      <c r="Z344" s="10"/>
      <c r="AA344" s="10"/>
      <c r="AB344" s="8">
        <f t="shared" si="192"/>
        <v>6.853146853146852E-2</v>
      </c>
      <c r="AC344" s="8"/>
      <c r="AD344" s="67">
        <f t="shared" si="193"/>
        <v>0.47824</v>
      </c>
      <c r="AE344" s="67">
        <f t="shared" si="194"/>
        <v>6.9784000000000006</v>
      </c>
      <c r="AF344" s="67">
        <f t="shared" si="195"/>
        <v>8.3608391608391581E-3</v>
      </c>
      <c r="AG344" s="27" t="s">
        <v>169</v>
      </c>
      <c r="AH344" s="9">
        <v>6.97</v>
      </c>
      <c r="AI344" s="9"/>
      <c r="AJ344" s="9"/>
      <c r="AK344" s="9"/>
      <c r="AL344" s="11"/>
      <c r="AM344" s="9"/>
      <c r="AN344" s="9">
        <v>5.74</v>
      </c>
      <c r="AO344" s="9">
        <v>36.1</v>
      </c>
      <c r="AP344" s="10"/>
      <c r="AQ344" s="10"/>
      <c r="AR344" s="9"/>
      <c r="AS344" s="8">
        <f t="shared" si="196"/>
        <v>0.15900277008310248</v>
      </c>
      <c r="AT344" s="9"/>
      <c r="AU344" s="67">
        <f t="shared" si="197"/>
        <v>2.5161699999999998</v>
      </c>
      <c r="AV344" s="67">
        <f t="shared" si="198"/>
        <v>0.40007800000000004</v>
      </c>
      <c r="AW344" s="67">
        <f t="shared" si="199"/>
        <v>1.1082493074792244E-2</v>
      </c>
      <c r="AX344" s="27" t="s">
        <v>169</v>
      </c>
      <c r="AY344" s="62"/>
      <c r="AZ344" s="62"/>
      <c r="BA344" s="62"/>
      <c r="BB344" s="62"/>
      <c r="BC344" s="63"/>
      <c r="BD344" s="62"/>
      <c r="BE344" s="62"/>
      <c r="BF344" s="62"/>
      <c r="BG344" s="71"/>
      <c r="BH344" s="65"/>
      <c r="BI344" s="62"/>
      <c r="BJ344" s="60"/>
      <c r="BK344" s="60"/>
      <c r="BL344" s="60"/>
      <c r="BM344" s="60"/>
      <c r="BN344" s="60"/>
    </row>
    <row r="345" spans="1:66" x14ac:dyDescent="0.3">
      <c r="A345" s="27" t="s">
        <v>170</v>
      </c>
      <c r="B345" s="27">
        <v>5.46</v>
      </c>
      <c r="C345" s="8"/>
      <c r="D345" s="8"/>
      <c r="E345" s="8"/>
      <c r="F345" s="13"/>
      <c r="G345" s="8"/>
      <c r="H345" s="8"/>
      <c r="I345" s="8">
        <v>9.17</v>
      </c>
      <c r="J345" s="9"/>
      <c r="K345" s="10">
        <v>9.76</v>
      </c>
      <c r="L345" s="8">
        <f t="shared" si="204"/>
        <v>1.0643402399127591</v>
      </c>
      <c r="M345" s="8"/>
      <c r="N345" s="67">
        <f t="shared" si="205"/>
        <v>0.50068199999999996</v>
      </c>
      <c r="O345" s="67">
        <f t="shared" si="206"/>
        <v>0.53289600000000004</v>
      </c>
      <c r="P345" s="67">
        <f t="shared" si="207"/>
        <v>5.8112977099236643E-2</v>
      </c>
      <c r="Q345" s="27" t="s">
        <v>170</v>
      </c>
      <c r="R345" s="7">
        <v>2.91</v>
      </c>
      <c r="S345" s="8"/>
      <c r="T345" s="8"/>
      <c r="U345" s="8"/>
      <c r="V345" s="13"/>
      <c r="W345" s="8"/>
      <c r="X345" s="85"/>
      <c r="Y345" s="85"/>
      <c r="Z345" s="87"/>
      <c r="AA345" s="87"/>
      <c r="AB345" s="85"/>
      <c r="AC345" s="85"/>
      <c r="AD345" s="86"/>
      <c r="AE345" s="86"/>
      <c r="AF345" s="86"/>
      <c r="AG345" s="27" t="s">
        <v>170</v>
      </c>
      <c r="AH345" s="9">
        <v>4.08</v>
      </c>
      <c r="AI345" s="9"/>
      <c r="AJ345" s="9"/>
      <c r="AK345" s="9"/>
      <c r="AL345" s="11"/>
      <c r="AM345" s="9"/>
      <c r="AN345" s="88"/>
      <c r="AO345" s="88"/>
      <c r="AP345" s="87"/>
      <c r="AQ345" s="87"/>
      <c r="AR345" s="88"/>
      <c r="AS345" s="85"/>
      <c r="AT345" s="88"/>
      <c r="AU345" s="86"/>
      <c r="AV345" s="86"/>
      <c r="AW345" s="86"/>
      <c r="AX345" s="27" t="s">
        <v>170</v>
      </c>
      <c r="AY345" s="9">
        <v>2.09</v>
      </c>
      <c r="AZ345" s="9"/>
      <c r="BA345" s="9"/>
      <c r="BB345" s="9"/>
      <c r="BC345" s="11"/>
      <c r="BD345" s="9"/>
      <c r="BE345" s="88"/>
      <c r="BF345" s="88"/>
      <c r="BG345" s="90"/>
      <c r="BH345" s="87"/>
      <c r="BI345" s="88"/>
      <c r="BJ345" s="85"/>
      <c r="BK345" s="88"/>
      <c r="BL345" s="86"/>
      <c r="BM345" s="86"/>
      <c r="BN345" s="86"/>
    </row>
    <row r="346" spans="1:66" x14ac:dyDescent="0.3">
      <c r="A346" s="27" t="s">
        <v>171</v>
      </c>
      <c r="B346" s="79"/>
      <c r="C346" s="60"/>
      <c r="D346" s="60"/>
      <c r="E346" s="60"/>
      <c r="F346" s="61"/>
      <c r="G346" s="60"/>
      <c r="H346" s="60"/>
      <c r="I346" s="60"/>
      <c r="J346" s="62"/>
      <c r="K346" s="65"/>
      <c r="L346" s="60"/>
      <c r="M346" s="60"/>
      <c r="N346" s="60"/>
      <c r="O346" s="60"/>
      <c r="P346" s="60"/>
      <c r="Q346" s="27" t="s">
        <v>172</v>
      </c>
      <c r="R346" s="7">
        <v>0.82</v>
      </c>
      <c r="S346" s="8"/>
      <c r="T346" s="8"/>
      <c r="U346" s="8"/>
      <c r="V346" s="13"/>
      <c r="W346" s="8"/>
      <c r="X346" s="8">
        <v>2.85</v>
      </c>
      <c r="Y346" s="8">
        <v>21.6</v>
      </c>
      <c r="Z346" s="10"/>
      <c r="AA346" s="10"/>
      <c r="AB346" s="8">
        <f t="shared" si="192"/>
        <v>0.13194444444444445</v>
      </c>
      <c r="AC346" s="8"/>
      <c r="AD346" s="67">
        <f t="shared" si="193"/>
        <v>2.3369999999999998E-2</v>
      </c>
      <c r="AE346" s="67">
        <f t="shared" si="194"/>
        <v>0.17712</v>
      </c>
      <c r="AF346" s="67">
        <f t="shared" si="195"/>
        <v>1.0819444444444444E-3</v>
      </c>
      <c r="AG346" s="27" t="s">
        <v>172</v>
      </c>
      <c r="AH346" s="9">
        <v>1.33</v>
      </c>
      <c r="AI346" s="9"/>
      <c r="AJ346" s="9"/>
      <c r="AK346" s="9"/>
      <c r="AL346" s="11"/>
      <c r="AM346" s="9"/>
      <c r="AN346" s="9">
        <v>3.13</v>
      </c>
      <c r="AO346" s="9">
        <v>38.6</v>
      </c>
      <c r="AP346" s="10"/>
      <c r="AQ346" s="10"/>
      <c r="AR346" s="9"/>
      <c r="AS346" s="8">
        <f t="shared" si="196"/>
        <v>8.1088082901554392E-2</v>
      </c>
      <c r="AT346" s="9"/>
      <c r="AU346" s="67">
        <f t="shared" si="197"/>
        <v>0.51338000000000006</v>
      </c>
      <c r="AV346" s="67">
        <f t="shared" si="198"/>
        <v>4.1629000000000006E-2</v>
      </c>
      <c r="AW346" s="67">
        <f t="shared" si="199"/>
        <v>1.0784715025906736E-3</v>
      </c>
      <c r="AX346" s="27" t="s">
        <v>172</v>
      </c>
      <c r="AY346" s="9">
        <v>2.16</v>
      </c>
      <c r="AZ346" s="9"/>
      <c r="BA346" s="9"/>
      <c r="BB346" s="9"/>
      <c r="BC346" s="11"/>
      <c r="BD346" s="9"/>
      <c r="BE346" s="9">
        <v>1.22</v>
      </c>
      <c r="BF346" s="9">
        <v>17.100000000000001</v>
      </c>
      <c r="BG346" s="12"/>
      <c r="BH346" s="10"/>
      <c r="BI346" s="9"/>
      <c r="BJ346" s="8">
        <f t="shared" si="200"/>
        <v>7.1345029239766072E-2</v>
      </c>
      <c r="BK346" s="9"/>
      <c r="BL346" s="67">
        <f t="shared" ref="BL346:BL349" si="208">BF346*AY346/100</f>
        <v>0.36936000000000008</v>
      </c>
      <c r="BM346" s="67">
        <f t="shared" ref="BM346:BM349" si="209">BE346*AY346/100</f>
        <v>2.6352E-2</v>
      </c>
      <c r="BN346" s="67">
        <f t="shared" si="203"/>
        <v>7.1345029239766072E-2</v>
      </c>
    </row>
    <row r="347" spans="1:66" x14ac:dyDescent="0.3">
      <c r="A347" s="27" t="s">
        <v>173</v>
      </c>
      <c r="B347" s="27">
        <v>10.199999999999999</v>
      </c>
      <c r="C347" s="8"/>
      <c r="D347" s="8"/>
      <c r="E347" s="8"/>
      <c r="F347" s="13"/>
      <c r="G347" s="8"/>
      <c r="H347" s="8"/>
      <c r="I347" s="85"/>
      <c r="J347" s="88"/>
      <c r="K347" s="87"/>
      <c r="L347" s="85"/>
      <c r="M347" s="85"/>
      <c r="N347" s="86"/>
      <c r="O347" s="86"/>
      <c r="P347" s="86"/>
      <c r="Q347" s="27" t="s">
        <v>174</v>
      </c>
      <c r="R347" s="7">
        <v>1.1399999999999999</v>
      </c>
      <c r="S347" s="8"/>
      <c r="T347" s="8"/>
      <c r="U347" s="8"/>
      <c r="V347" s="13"/>
      <c r="W347" s="8"/>
      <c r="X347" s="8">
        <v>1.04</v>
      </c>
      <c r="Y347" s="8">
        <v>24.6</v>
      </c>
      <c r="Z347" s="10"/>
      <c r="AA347" s="10"/>
      <c r="AB347" s="8">
        <f t="shared" si="192"/>
        <v>4.2276422764227641E-2</v>
      </c>
      <c r="AC347" s="8"/>
      <c r="AD347" s="67">
        <f t="shared" si="193"/>
        <v>1.1856E-2</v>
      </c>
      <c r="AE347" s="67">
        <f t="shared" si="194"/>
        <v>0.28044000000000002</v>
      </c>
      <c r="AF347" s="67">
        <f t="shared" si="195"/>
        <v>4.8195121951219509E-4</v>
      </c>
      <c r="AG347" s="27" t="s">
        <v>174</v>
      </c>
      <c r="AH347" s="9">
        <v>1.95</v>
      </c>
      <c r="AI347" s="9"/>
      <c r="AJ347" s="9"/>
      <c r="AK347" s="9"/>
      <c r="AL347" s="11"/>
      <c r="AM347" s="9"/>
      <c r="AN347" s="9">
        <v>6.44</v>
      </c>
      <c r="AO347" s="9">
        <v>50.8</v>
      </c>
      <c r="AP347" s="10"/>
      <c r="AQ347" s="10"/>
      <c r="AR347" s="9"/>
      <c r="AS347" s="8">
        <f t="shared" si="196"/>
        <v>0.12677165354330711</v>
      </c>
      <c r="AT347" s="9"/>
      <c r="AU347" s="67">
        <f t="shared" si="197"/>
        <v>0.99059999999999993</v>
      </c>
      <c r="AV347" s="67">
        <f t="shared" si="198"/>
        <v>0.12558</v>
      </c>
      <c r="AW347" s="67">
        <f t="shared" si="199"/>
        <v>2.4720472440944883E-3</v>
      </c>
      <c r="AX347" s="27" t="s">
        <v>174</v>
      </c>
      <c r="AY347" s="9">
        <v>3.3</v>
      </c>
      <c r="AZ347" s="9"/>
      <c r="BA347" s="9"/>
      <c r="BB347" s="9"/>
      <c r="BC347" s="11"/>
      <c r="BD347" s="9"/>
      <c r="BE347" s="9">
        <v>0.28000000000000003</v>
      </c>
      <c r="BF347" s="9">
        <v>12.3</v>
      </c>
      <c r="BG347" s="12"/>
      <c r="BH347" s="10"/>
      <c r="BI347" s="9"/>
      <c r="BJ347" s="8">
        <f t="shared" si="200"/>
        <v>2.2764227642276424E-2</v>
      </c>
      <c r="BK347" s="9"/>
      <c r="BL347" s="67">
        <f t="shared" si="208"/>
        <v>0.40590000000000004</v>
      </c>
      <c r="BM347" s="67">
        <f t="shared" si="209"/>
        <v>9.2399999999999999E-3</v>
      </c>
      <c r="BN347" s="67">
        <f t="shared" si="203"/>
        <v>2.2764227642276421E-2</v>
      </c>
    </row>
    <row r="348" spans="1:66" x14ac:dyDescent="0.3">
      <c r="A348" s="27" t="s">
        <v>175</v>
      </c>
      <c r="B348" s="27">
        <v>32.9</v>
      </c>
      <c r="C348" s="8"/>
      <c r="D348" s="8"/>
      <c r="E348" s="8"/>
      <c r="F348" s="13"/>
      <c r="G348" s="8"/>
      <c r="H348" s="8"/>
      <c r="I348" s="8">
        <v>5.5</v>
      </c>
      <c r="J348" s="9"/>
      <c r="K348" s="10">
        <v>0.99</v>
      </c>
      <c r="L348" s="8">
        <f t="shared" ref="L348:L355" si="210">K348/I348</f>
        <v>0.18</v>
      </c>
      <c r="M348" s="8"/>
      <c r="N348" s="67">
        <f t="shared" ref="N348:N355" si="211">I348*B348/100</f>
        <v>1.8094999999999999</v>
      </c>
      <c r="O348" s="67">
        <f t="shared" ref="O348:O355" si="212">K348*B348/100</f>
        <v>0.32571</v>
      </c>
      <c r="P348" s="67">
        <f t="shared" ref="P348:P355" si="213">L348*B348/100</f>
        <v>5.9219999999999995E-2</v>
      </c>
      <c r="Q348" s="27" t="s">
        <v>175</v>
      </c>
      <c r="R348" s="7">
        <v>6.45</v>
      </c>
      <c r="S348" s="8"/>
      <c r="T348" s="8"/>
      <c r="U348" s="8"/>
      <c r="V348" s="13"/>
      <c r="W348" s="8"/>
      <c r="X348" s="8">
        <v>2</v>
      </c>
      <c r="Y348" s="8">
        <v>16.8</v>
      </c>
      <c r="Z348" s="10"/>
      <c r="AA348" s="10"/>
      <c r="AB348" s="8">
        <f t="shared" si="192"/>
        <v>0.11904761904761904</v>
      </c>
      <c r="AC348" s="8"/>
      <c r="AD348" s="67">
        <f t="shared" si="193"/>
        <v>0.129</v>
      </c>
      <c r="AE348" s="67">
        <f t="shared" si="194"/>
        <v>1.0836000000000001</v>
      </c>
      <c r="AF348" s="67">
        <f t="shared" si="195"/>
        <v>7.6785714285714278E-3</v>
      </c>
      <c r="AG348" s="27" t="s">
        <v>175</v>
      </c>
      <c r="AH348" s="9">
        <v>11.6</v>
      </c>
      <c r="AI348" s="9"/>
      <c r="AJ348" s="9"/>
      <c r="AK348" s="9"/>
      <c r="AL348" s="11"/>
      <c r="AM348" s="9"/>
      <c r="AN348" s="88"/>
      <c r="AO348" s="88"/>
      <c r="AP348" s="87"/>
      <c r="AQ348" s="87"/>
      <c r="AR348" s="88"/>
      <c r="AS348" s="85"/>
      <c r="AT348" s="88"/>
      <c r="AU348" s="86"/>
      <c r="AV348" s="86"/>
      <c r="AW348" s="86"/>
      <c r="AX348" s="27" t="s">
        <v>175</v>
      </c>
      <c r="AY348" s="9">
        <v>19.7</v>
      </c>
      <c r="AZ348" s="9"/>
      <c r="BA348" s="9"/>
      <c r="BB348" s="9"/>
      <c r="BC348" s="11"/>
      <c r="BD348" s="9"/>
      <c r="BE348" s="9">
        <v>1.0900000000000001</v>
      </c>
      <c r="BF348" s="9">
        <v>8.5299999999999994</v>
      </c>
      <c r="BG348" s="12"/>
      <c r="BH348" s="10"/>
      <c r="BI348" s="9"/>
      <c r="BJ348" s="8">
        <f t="shared" si="200"/>
        <v>0.12778429073856978</v>
      </c>
      <c r="BK348" s="9"/>
      <c r="BL348" s="67">
        <f t="shared" si="208"/>
        <v>1.6804099999999997</v>
      </c>
      <c r="BM348" s="67">
        <f t="shared" si="209"/>
        <v>0.21473000000000003</v>
      </c>
      <c r="BN348" s="67">
        <f t="shared" si="203"/>
        <v>0.12778429073856978</v>
      </c>
    </row>
    <row r="349" spans="1:66" x14ac:dyDescent="0.3">
      <c r="A349" s="27" t="s">
        <v>176</v>
      </c>
      <c r="B349" s="27">
        <v>40.4</v>
      </c>
      <c r="C349" s="8"/>
      <c r="D349" s="8"/>
      <c r="E349" s="8"/>
      <c r="F349" s="13"/>
      <c r="G349" s="8"/>
      <c r="H349" s="8"/>
      <c r="I349" s="8">
        <v>2.9</v>
      </c>
      <c r="J349" s="9"/>
      <c r="K349" s="10">
        <v>0.94</v>
      </c>
      <c r="L349" s="8">
        <f t="shared" si="210"/>
        <v>0.32413793103448274</v>
      </c>
      <c r="M349" s="8"/>
      <c r="N349" s="67">
        <f t="shared" si="211"/>
        <v>1.1716</v>
      </c>
      <c r="O349" s="67">
        <f t="shared" si="212"/>
        <v>0.37975999999999999</v>
      </c>
      <c r="P349" s="67">
        <f t="shared" si="213"/>
        <v>0.13095172413793102</v>
      </c>
      <c r="Q349" s="27" t="s">
        <v>176</v>
      </c>
      <c r="R349" s="7">
        <v>4.42</v>
      </c>
      <c r="S349" s="8"/>
      <c r="T349" s="8"/>
      <c r="U349" s="8"/>
      <c r="V349" s="13"/>
      <c r="W349" s="8"/>
      <c r="X349" s="8">
        <v>4.96</v>
      </c>
      <c r="Y349" s="8">
        <v>34.700000000000003</v>
      </c>
      <c r="Z349" s="10"/>
      <c r="AA349" s="10"/>
      <c r="AB349" s="8">
        <f t="shared" si="192"/>
        <v>0.14293948126801151</v>
      </c>
      <c r="AC349" s="8"/>
      <c r="AD349" s="67">
        <f t="shared" si="193"/>
        <v>0.21923199999999998</v>
      </c>
      <c r="AE349" s="67">
        <f t="shared" si="194"/>
        <v>1.5337400000000003</v>
      </c>
      <c r="AF349" s="67">
        <f t="shared" si="195"/>
        <v>6.3179250720461089E-3</v>
      </c>
      <c r="AG349" s="27" t="s">
        <v>176</v>
      </c>
      <c r="AH349" s="9">
        <v>3.44</v>
      </c>
      <c r="AI349" s="9"/>
      <c r="AJ349" s="9"/>
      <c r="AK349" s="9"/>
      <c r="AL349" s="11"/>
      <c r="AM349" s="9"/>
      <c r="AN349" s="9">
        <v>4.82</v>
      </c>
      <c r="AO349" s="9">
        <v>22.1</v>
      </c>
      <c r="AP349" s="10"/>
      <c r="AQ349" s="10"/>
      <c r="AR349" s="9"/>
      <c r="AS349" s="8">
        <f t="shared" si="196"/>
        <v>0.21809954751131222</v>
      </c>
      <c r="AT349" s="9"/>
      <c r="AU349" s="67">
        <f t="shared" si="197"/>
        <v>0.76024000000000003</v>
      </c>
      <c r="AV349" s="67">
        <f t="shared" si="198"/>
        <v>0.16580800000000001</v>
      </c>
      <c r="AW349" s="67">
        <f t="shared" si="199"/>
        <v>7.5026244343891404E-3</v>
      </c>
      <c r="AX349" s="27" t="s">
        <v>176</v>
      </c>
      <c r="AY349" s="9">
        <v>3.18</v>
      </c>
      <c r="AZ349" s="9"/>
      <c r="BA349" s="9"/>
      <c r="BB349" s="9"/>
      <c r="BC349" s="11"/>
      <c r="BD349" s="9"/>
      <c r="BE349" s="9">
        <v>4.3600000000000003</v>
      </c>
      <c r="BF349" s="9">
        <v>23.6</v>
      </c>
      <c r="BG349" s="12"/>
      <c r="BH349" s="10"/>
      <c r="BI349" s="9"/>
      <c r="BJ349" s="8">
        <f t="shared" si="200"/>
        <v>0.18474576271186441</v>
      </c>
      <c r="BK349" s="9"/>
      <c r="BL349" s="67">
        <f t="shared" si="208"/>
        <v>0.75048000000000004</v>
      </c>
      <c r="BM349" s="67">
        <f t="shared" si="209"/>
        <v>0.13864800000000002</v>
      </c>
      <c r="BN349" s="67">
        <f t="shared" si="203"/>
        <v>0.18474576271186444</v>
      </c>
    </row>
    <row r="350" spans="1:66" x14ac:dyDescent="0.3">
      <c r="A350" s="27" t="s">
        <v>177</v>
      </c>
      <c r="B350" s="27">
        <v>37.200000000000003</v>
      </c>
      <c r="C350" s="8"/>
      <c r="D350" s="8"/>
      <c r="E350" s="8"/>
      <c r="F350" s="13"/>
      <c r="G350" s="8"/>
      <c r="H350" s="8"/>
      <c r="I350" s="8">
        <v>4.17</v>
      </c>
      <c r="J350" s="9"/>
      <c r="K350" s="10">
        <v>1.37</v>
      </c>
      <c r="L350" s="8">
        <f t="shared" si="210"/>
        <v>0.32853717026378898</v>
      </c>
      <c r="M350" s="8"/>
      <c r="N350" s="67">
        <f t="shared" si="211"/>
        <v>1.55124</v>
      </c>
      <c r="O350" s="67">
        <f t="shared" si="212"/>
        <v>0.50964000000000009</v>
      </c>
      <c r="P350" s="67">
        <f t="shared" si="213"/>
        <v>0.12221582733812951</v>
      </c>
      <c r="Q350" s="27" t="s">
        <v>177</v>
      </c>
      <c r="R350" s="7">
        <v>6.06</v>
      </c>
      <c r="S350" s="8"/>
      <c r="T350" s="8"/>
      <c r="U350" s="8"/>
      <c r="V350" s="13"/>
      <c r="W350" s="8"/>
      <c r="X350" s="8">
        <v>3.14</v>
      </c>
      <c r="Y350" s="8">
        <v>24.7</v>
      </c>
      <c r="Z350" s="10"/>
      <c r="AA350" s="10"/>
      <c r="AB350" s="8">
        <f t="shared" si="192"/>
        <v>0.12712550607287451</v>
      </c>
      <c r="AC350" s="8"/>
      <c r="AD350" s="67">
        <f t="shared" si="193"/>
        <v>0.19028399999999998</v>
      </c>
      <c r="AE350" s="67">
        <f t="shared" si="194"/>
        <v>1.4968199999999998</v>
      </c>
      <c r="AF350" s="67">
        <f t="shared" si="195"/>
        <v>7.7038056680161946E-3</v>
      </c>
      <c r="AG350" s="27" t="s">
        <v>177</v>
      </c>
      <c r="AH350" s="9">
        <v>20.6</v>
      </c>
      <c r="AI350" s="9"/>
      <c r="AJ350" s="9"/>
      <c r="AK350" s="9"/>
      <c r="AL350" s="11"/>
      <c r="AM350" s="9"/>
      <c r="AN350" s="9">
        <v>1.81</v>
      </c>
      <c r="AO350" s="9">
        <v>9.83</v>
      </c>
      <c r="AP350" s="10"/>
      <c r="AQ350" s="10"/>
      <c r="AR350" s="9"/>
      <c r="AS350" s="8">
        <f t="shared" si="196"/>
        <v>0.18413021363173956</v>
      </c>
      <c r="AT350" s="9"/>
      <c r="AU350" s="67">
        <f t="shared" si="197"/>
        <v>2.0249800000000002</v>
      </c>
      <c r="AV350" s="67">
        <f t="shared" si="198"/>
        <v>0.37286000000000002</v>
      </c>
      <c r="AW350" s="67">
        <f t="shared" si="199"/>
        <v>3.7930824008138353E-2</v>
      </c>
      <c r="AX350" s="27" t="s">
        <v>177</v>
      </c>
      <c r="AY350" s="62"/>
      <c r="AZ350" s="62"/>
      <c r="BA350" s="62"/>
      <c r="BB350" s="62"/>
      <c r="BC350" s="63"/>
      <c r="BD350" s="62"/>
      <c r="BE350" s="62"/>
      <c r="BF350" s="62"/>
      <c r="BG350" s="71"/>
      <c r="BH350" s="65"/>
      <c r="BI350" s="62"/>
      <c r="BJ350" s="60"/>
      <c r="BK350" s="60"/>
      <c r="BL350" s="60"/>
      <c r="BM350" s="60"/>
      <c r="BN350" s="60"/>
    </row>
    <row r="351" spans="1:66" x14ac:dyDescent="0.3">
      <c r="A351" s="27" t="s">
        <v>178</v>
      </c>
      <c r="B351" s="27">
        <v>28.6</v>
      </c>
      <c r="C351" s="8"/>
      <c r="D351" s="8"/>
      <c r="E351" s="8"/>
      <c r="F351" s="13"/>
      <c r="G351" s="8"/>
      <c r="H351" s="8"/>
      <c r="I351" s="8">
        <v>7.4</v>
      </c>
      <c r="J351" s="9"/>
      <c r="K351" s="10">
        <v>2.38</v>
      </c>
      <c r="L351" s="8">
        <f t="shared" si="210"/>
        <v>0.32162162162162161</v>
      </c>
      <c r="M351" s="8"/>
      <c r="N351" s="67">
        <f t="shared" si="211"/>
        <v>2.1164000000000001</v>
      </c>
      <c r="O351" s="67">
        <f t="shared" si="212"/>
        <v>0.68067999999999995</v>
      </c>
      <c r="P351" s="67">
        <f t="shared" si="213"/>
        <v>9.1983783783783787E-2</v>
      </c>
      <c r="Q351" s="27" t="s">
        <v>179</v>
      </c>
      <c r="R351" s="7">
        <v>0.85</v>
      </c>
      <c r="S351" s="8"/>
      <c r="T351" s="8"/>
      <c r="U351" s="8"/>
      <c r="V351" s="13"/>
      <c r="W351" s="8"/>
      <c r="X351" s="8">
        <v>3.15</v>
      </c>
      <c r="Y351" s="8">
        <v>39.5</v>
      </c>
      <c r="Z351" s="10"/>
      <c r="AA351" s="10"/>
      <c r="AB351" s="8">
        <f t="shared" si="192"/>
        <v>7.9746835443037969E-2</v>
      </c>
      <c r="AC351" s="8"/>
      <c r="AD351" s="67">
        <f t="shared" si="193"/>
        <v>2.6774999999999997E-2</v>
      </c>
      <c r="AE351" s="67">
        <f t="shared" si="194"/>
        <v>0.33574999999999994</v>
      </c>
      <c r="AF351" s="67">
        <f t="shared" si="195"/>
        <v>6.7784810126582276E-4</v>
      </c>
      <c r="AG351" s="27" t="s">
        <v>179</v>
      </c>
      <c r="AH351" s="9">
        <v>1.49</v>
      </c>
      <c r="AI351" s="9"/>
      <c r="AJ351" s="9"/>
      <c r="AK351" s="9"/>
      <c r="AL351" s="11"/>
      <c r="AM351" s="9"/>
      <c r="AN351" s="9">
        <v>6.95</v>
      </c>
      <c r="AO351" s="9">
        <v>32.5</v>
      </c>
      <c r="AP351" s="10"/>
      <c r="AQ351" s="10"/>
      <c r="AR351" s="9"/>
      <c r="AS351" s="8">
        <f t="shared" si="196"/>
        <v>0.21384615384615385</v>
      </c>
      <c r="AT351" s="9"/>
      <c r="AU351" s="67">
        <f t="shared" si="197"/>
        <v>0.48424999999999996</v>
      </c>
      <c r="AV351" s="67">
        <f t="shared" si="198"/>
        <v>0.10355500000000001</v>
      </c>
      <c r="AW351" s="67">
        <f t="shared" si="199"/>
        <v>3.1863076923076923E-3</v>
      </c>
      <c r="AX351" s="27" t="s">
        <v>179</v>
      </c>
      <c r="AY351" s="9">
        <v>1.24</v>
      </c>
      <c r="AZ351" s="9"/>
      <c r="BA351" s="9"/>
      <c r="BB351" s="9"/>
      <c r="BC351" s="11"/>
      <c r="BD351" s="9"/>
      <c r="BE351" s="9">
        <v>1.96</v>
      </c>
      <c r="BF351" s="9">
        <v>13.5</v>
      </c>
      <c r="BG351" s="12"/>
      <c r="BH351" s="10"/>
      <c r="BI351" s="9"/>
      <c r="BJ351" s="8">
        <f t="shared" si="200"/>
        <v>0.14518518518518519</v>
      </c>
      <c r="BK351" s="9"/>
      <c r="BL351" s="67">
        <f t="shared" ref="BL351:BL360" si="214">BF351*AY351/100</f>
        <v>0.16739999999999999</v>
      </c>
      <c r="BM351" s="67">
        <f t="shared" ref="BM351:BM360" si="215">BE351*AY351/100</f>
        <v>2.4304000000000003E-2</v>
      </c>
      <c r="BN351" s="67">
        <f t="shared" si="203"/>
        <v>0.14518518518518519</v>
      </c>
    </row>
    <row r="352" spans="1:66" x14ac:dyDescent="0.3">
      <c r="A352" s="27" t="s">
        <v>180</v>
      </c>
      <c r="B352" s="27">
        <v>46.7</v>
      </c>
      <c r="C352" s="8"/>
      <c r="D352" s="8"/>
      <c r="E352" s="8"/>
      <c r="F352" s="13"/>
      <c r="G352" s="8"/>
      <c r="H352" s="8"/>
      <c r="I352" s="8">
        <v>2.5099999999999998</v>
      </c>
      <c r="J352" s="9"/>
      <c r="K352" s="10">
        <v>1.47</v>
      </c>
      <c r="L352" s="8">
        <f t="shared" si="210"/>
        <v>0.58565737051792832</v>
      </c>
      <c r="M352" s="8"/>
      <c r="N352" s="67">
        <f t="shared" si="211"/>
        <v>1.1721699999999999</v>
      </c>
      <c r="O352" s="67">
        <f t="shared" si="212"/>
        <v>0.68649000000000004</v>
      </c>
      <c r="P352" s="67">
        <f t="shared" si="213"/>
        <v>0.27350199203187253</v>
      </c>
      <c r="Q352" s="27" t="s">
        <v>180</v>
      </c>
      <c r="R352" s="7">
        <v>10.4</v>
      </c>
      <c r="S352" s="8"/>
      <c r="T352" s="8"/>
      <c r="U352" s="8"/>
      <c r="V352" s="13"/>
      <c r="W352" s="8"/>
      <c r="X352" s="8">
        <v>1.33</v>
      </c>
      <c r="Y352" s="8">
        <v>15.8</v>
      </c>
      <c r="Z352" s="10"/>
      <c r="AA352" s="10"/>
      <c r="AB352" s="8">
        <f t="shared" si="192"/>
        <v>8.4177215189873422E-2</v>
      </c>
      <c r="AC352" s="8"/>
      <c r="AD352" s="67">
        <f t="shared" si="193"/>
        <v>0.13832</v>
      </c>
      <c r="AE352" s="67">
        <f t="shared" si="194"/>
        <v>1.6432000000000002</v>
      </c>
      <c r="AF352" s="67">
        <f t="shared" si="195"/>
        <v>8.7544303797468352E-3</v>
      </c>
      <c r="AG352" s="27" t="s">
        <v>180</v>
      </c>
      <c r="AH352" s="9">
        <v>19.899999999999999</v>
      </c>
      <c r="AI352" s="9"/>
      <c r="AJ352" s="9"/>
      <c r="AK352" s="9"/>
      <c r="AL352" s="11"/>
      <c r="AM352" s="9"/>
      <c r="AN352" s="9">
        <v>2.2200000000000002</v>
      </c>
      <c r="AO352" s="9">
        <v>15</v>
      </c>
      <c r="AP352" s="10"/>
      <c r="AQ352" s="10"/>
      <c r="AR352" s="9"/>
      <c r="AS352" s="8">
        <f t="shared" si="196"/>
        <v>0.14800000000000002</v>
      </c>
      <c r="AT352" s="9"/>
      <c r="AU352" s="67">
        <f t="shared" si="197"/>
        <v>2.9849999999999999</v>
      </c>
      <c r="AV352" s="67">
        <f t="shared" si="198"/>
        <v>0.44177999999999995</v>
      </c>
      <c r="AW352" s="67">
        <f t="shared" si="199"/>
        <v>2.9452000000000002E-2</v>
      </c>
      <c r="AX352" s="27" t="s">
        <v>180</v>
      </c>
      <c r="AY352" s="9">
        <v>10.5</v>
      </c>
      <c r="AZ352" s="9"/>
      <c r="BA352" s="9"/>
      <c r="BB352" s="9"/>
      <c r="BC352" s="11"/>
      <c r="BD352" s="9"/>
      <c r="BE352" s="9">
        <v>1.65</v>
      </c>
      <c r="BF352" s="9">
        <v>13.5</v>
      </c>
      <c r="BG352" s="12"/>
      <c r="BH352" s="10"/>
      <c r="BI352" s="9"/>
      <c r="BJ352" s="8">
        <f t="shared" si="200"/>
        <v>0.12222222222222222</v>
      </c>
      <c r="BK352" s="9"/>
      <c r="BL352" s="67">
        <f t="shared" si="214"/>
        <v>1.4175</v>
      </c>
      <c r="BM352" s="67">
        <f t="shared" si="215"/>
        <v>0.17324999999999999</v>
      </c>
      <c r="BN352" s="67">
        <f t="shared" si="203"/>
        <v>0.12222222222222222</v>
      </c>
    </row>
    <row r="353" spans="1:66" x14ac:dyDescent="0.3">
      <c r="A353" s="27" t="s">
        <v>181</v>
      </c>
      <c r="B353" s="27">
        <v>23.6</v>
      </c>
      <c r="C353" s="8"/>
      <c r="D353" s="8"/>
      <c r="E353" s="8"/>
      <c r="F353" s="13"/>
      <c r="G353" s="8"/>
      <c r="H353" s="8"/>
      <c r="I353" s="8">
        <v>11.6</v>
      </c>
      <c r="J353" s="9"/>
      <c r="K353" s="10">
        <v>13.6</v>
      </c>
      <c r="L353" s="8">
        <f t="shared" si="210"/>
        <v>1.1724137931034482</v>
      </c>
      <c r="M353" s="8"/>
      <c r="N353" s="67">
        <f t="shared" si="211"/>
        <v>2.7376</v>
      </c>
      <c r="O353" s="67">
        <f t="shared" si="212"/>
        <v>3.2096000000000005</v>
      </c>
      <c r="P353" s="67">
        <f t="shared" si="213"/>
        <v>0.27668965517241378</v>
      </c>
      <c r="Q353" s="27" t="s">
        <v>181</v>
      </c>
      <c r="R353" s="7">
        <v>2.98</v>
      </c>
      <c r="S353" s="8"/>
      <c r="T353" s="8"/>
      <c r="U353" s="8"/>
      <c r="V353" s="13"/>
      <c r="W353" s="8"/>
      <c r="X353" s="8">
        <v>2.35</v>
      </c>
      <c r="Y353" s="8">
        <v>39.299999999999997</v>
      </c>
      <c r="Z353" s="10"/>
      <c r="AA353" s="10"/>
      <c r="AB353" s="8">
        <f t="shared" si="192"/>
        <v>5.9796437659033086E-2</v>
      </c>
      <c r="AC353" s="8"/>
      <c r="AD353" s="67">
        <f t="shared" si="193"/>
        <v>7.0029999999999995E-2</v>
      </c>
      <c r="AE353" s="67">
        <f t="shared" si="194"/>
        <v>1.1711399999999998</v>
      </c>
      <c r="AF353" s="67">
        <f t="shared" si="195"/>
        <v>1.7819338422391858E-3</v>
      </c>
      <c r="AG353" s="27" t="s">
        <v>181</v>
      </c>
      <c r="AH353" s="9">
        <v>10</v>
      </c>
      <c r="AI353" s="9"/>
      <c r="AJ353" s="9"/>
      <c r="AK353" s="9"/>
      <c r="AL353" s="11"/>
      <c r="AM353" s="9"/>
      <c r="AN353" s="9">
        <v>3.89</v>
      </c>
      <c r="AO353" s="9">
        <v>12.8</v>
      </c>
      <c r="AP353" s="10"/>
      <c r="AQ353" s="10"/>
      <c r="AR353" s="9"/>
      <c r="AS353" s="8">
        <f t="shared" si="196"/>
        <v>0.30390624999999999</v>
      </c>
      <c r="AT353" s="9"/>
      <c r="AU353" s="67">
        <f t="shared" si="197"/>
        <v>1.28</v>
      </c>
      <c r="AV353" s="67">
        <f t="shared" si="198"/>
        <v>0.38900000000000001</v>
      </c>
      <c r="AW353" s="67">
        <f t="shared" si="199"/>
        <v>3.0390625000000001E-2</v>
      </c>
      <c r="AX353" s="27" t="s">
        <v>181</v>
      </c>
      <c r="AY353" s="9">
        <v>7.31</v>
      </c>
      <c r="AZ353" s="9"/>
      <c r="BA353" s="9"/>
      <c r="BB353" s="9"/>
      <c r="BC353" s="11"/>
      <c r="BD353" s="9"/>
      <c r="BE353" s="9">
        <v>0.64</v>
      </c>
      <c r="BF353" s="9">
        <v>8.4</v>
      </c>
      <c r="BG353" s="12"/>
      <c r="BH353" s="10"/>
      <c r="BI353" s="9"/>
      <c r="BJ353" s="8">
        <f t="shared" si="200"/>
        <v>7.6190476190476183E-2</v>
      </c>
      <c r="BK353" s="9"/>
      <c r="BL353" s="67">
        <f t="shared" si="214"/>
        <v>0.61403999999999992</v>
      </c>
      <c r="BM353" s="67">
        <f t="shared" si="215"/>
        <v>4.6783999999999999E-2</v>
      </c>
      <c r="BN353" s="67">
        <f t="shared" si="203"/>
        <v>7.6190476190476197E-2</v>
      </c>
    </row>
    <row r="354" spans="1:66" x14ac:dyDescent="0.3">
      <c r="A354" s="27" t="s">
        <v>182</v>
      </c>
      <c r="B354" s="27">
        <v>10</v>
      </c>
      <c r="C354" s="8"/>
      <c r="D354" s="8"/>
      <c r="E354" s="8"/>
      <c r="F354" s="13"/>
      <c r="G354" s="8"/>
      <c r="H354" s="8"/>
      <c r="I354" s="8">
        <v>18.7</v>
      </c>
      <c r="J354" s="9"/>
      <c r="K354" s="10">
        <v>3.46</v>
      </c>
      <c r="L354" s="8">
        <f t="shared" si="210"/>
        <v>0.18502673796791444</v>
      </c>
      <c r="M354" s="8"/>
      <c r="N354" s="67">
        <f t="shared" si="211"/>
        <v>1.87</v>
      </c>
      <c r="O354" s="67">
        <f t="shared" si="212"/>
        <v>0.34600000000000003</v>
      </c>
      <c r="P354" s="67">
        <f t="shared" si="213"/>
        <v>1.8502673796791446E-2</v>
      </c>
      <c r="Q354" s="27" t="s">
        <v>183</v>
      </c>
      <c r="R354" s="7">
        <v>0.87</v>
      </c>
      <c r="S354" s="8"/>
      <c r="T354" s="8"/>
      <c r="U354" s="8"/>
      <c r="V354" s="13"/>
      <c r="W354" s="8"/>
      <c r="X354" s="8">
        <v>1.41</v>
      </c>
      <c r="Y354" s="8">
        <v>25.9</v>
      </c>
      <c r="Z354" s="10"/>
      <c r="AA354" s="10"/>
      <c r="AB354" s="8">
        <f t="shared" si="192"/>
        <v>5.4440154440154438E-2</v>
      </c>
      <c r="AC354" s="8"/>
      <c r="AD354" s="67">
        <f t="shared" si="193"/>
        <v>1.2266999999999998E-2</v>
      </c>
      <c r="AE354" s="67">
        <f t="shared" si="194"/>
        <v>0.22532999999999997</v>
      </c>
      <c r="AF354" s="67">
        <f t="shared" si="195"/>
        <v>4.7362934362934361E-4</v>
      </c>
      <c r="AG354" s="27" t="s">
        <v>183</v>
      </c>
      <c r="AH354" s="9">
        <v>2.77</v>
      </c>
      <c r="AI354" s="9"/>
      <c r="AJ354" s="9"/>
      <c r="AK354" s="9"/>
      <c r="AL354" s="11"/>
      <c r="AM354" s="9"/>
      <c r="AN354" s="9">
        <v>5.33</v>
      </c>
      <c r="AO354" s="9">
        <v>26.3</v>
      </c>
      <c r="AP354" s="10"/>
      <c r="AQ354" s="10"/>
      <c r="AR354" s="9"/>
      <c r="AS354" s="8">
        <f t="shared" si="196"/>
        <v>0.2026615969581749</v>
      </c>
      <c r="AT354" s="9"/>
      <c r="AU354" s="67">
        <f t="shared" si="197"/>
        <v>0.72850999999999999</v>
      </c>
      <c r="AV354" s="67">
        <f t="shared" si="198"/>
        <v>0.14764100000000002</v>
      </c>
      <c r="AW354" s="67">
        <f t="shared" si="199"/>
        <v>5.6137262357414449E-3</v>
      </c>
      <c r="AX354" s="27" t="s">
        <v>183</v>
      </c>
      <c r="AY354" s="9">
        <v>3.67</v>
      </c>
      <c r="AZ354" s="9"/>
      <c r="BA354" s="9"/>
      <c r="BB354" s="9"/>
      <c r="BC354" s="11"/>
      <c r="BD354" s="9"/>
      <c r="BE354" s="9">
        <v>2.58</v>
      </c>
      <c r="BF354" s="9">
        <v>12.8</v>
      </c>
      <c r="BG354" s="12"/>
      <c r="BH354" s="10"/>
      <c r="BI354" s="9"/>
      <c r="BJ354" s="8">
        <f t="shared" si="200"/>
        <v>0.20156250000000001</v>
      </c>
      <c r="BK354" s="9"/>
      <c r="BL354" s="67">
        <f t="shared" si="214"/>
        <v>0.46976000000000001</v>
      </c>
      <c r="BM354" s="67">
        <f t="shared" si="215"/>
        <v>9.4686000000000006E-2</v>
      </c>
      <c r="BN354" s="67">
        <f t="shared" si="203"/>
        <v>0.20156250000000001</v>
      </c>
    </row>
    <row r="355" spans="1:66" x14ac:dyDescent="0.3">
      <c r="A355" s="27" t="s">
        <v>184</v>
      </c>
      <c r="B355" s="27">
        <v>33.200000000000003</v>
      </c>
      <c r="C355" s="8"/>
      <c r="D355" s="8"/>
      <c r="E355" s="8"/>
      <c r="F355" s="13"/>
      <c r="G355" s="8"/>
      <c r="H355" s="8"/>
      <c r="I355" s="8">
        <v>14.7</v>
      </c>
      <c r="J355" s="9"/>
      <c r="K355" s="10">
        <v>1.65</v>
      </c>
      <c r="L355" s="8">
        <f t="shared" si="210"/>
        <v>0.11224489795918367</v>
      </c>
      <c r="M355" s="8"/>
      <c r="N355" s="67">
        <f t="shared" si="211"/>
        <v>4.8803999999999998</v>
      </c>
      <c r="O355" s="67">
        <f t="shared" si="212"/>
        <v>0.54780000000000006</v>
      </c>
      <c r="P355" s="67">
        <f t="shared" si="213"/>
        <v>3.726530612244898E-2</v>
      </c>
      <c r="Q355" s="27" t="s">
        <v>184</v>
      </c>
      <c r="R355" s="7">
        <v>3.36</v>
      </c>
      <c r="S355" s="8"/>
      <c r="T355" s="8"/>
      <c r="U355" s="8"/>
      <c r="V355" s="13"/>
      <c r="W355" s="8"/>
      <c r="X355" s="8">
        <v>2.74</v>
      </c>
      <c r="Y355" s="8">
        <v>37.700000000000003</v>
      </c>
      <c r="Z355" s="10"/>
      <c r="AA355" s="10"/>
      <c r="AB355" s="8">
        <f t="shared" si="192"/>
        <v>7.2679045092838193E-2</v>
      </c>
      <c r="AC355" s="8"/>
      <c r="AD355" s="67">
        <f t="shared" si="193"/>
        <v>9.2064000000000007E-2</v>
      </c>
      <c r="AE355" s="67">
        <f t="shared" si="194"/>
        <v>1.2667200000000001</v>
      </c>
      <c r="AF355" s="67">
        <f t="shared" si="195"/>
        <v>2.4420159151193632E-3</v>
      </c>
      <c r="AG355" s="27" t="s">
        <v>184</v>
      </c>
      <c r="AH355" s="9">
        <v>5.72</v>
      </c>
      <c r="AI355" s="9"/>
      <c r="AJ355" s="9"/>
      <c r="AK355" s="9"/>
      <c r="AL355" s="11"/>
      <c r="AM355" s="9"/>
      <c r="AN355" s="9">
        <v>6.23</v>
      </c>
      <c r="AO355" s="9">
        <v>43.1</v>
      </c>
      <c r="AP355" s="10"/>
      <c r="AQ355" s="10"/>
      <c r="AR355" s="9"/>
      <c r="AS355" s="8">
        <f t="shared" si="196"/>
        <v>0.14454756380510442</v>
      </c>
      <c r="AT355" s="9"/>
      <c r="AU355" s="67">
        <f t="shared" si="197"/>
        <v>2.4653200000000002</v>
      </c>
      <c r="AV355" s="67">
        <f t="shared" si="198"/>
        <v>0.35635600000000006</v>
      </c>
      <c r="AW355" s="67">
        <f t="shared" si="199"/>
        <v>8.2681206496519714E-3</v>
      </c>
      <c r="AX355" s="27" t="s">
        <v>184</v>
      </c>
      <c r="AY355" s="9">
        <v>5.41</v>
      </c>
      <c r="AZ355" s="9"/>
      <c r="BA355" s="9"/>
      <c r="BB355" s="9"/>
      <c r="BC355" s="11"/>
      <c r="BD355" s="9"/>
      <c r="BE355" s="9">
        <v>1.07</v>
      </c>
      <c r="BF355" s="9">
        <v>16.8</v>
      </c>
      <c r="BG355" s="12"/>
      <c r="BH355" s="10"/>
      <c r="BI355" s="9"/>
      <c r="BJ355" s="8">
        <f t="shared" si="200"/>
        <v>6.3690476190476186E-2</v>
      </c>
      <c r="BK355" s="9"/>
      <c r="BL355" s="67">
        <f t="shared" si="214"/>
        <v>0.90888000000000002</v>
      </c>
      <c r="BM355" s="67">
        <f t="shared" si="215"/>
        <v>5.7887000000000001E-2</v>
      </c>
      <c r="BN355" s="67">
        <f t="shared" si="203"/>
        <v>6.3690476190476186E-2</v>
      </c>
    </row>
    <row r="356" spans="1:66" x14ac:dyDescent="0.3">
      <c r="A356" s="27" t="s">
        <v>167</v>
      </c>
      <c r="B356" s="79"/>
      <c r="C356" s="60"/>
      <c r="D356" s="60"/>
      <c r="E356" s="60"/>
      <c r="F356" s="61"/>
      <c r="G356" s="60"/>
      <c r="H356" s="60"/>
      <c r="I356" s="60"/>
      <c r="J356" s="62"/>
      <c r="K356" s="65"/>
      <c r="L356" s="65"/>
      <c r="M356" s="60"/>
      <c r="N356" s="60"/>
      <c r="O356" s="60"/>
      <c r="P356" s="60"/>
      <c r="Q356" s="9"/>
      <c r="R356" s="9"/>
      <c r="S356" s="9"/>
      <c r="T356" s="9"/>
      <c r="U356" s="9"/>
      <c r="V356" s="9"/>
      <c r="W356" s="9"/>
      <c r="X356" s="9"/>
      <c r="Y356" s="9"/>
      <c r="Z356" s="10"/>
      <c r="AA356" s="10"/>
      <c r="AB356" s="8"/>
      <c r="AC356" s="8"/>
      <c r="AD356" s="67"/>
      <c r="AE356" s="67"/>
      <c r="AF356" s="67"/>
      <c r="AG356" s="27" t="s">
        <v>173</v>
      </c>
      <c r="AH356" s="9">
        <v>1.77</v>
      </c>
      <c r="AI356" s="9"/>
      <c r="AJ356" s="9"/>
      <c r="AK356" s="9"/>
      <c r="AL356" s="11"/>
      <c r="AM356" s="9"/>
      <c r="AN356" s="88"/>
      <c r="AO356" s="88"/>
      <c r="AP356" s="87"/>
      <c r="AQ356" s="87"/>
      <c r="AR356" s="88"/>
      <c r="AS356" s="85"/>
      <c r="AT356" s="88"/>
      <c r="AU356" s="86"/>
      <c r="AV356" s="86"/>
      <c r="AW356" s="86"/>
      <c r="AX356" s="27" t="s">
        <v>173</v>
      </c>
      <c r="AY356" s="9">
        <v>2.5299999999999998</v>
      </c>
      <c r="AZ356" s="9"/>
      <c r="BA356" s="9"/>
      <c r="BB356" s="9"/>
      <c r="BC356" s="11"/>
      <c r="BD356" s="9"/>
      <c r="BE356" s="88"/>
      <c r="BF356" s="88"/>
      <c r="BG356" s="90"/>
      <c r="BH356" s="87"/>
      <c r="BI356" s="88"/>
      <c r="BJ356" s="85"/>
      <c r="BK356" s="88"/>
      <c r="BL356" s="86"/>
      <c r="BM356" s="86"/>
      <c r="BN356" s="86"/>
    </row>
    <row r="357" spans="1:66" x14ac:dyDescent="0.3">
      <c r="A357" s="27" t="s">
        <v>85</v>
      </c>
      <c r="B357" s="79"/>
      <c r="C357" s="60"/>
      <c r="D357" s="60"/>
      <c r="E357" s="60"/>
      <c r="F357" s="61"/>
      <c r="G357" s="60"/>
      <c r="H357" s="60"/>
      <c r="I357" s="60"/>
      <c r="J357" s="62"/>
      <c r="K357" s="65"/>
      <c r="L357" s="65"/>
      <c r="M357" s="60"/>
      <c r="N357" s="60"/>
      <c r="O357" s="60"/>
      <c r="P357" s="60"/>
      <c r="Q357" s="9"/>
      <c r="R357" s="9"/>
      <c r="S357" s="9"/>
      <c r="T357" s="9"/>
      <c r="U357" s="9"/>
      <c r="V357" s="9"/>
      <c r="W357" s="9"/>
      <c r="X357" s="9"/>
      <c r="Y357" s="9"/>
      <c r="Z357" s="10"/>
      <c r="AA357" s="10"/>
      <c r="AB357" s="8"/>
      <c r="AC357" s="8"/>
      <c r="AD357" s="67"/>
      <c r="AE357" s="67"/>
      <c r="AF357" s="67"/>
      <c r="AG357" s="27" t="s">
        <v>171</v>
      </c>
      <c r="AH357" s="9">
        <v>2.36</v>
      </c>
      <c r="AI357" s="9"/>
      <c r="AJ357" s="9"/>
      <c r="AK357" s="9"/>
      <c r="AL357" s="11"/>
      <c r="AM357" s="9"/>
      <c r="AN357" s="9">
        <v>35.6</v>
      </c>
      <c r="AO357" s="9">
        <v>50.3</v>
      </c>
      <c r="AP357" s="10"/>
      <c r="AQ357" s="10"/>
      <c r="AR357" s="9"/>
      <c r="AS357" s="8">
        <f t="shared" si="196"/>
        <v>0.70775347912524855</v>
      </c>
      <c r="AT357" s="9"/>
      <c r="AU357" s="67">
        <f t="shared" si="197"/>
        <v>1.1870799999999999</v>
      </c>
      <c r="AV357" s="67">
        <f t="shared" si="198"/>
        <v>0.84016000000000002</v>
      </c>
      <c r="AW357" s="67">
        <f t="shared" si="199"/>
        <v>1.6702982107355865E-2</v>
      </c>
      <c r="AX357" s="27" t="s">
        <v>171</v>
      </c>
      <c r="AY357" s="9">
        <v>1.1499999999999999</v>
      </c>
      <c r="AZ357" s="9"/>
      <c r="BA357" s="9"/>
      <c r="BB357" s="9"/>
      <c r="BC357" s="11"/>
      <c r="BD357" s="9"/>
      <c r="BE357" s="88"/>
      <c r="BF357" s="88"/>
      <c r="BG357" s="90"/>
      <c r="BH357" s="87"/>
      <c r="BI357" s="88"/>
      <c r="BJ357" s="85"/>
      <c r="BK357" s="88"/>
      <c r="BL357" s="86"/>
      <c r="BM357" s="86"/>
      <c r="BN357" s="86"/>
    </row>
    <row r="358" spans="1:66" x14ac:dyDescent="0.3">
      <c r="A358" s="27" t="s">
        <v>97</v>
      </c>
      <c r="B358" s="27">
        <v>0.54</v>
      </c>
      <c r="C358" s="8"/>
      <c r="D358" s="8"/>
      <c r="E358" s="8"/>
      <c r="F358" s="13"/>
      <c r="G358" s="8"/>
      <c r="H358" s="8"/>
      <c r="I358" s="8">
        <v>42.7</v>
      </c>
      <c r="J358" s="9"/>
      <c r="K358" s="10">
        <v>13.5</v>
      </c>
      <c r="L358" s="8">
        <f t="shared" ref="L358:L363" si="216">K358/I358</f>
        <v>0.31615925058548006</v>
      </c>
      <c r="M358" s="8"/>
      <c r="N358" s="67">
        <f t="shared" ref="N358:N363" si="217">I358*B358/100</f>
        <v>0.23058000000000003</v>
      </c>
      <c r="O358" s="67">
        <f t="shared" ref="O358:O363" si="218">K358*B358/100</f>
        <v>7.2900000000000006E-2</v>
      </c>
      <c r="P358" s="67">
        <f t="shared" ref="P358:P363" si="219">L358*B358/100</f>
        <v>1.7072599531615922E-3</v>
      </c>
      <c r="Q358" s="27" t="s">
        <v>97</v>
      </c>
      <c r="R358" s="9">
        <v>8.1000000000000003E-2</v>
      </c>
      <c r="S358" s="9"/>
      <c r="T358" s="9"/>
      <c r="U358" s="9"/>
      <c r="V358" s="9"/>
      <c r="W358" s="9"/>
      <c r="X358" s="9">
        <v>0</v>
      </c>
      <c r="Y358" s="9">
        <v>28.6</v>
      </c>
      <c r="Z358" s="10"/>
      <c r="AA358" s="10"/>
      <c r="AB358" s="8">
        <f t="shared" si="192"/>
        <v>0</v>
      </c>
      <c r="AC358" s="8"/>
      <c r="AD358" s="67">
        <f t="shared" ref="AD358:AD364" si="220">X358*R358/100</f>
        <v>0</v>
      </c>
      <c r="AE358" s="67">
        <f t="shared" ref="AE358:AE364" si="221">Y358*R358/100</f>
        <v>2.3166000000000003E-2</v>
      </c>
      <c r="AF358" s="67">
        <f t="shared" ref="AF358:AF364" si="222">AB358*R358/100</f>
        <v>0</v>
      </c>
      <c r="AG358" s="27" t="s">
        <v>185</v>
      </c>
      <c r="AH358" s="9">
        <v>1.69</v>
      </c>
      <c r="AI358" s="9"/>
      <c r="AJ358" s="9"/>
      <c r="AK358" s="9"/>
      <c r="AL358" s="11"/>
      <c r="AM358" s="9"/>
      <c r="AN358" s="88"/>
      <c r="AO358" s="88"/>
      <c r="AP358" s="87"/>
      <c r="AQ358" s="87"/>
      <c r="AR358" s="88"/>
      <c r="AS358" s="85"/>
      <c r="AT358" s="88"/>
      <c r="AU358" s="86"/>
      <c r="AV358" s="86"/>
      <c r="AW358" s="86"/>
      <c r="AX358" s="27" t="s">
        <v>185</v>
      </c>
      <c r="AY358" s="9">
        <v>2.8</v>
      </c>
      <c r="AZ358" s="9"/>
      <c r="BA358" s="9"/>
      <c r="BB358" s="9"/>
      <c r="BC358" s="11"/>
      <c r="BD358" s="9"/>
      <c r="BE358" s="9">
        <v>14.7</v>
      </c>
      <c r="BF358" s="9">
        <v>56.8</v>
      </c>
      <c r="BG358" s="12"/>
      <c r="BH358" s="10"/>
      <c r="BI358" s="9"/>
      <c r="BJ358" s="8">
        <f t="shared" si="200"/>
        <v>0.25880281690140844</v>
      </c>
      <c r="BK358" s="9"/>
      <c r="BL358" s="67">
        <f t="shared" si="214"/>
        <v>1.5903999999999998</v>
      </c>
      <c r="BM358" s="67">
        <f t="shared" si="215"/>
        <v>0.41159999999999997</v>
      </c>
      <c r="BN358" s="67">
        <f t="shared" si="203"/>
        <v>0.25880281690140844</v>
      </c>
    </row>
    <row r="359" spans="1:66" x14ac:dyDescent="0.3">
      <c r="A359" s="27" t="s">
        <v>101</v>
      </c>
      <c r="B359" s="27">
        <v>0.45</v>
      </c>
      <c r="C359" s="8"/>
      <c r="D359" s="8"/>
      <c r="E359" s="8"/>
      <c r="F359" s="13"/>
      <c r="G359" s="8"/>
      <c r="H359" s="8"/>
      <c r="I359" s="8">
        <v>31.4</v>
      </c>
      <c r="J359" s="9"/>
      <c r="K359" s="10">
        <v>4.38</v>
      </c>
      <c r="L359" s="8">
        <f t="shared" si="216"/>
        <v>0.13949044585987261</v>
      </c>
      <c r="M359" s="8"/>
      <c r="N359" s="67">
        <f t="shared" si="217"/>
        <v>0.14129999999999998</v>
      </c>
      <c r="O359" s="67">
        <f t="shared" si="218"/>
        <v>1.9710000000000002E-2</v>
      </c>
      <c r="P359" s="67">
        <f t="shared" si="219"/>
        <v>6.2770700636942682E-4</v>
      </c>
      <c r="Q359" s="27" t="s">
        <v>101</v>
      </c>
      <c r="R359" s="9">
        <v>0.17</v>
      </c>
      <c r="S359" s="9"/>
      <c r="T359" s="9"/>
      <c r="U359" s="9"/>
      <c r="V359" s="9"/>
      <c r="W359" s="9"/>
      <c r="X359" s="9">
        <v>3.12</v>
      </c>
      <c r="Y359" s="9">
        <v>31.2</v>
      </c>
      <c r="Z359" s="10"/>
      <c r="AA359" s="10"/>
      <c r="AB359" s="8">
        <f t="shared" si="192"/>
        <v>0.1</v>
      </c>
      <c r="AC359" s="8"/>
      <c r="AD359" s="67">
        <f t="shared" si="220"/>
        <v>5.3040000000000006E-3</v>
      </c>
      <c r="AE359" s="67">
        <f t="shared" si="221"/>
        <v>5.3040000000000004E-2</v>
      </c>
      <c r="AF359" s="67">
        <f t="shared" si="222"/>
        <v>1.7000000000000001E-4</v>
      </c>
      <c r="AG359" s="27" t="s">
        <v>178</v>
      </c>
      <c r="AH359" s="9">
        <v>7.39</v>
      </c>
      <c r="AI359" s="9"/>
      <c r="AJ359" s="9"/>
      <c r="AK359" s="9"/>
      <c r="AL359" s="11"/>
      <c r="AM359" s="9"/>
      <c r="AN359" s="9">
        <v>2.75</v>
      </c>
      <c r="AO359" s="9">
        <v>20.8</v>
      </c>
      <c r="AP359" s="10"/>
      <c r="AQ359" s="10"/>
      <c r="AR359" s="9"/>
      <c r="AS359" s="8">
        <f t="shared" si="196"/>
        <v>0.13221153846153846</v>
      </c>
      <c r="AT359" s="9"/>
      <c r="AU359" s="67">
        <f t="shared" si="197"/>
        <v>1.5371199999999998</v>
      </c>
      <c r="AV359" s="67">
        <f t="shared" si="198"/>
        <v>0.20322499999999999</v>
      </c>
      <c r="AW359" s="67">
        <f t="shared" si="199"/>
        <v>9.7704326923076928E-3</v>
      </c>
      <c r="AX359" s="27" t="s">
        <v>178</v>
      </c>
      <c r="AY359" s="9">
        <v>10.199999999999999</v>
      </c>
      <c r="AZ359" s="9"/>
      <c r="BA359" s="9"/>
      <c r="BB359" s="9"/>
      <c r="BC359" s="11"/>
      <c r="BD359" s="9"/>
      <c r="BE359" s="9">
        <v>1.1200000000000001</v>
      </c>
      <c r="BF359" s="9">
        <v>16.2</v>
      </c>
      <c r="BG359" s="12"/>
      <c r="BH359" s="10"/>
      <c r="BI359" s="9"/>
      <c r="BJ359" s="8">
        <f t="shared" si="200"/>
        <v>6.913580246913581E-2</v>
      </c>
      <c r="BK359" s="9"/>
      <c r="BL359" s="67">
        <f t="shared" si="214"/>
        <v>1.6523999999999999</v>
      </c>
      <c r="BM359" s="67">
        <f t="shared" si="215"/>
        <v>0.11423999999999999</v>
      </c>
      <c r="BN359" s="67">
        <f t="shared" si="203"/>
        <v>6.913580246913581E-2</v>
      </c>
    </row>
    <row r="360" spans="1:66" x14ac:dyDescent="0.3">
      <c r="A360" s="27" t="s">
        <v>98</v>
      </c>
      <c r="B360" s="27">
        <v>0.84</v>
      </c>
      <c r="C360" s="8"/>
      <c r="D360" s="8"/>
      <c r="E360" s="8"/>
      <c r="F360" s="13"/>
      <c r="G360" s="8"/>
      <c r="H360" s="8"/>
      <c r="I360" s="8">
        <v>12.3</v>
      </c>
      <c r="J360" s="9"/>
      <c r="K360" s="10">
        <v>2.2599999999999998</v>
      </c>
      <c r="L360" s="8">
        <f t="shared" si="216"/>
        <v>0.18373983739837396</v>
      </c>
      <c r="M360" s="8"/>
      <c r="N360" s="67">
        <f t="shared" si="217"/>
        <v>0.10332000000000001</v>
      </c>
      <c r="O360" s="67">
        <f t="shared" si="218"/>
        <v>1.8983999999999997E-2</v>
      </c>
      <c r="P360" s="67">
        <f t="shared" si="219"/>
        <v>1.5434146341463412E-3</v>
      </c>
      <c r="Q360" s="27" t="s">
        <v>82</v>
      </c>
      <c r="R360" s="9">
        <v>1.9</v>
      </c>
      <c r="S360" s="9"/>
      <c r="T360" s="9"/>
      <c r="U360" s="9"/>
      <c r="V360" s="9"/>
      <c r="W360" s="9"/>
      <c r="X360" s="9">
        <v>10.5</v>
      </c>
      <c r="Y360" s="9">
        <v>42</v>
      </c>
      <c r="Z360" s="10"/>
      <c r="AA360" s="10"/>
      <c r="AB360" s="8">
        <f t="shared" si="192"/>
        <v>0.25</v>
      </c>
      <c r="AC360" s="8"/>
      <c r="AD360" s="67">
        <f t="shared" si="220"/>
        <v>0.19949999999999998</v>
      </c>
      <c r="AE360" s="67">
        <f t="shared" si="221"/>
        <v>0.79799999999999993</v>
      </c>
      <c r="AF360" s="67">
        <f t="shared" si="222"/>
        <v>4.7499999999999999E-3</v>
      </c>
      <c r="AG360" s="27" t="s">
        <v>186</v>
      </c>
      <c r="AH360" s="9">
        <v>1.28</v>
      </c>
      <c r="AI360" s="9"/>
      <c r="AJ360" s="9"/>
      <c r="AK360" s="9"/>
      <c r="AL360" s="11"/>
      <c r="AM360" s="9"/>
      <c r="AN360" s="9">
        <v>3.82</v>
      </c>
      <c r="AO360" s="9">
        <v>31.3</v>
      </c>
      <c r="AP360" s="10"/>
      <c r="AQ360" s="10"/>
      <c r="AR360" s="9"/>
      <c r="AS360" s="8">
        <f t="shared" si="196"/>
        <v>0.12204472843450478</v>
      </c>
      <c r="AT360" s="9"/>
      <c r="AU360" s="67">
        <f t="shared" si="197"/>
        <v>0.40064</v>
      </c>
      <c r="AV360" s="67">
        <f t="shared" si="198"/>
        <v>4.8895999999999995E-2</v>
      </c>
      <c r="AW360" s="67">
        <f t="shared" si="199"/>
        <v>1.5621725239616613E-3</v>
      </c>
      <c r="AX360" s="27" t="s">
        <v>186</v>
      </c>
      <c r="AY360" s="9">
        <v>1.03</v>
      </c>
      <c r="AZ360" s="9"/>
      <c r="BA360" s="9"/>
      <c r="BB360" s="9"/>
      <c r="BC360" s="11"/>
      <c r="BD360" s="9"/>
      <c r="BE360" s="9">
        <v>0.81</v>
      </c>
      <c r="BF360" s="9">
        <v>19.600000000000001</v>
      </c>
      <c r="BG360" s="12"/>
      <c r="BH360" s="10"/>
      <c r="BI360" s="9"/>
      <c r="BJ360" s="8">
        <f t="shared" si="200"/>
        <v>4.1326530612244901E-2</v>
      </c>
      <c r="BK360" s="9"/>
      <c r="BL360" s="67">
        <f t="shared" si="214"/>
        <v>0.20188000000000003</v>
      </c>
      <c r="BM360" s="67">
        <f t="shared" si="215"/>
        <v>8.3429999999999997E-3</v>
      </c>
      <c r="BN360" s="67">
        <f t="shared" si="203"/>
        <v>4.1326530612244887E-2</v>
      </c>
    </row>
    <row r="361" spans="1:66" x14ac:dyDescent="0.3">
      <c r="A361" s="27" t="s">
        <v>99</v>
      </c>
      <c r="B361" s="27">
        <v>0.73</v>
      </c>
      <c r="C361" s="8"/>
      <c r="D361" s="8"/>
      <c r="E361" s="8"/>
      <c r="F361" s="13"/>
      <c r="G361" s="8"/>
      <c r="H361" s="8"/>
      <c r="I361" s="8">
        <v>8.6</v>
      </c>
      <c r="J361" s="9"/>
      <c r="K361" s="10">
        <v>2.87</v>
      </c>
      <c r="L361" s="8">
        <f t="shared" si="216"/>
        <v>0.33372093023255817</v>
      </c>
      <c r="M361" s="8"/>
      <c r="N361" s="67">
        <f t="shared" si="217"/>
        <v>6.2780000000000002E-2</v>
      </c>
      <c r="O361" s="67">
        <f t="shared" si="218"/>
        <v>2.0951000000000001E-2</v>
      </c>
      <c r="P361" s="67">
        <f t="shared" si="219"/>
        <v>2.4361627906976744E-3</v>
      </c>
      <c r="Q361" s="27" t="s">
        <v>81</v>
      </c>
      <c r="R361" s="9">
        <v>1.36</v>
      </c>
      <c r="S361" s="9"/>
      <c r="T361" s="9"/>
      <c r="U361" s="9"/>
      <c r="V361" s="9"/>
      <c r="W361" s="9"/>
      <c r="X361" s="88"/>
      <c r="Y361" s="88"/>
      <c r="Z361" s="87"/>
      <c r="AA361" s="87"/>
      <c r="AB361" s="85"/>
      <c r="AC361" s="85"/>
      <c r="AD361" s="86"/>
      <c r="AE361" s="86"/>
      <c r="AF361" s="86"/>
      <c r="AG361" s="27" t="s">
        <v>187</v>
      </c>
      <c r="AH361" s="9">
        <v>1.32</v>
      </c>
      <c r="AI361" s="9"/>
      <c r="AJ361" s="9"/>
      <c r="AK361" s="9"/>
      <c r="AL361" s="11"/>
      <c r="AM361" s="9"/>
      <c r="AN361" s="9">
        <v>5.85</v>
      </c>
      <c r="AO361" s="9">
        <v>19.899999999999999</v>
      </c>
      <c r="AP361" s="10"/>
      <c r="AQ361" s="10"/>
      <c r="AR361" s="9"/>
      <c r="AS361" s="8">
        <f t="shared" si="196"/>
        <v>0.29396984924623115</v>
      </c>
      <c r="AT361" s="9"/>
      <c r="AU361" s="67">
        <f t="shared" si="197"/>
        <v>0.26268000000000002</v>
      </c>
      <c r="AV361" s="67">
        <f t="shared" si="198"/>
        <v>7.7219999999999997E-2</v>
      </c>
      <c r="AW361" s="67">
        <f t="shared" si="199"/>
        <v>3.8804020100502512E-3</v>
      </c>
      <c r="AX361" s="27" t="s">
        <v>187</v>
      </c>
      <c r="AY361" s="62"/>
      <c r="AZ361" s="62"/>
      <c r="BA361" s="62"/>
      <c r="BB361" s="62"/>
      <c r="BC361" s="63"/>
      <c r="BD361" s="62"/>
      <c r="BE361" s="62"/>
      <c r="BF361" s="62"/>
      <c r="BG361" s="71"/>
      <c r="BH361" s="65"/>
      <c r="BI361" s="62"/>
      <c r="BJ361" s="60"/>
      <c r="BK361" s="60"/>
      <c r="BL361" s="60"/>
      <c r="BM361" s="60"/>
      <c r="BN361" s="60"/>
    </row>
    <row r="362" spans="1:66" x14ac:dyDescent="0.3">
      <c r="A362" s="27" t="s">
        <v>95</v>
      </c>
      <c r="B362" s="27">
        <v>1.4</v>
      </c>
      <c r="C362" s="8"/>
      <c r="D362" s="8"/>
      <c r="E362" s="8"/>
      <c r="F362" s="13"/>
      <c r="G362" s="8"/>
      <c r="H362" s="8"/>
      <c r="I362" s="8">
        <v>10.6</v>
      </c>
      <c r="J362" s="9"/>
      <c r="K362" s="10">
        <v>1.51</v>
      </c>
      <c r="L362" s="8">
        <f t="shared" si="216"/>
        <v>0.14245283018867924</v>
      </c>
      <c r="M362" s="8"/>
      <c r="N362" s="67">
        <f t="shared" si="217"/>
        <v>0.14839999999999998</v>
      </c>
      <c r="O362" s="67">
        <f t="shared" si="218"/>
        <v>2.1139999999999999E-2</v>
      </c>
      <c r="P362" s="67">
        <f t="shared" si="219"/>
        <v>1.994339622641509E-3</v>
      </c>
      <c r="Q362" s="27" t="s">
        <v>76</v>
      </c>
      <c r="R362" s="9">
        <v>3.82</v>
      </c>
      <c r="S362" s="9"/>
      <c r="T362" s="9"/>
      <c r="U362" s="9"/>
      <c r="V362" s="9"/>
      <c r="W362" s="9"/>
      <c r="X362" s="88"/>
      <c r="Y362" s="88"/>
      <c r="Z362" s="87"/>
      <c r="AA362" s="87"/>
      <c r="AB362" s="85"/>
      <c r="AC362" s="85"/>
      <c r="AD362" s="86"/>
      <c r="AE362" s="86"/>
      <c r="AF362" s="86"/>
      <c r="AG362" s="27"/>
      <c r="AH362" s="9"/>
      <c r="AI362" s="9"/>
      <c r="AJ362" s="9"/>
      <c r="AK362" s="9"/>
      <c r="AL362" s="11"/>
      <c r="AM362" s="9"/>
      <c r="AN362" s="9"/>
      <c r="AO362" s="9"/>
      <c r="AP362" s="10"/>
      <c r="AQ362" s="10"/>
      <c r="AR362" s="9"/>
      <c r="AS362" s="8"/>
      <c r="AT362" s="9"/>
      <c r="AU362" s="67"/>
      <c r="AV362" s="67"/>
      <c r="AW362" s="67"/>
      <c r="AX362" s="27" t="s">
        <v>182</v>
      </c>
      <c r="AY362" s="9">
        <v>3.76</v>
      </c>
      <c r="AZ362" s="9"/>
      <c r="BA362" s="9"/>
      <c r="BB362" s="9"/>
      <c r="BC362" s="11"/>
      <c r="BD362" s="9"/>
      <c r="BE362" s="9">
        <v>5.15</v>
      </c>
      <c r="BF362" s="9">
        <v>16.5</v>
      </c>
      <c r="BG362" s="12"/>
      <c r="BH362" s="10"/>
      <c r="BI362" s="9"/>
      <c r="BJ362" s="8">
        <f t="shared" si="200"/>
        <v>0.31212121212121213</v>
      </c>
      <c r="BK362" s="9"/>
      <c r="BL362" s="67">
        <f>BF362*AY362/100</f>
        <v>0.62039999999999995</v>
      </c>
      <c r="BM362" s="67">
        <f>BE362*AY362/100</f>
        <v>0.19364000000000001</v>
      </c>
      <c r="BN362" s="67">
        <f t="shared" si="203"/>
        <v>0.31212121212121213</v>
      </c>
    </row>
    <row r="363" spans="1:66" x14ac:dyDescent="0.3">
      <c r="A363" s="27" t="s">
        <v>100</v>
      </c>
      <c r="B363" s="27">
        <v>0.45</v>
      </c>
      <c r="C363" s="8"/>
      <c r="D363" s="8"/>
      <c r="E363" s="8"/>
      <c r="F363" s="13"/>
      <c r="G363" s="8"/>
      <c r="H363" s="8"/>
      <c r="I363" s="8">
        <v>28.4</v>
      </c>
      <c r="K363" s="9">
        <v>3.83</v>
      </c>
      <c r="L363" s="8">
        <f t="shared" si="216"/>
        <v>0.13485915492957748</v>
      </c>
      <c r="M363" s="8"/>
      <c r="N363" s="67">
        <f t="shared" si="217"/>
        <v>0.1278</v>
      </c>
      <c r="O363" s="67">
        <f t="shared" si="218"/>
        <v>1.7235E-2</v>
      </c>
      <c r="P363" s="67">
        <f t="shared" si="219"/>
        <v>6.0686619718309869E-4</v>
      </c>
      <c r="Q363" s="27" t="s">
        <v>85</v>
      </c>
      <c r="R363" s="9">
        <v>5.46</v>
      </c>
      <c r="S363" s="9"/>
      <c r="T363" s="9"/>
      <c r="U363" s="9"/>
      <c r="V363" s="9"/>
      <c r="W363" s="9"/>
      <c r="X363" s="9">
        <v>4.8</v>
      </c>
      <c r="Y363" s="9">
        <v>26.5</v>
      </c>
      <c r="Z363" s="9"/>
      <c r="AA363" s="9"/>
      <c r="AB363" s="8">
        <f t="shared" si="192"/>
        <v>0.1811320754716981</v>
      </c>
      <c r="AC363" s="9"/>
      <c r="AD363" s="67">
        <f t="shared" si="220"/>
        <v>0.26207999999999998</v>
      </c>
      <c r="AE363" s="67">
        <f t="shared" si="221"/>
        <v>1.4469000000000001</v>
      </c>
      <c r="AF363" s="67">
        <f t="shared" si="222"/>
        <v>9.8898113207547163E-3</v>
      </c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67"/>
      <c r="AV363" s="67"/>
      <c r="AW363" s="67"/>
      <c r="AX363" s="7"/>
      <c r="AY363" s="9"/>
      <c r="AZ363" s="9"/>
      <c r="BA363" s="9"/>
      <c r="BB363" s="9"/>
      <c r="BC363" s="11"/>
      <c r="BD363" s="9"/>
      <c r="BE363" s="9"/>
      <c r="BF363" s="9"/>
      <c r="BG363" s="12"/>
      <c r="BH363" s="10"/>
      <c r="BI363" s="9"/>
      <c r="BJ363" s="8"/>
      <c r="BK363" s="9"/>
      <c r="BL363" s="67"/>
      <c r="BM363" s="67"/>
      <c r="BN363" s="67"/>
    </row>
    <row r="364" spans="1:66" x14ac:dyDescent="0.3">
      <c r="A364" s="7"/>
      <c r="B364" s="7"/>
      <c r="C364" s="8"/>
      <c r="D364" s="8"/>
      <c r="E364" s="8"/>
      <c r="F364" s="13"/>
      <c r="G364" s="8"/>
      <c r="H364" s="8"/>
      <c r="I364" s="8"/>
      <c r="J364" s="9"/>
      <c r="K364" s="10"/>
      <c r="L364" s="8"/>
      <c r="M364" s="8"/>
      <c r="N364" s="67"/>
      <c r="O364" s="67"/>
      <c r="P364" s="67"/>
      <c r="Q364" s="27" t="s">
        <v>87</v>
      </c>
      <c r="R364" s="9">
        <v>5.74</v>
      </c>
      <c r="S364" s="9"/>
      <c r="T364" s="9"/>
      <c r="U364" s="9"/>
      <c r="V364" s="9"/>
      <c r="W364" s="9"/>
      <c r="X364" s="9">
        <v>5.39</v>
      </c>
      <c r="Y364" s="9">
        <v>34.9</v>
      </c>
      <c r="Z364" s="10"/>
      <c r="AA364" s="10"/>
      <c r="AB364" s="8">
        <f t="shared" si="192"/>
        <v>0.15444126074498568</v>
      </c>
      <c r="AC364" s="8"/>
      <c r="AD364" s="67">
        <f t="shared" si="220"/>
        <v>0.30938599999999999</v>
      </c>
      <c r="AE364" s="67">
        <f t="shared" si="221"/>
        <v>2.00326</v>
      </c>
      <c r="AF364" s="67">
        <f t="shared" si="222"/>
        <v>8.8649283667621773E-3</v>
      </c>
      <c r="AG364" s="27" t="s">
        <v>87</v>
      </c>
      <c r="AH364" s="9">
        <v>8.0500000000000007</v>
      </c>
      <c r="AI364" s="9"/>
      <c r="AJ364" s="9"/>
      <c r="AK364" s="9"/>
      <c r="AL364" s="11"/>
      <c r="AM364" s="9"/>
      <c r="AN364" s="9">
        <v>8.76</v>
      </c>
      <c r="AO364" s="9">
        <v>17.3</v>
      </c>
      <c r="AP364" s="10"/>
      <c r="AQ364" s="10"/>
      <c r="AR364" s="9"/>
      <c r="AS364" s="8">
        <f t="shared" ref="AS364" si="223">AN364/AO364</f>
        <v>0.50635838150289014</v>
      </c>
      <c r="AT364" s="9"/>
      <c r="AU364" s="67">
        <f t="shared" si="197"/>
        <v>1.3926500000000002</v>
      </c>
      <c r="AV364" s="67">
        <f>AN364*AH364/100</f>
        <v>0.70518000000000003</v>
      </c>
      <c r="AW364" s="67">
        <f>AS364*AH364/100</f>
        <v>4.0761849710982664E-2</v>
      </c>
      <c r="AX364" s="7"/>
      <c r="AY364" s="9"/>
      <c r="AZ364" s="9"/>
      <c r="BA364" s="9"/>
      <c r="BB364" s="9"/>
      <c r="BC364" s="11"/>
      <c r="BD364" s="9"/>
      <c r="BE364" s="9"/>
      <c r="BF364" s="9"/>
      <c r="BG364" s="12"/>
      <c r="BH364" s="10"/>
      <c r="BI364" s="9"/>
      <c r="BJ364" s="8"/>
      <c r="BK364" s="9"/>
      <c r="BL364" s="67"/>
      <c r="BM364" s="67"/>
      <c r="BN364" s="67"/>
    </row>
    <row r="365" spans="1:66" x14ac:dyDescent="0.3">
      <c r="A365" s="7"/>
      <c r="B365" s="7"/>
      <c r="C365" s="8"/>
      <c r="D365" s="8"/>
      <c r="E365" s="8"/>
      <c r="F365" s="13"/>
      <c r="G365" s="8"/>
      <c r="H365" s="8"/>
      <c r="I365" s="8"/>
      <c r="J365" s="9"/>
      <c r="K365" s="10"/>
      <c r="L365" s="8"/>
      <c r="M365" s="8"/>
      <c r="N365" s="67"/>
      <c r="O365" s="67"/>
      <c r="P365" s="67"/>
      <c r="Q365" s="22"/>
      <c r="R365" s="7"/>
      <c r="S365" s="8"/>
      <c r="T365" s="8"/>
      <c r="U365" s="8"/>
      <c r="V365" s="13"/>
      <c r="W365" s="8"/>
      <c r="X365" s="8"/>
      <c r="Y365" s="8"/>
      <c r="Z365" s="8"/>
      <c r="AA365" s="8"/>
      <c r="AB365" s="8"/>
      <c r="AC365" s="8"/>
      <c r="AD365" s="67"/>
      <c r="AE365" s="67"/>
      <c r="AF365" s="67"/>
      <c r="AG365" s="22"/>
      <c r="AH365" s="7"/>
      <c r="AI365" s="8"/>
      <c r="AJ365" s="8"/>
      <c r="AK365" s="8"/>
      <c r="AL365" s="13"/>
      <c r="AM365" s="8"/>
      <c r="AN365" s="8"/>
      <c r="AO365" s="8"/>
      <c r="AP365" s="10"/>
      <c r="AQ365" s="10"/>
      <c r="AR365" s="9"/>
      <c r="AS365" s="8"/>
      <c r="AT365" s="9"/>
      <c r="AU365" s="67"/>
      <c r="AV365" s="67"/>
      <c r="AW365" s="67"/>
      <c r="AX365" s="7"/>
      <c r="AY365" s="9"/>
      <c r="AZ365" s="9"/>
      <c r="BA365" s="9"/>
      <c r="BB365" s="9"/>
      <c r="BC365" s="11"/>
      <c r="BD365" s="9"/>
      <c r="BE365" s="9"/>
      <c r="BF365" s="9"/>
      <c r="BG365" s="12"/>
      <c r="BH365" s="10"/>
      <c r="BI365" s="9"/>
      <c r="BJ365" s="8"/>
      <c r="BK365" s="9"/>
      <c r="BL365" s="67"/>
      <c r="BM365" s="67"/>
      <c r="BN365" s="67"/>
    </row>
    <row r="366" spans="1:66" x14ac:dyDescent="0.3">
      <c r="A366" s="7"/>
      <c r="B366" s="7"/>
      <c r="C366" s="8"/>
      <c r="D366" s="8"/>
      <c r="E366" s="8"/>
      <c r="F366" s="13"/>
      <c r="G366" s="8"/>
      <c r="H366" s="8"/>
      <c r="I366" s="8"/>
      <c r="J366" s="9"/>
      <c r="K366" s="10"/>
      <c r="L366" s="8"/>
      <c r="M366" s="8"/>
      <c r="N366" s="67"/>
      <c r="O366" s="67"/>
      <c r="P366" s="67"/>
      <c r="Q366" s="22"/>
      <c r="R366" s="7"/>
      <c r="S366" s="8"/>
      <c r="T366" s="8"/>
      <c r="U366" s="8"/>
      <c r="V366" s="13"/>
      <c r="W366" s="8"/>
      <c r="X366" s="8"/>
      <c r="Y366" s="8"/>
      <c r="Z366" s="8"/>
      <c r="AA366" s="8"/>
      <c r="AB366" s="8"/>
      <c r="AC366" s="8"/>
      <c r="AD366" s="67"/>
      <c r="AE366" s="67"/>
      <c r="AF366" s="67"/>
      <c r="AG366" s="22"/>
      <c r="AH366" s="7"/>
      <c r="AI366" s="8"/>
      <c r="AJ366" s="8"/>
      <c r="AK366" s="8"/>
      <c r="AL366" s="13"/>
      <c r="AM366" s="8"/>
      <c r="AN366" s="8"/>
      <c r="AO366" s="8"/>
      <c r="AP366" s="10"/>
      <c r="AQ366" s="10"/>
      <c r="AR366" s="9"/>
      <c r="AS366" s="8"/>
      <c r="AT366" s="9"/>
      <c r="AU366" s="67"/>
      <c r="AV366" s="67"/>
      <c r="AW366" s="67"/>
      <c r="AX366" s="7"/>
      <c r="AY366" s="9"/>
      <c r="AZ366" s="9"/>
      <c r="BA366" s="9"/>
      <c r="BB366" s="9"/>
      <c r="BC366" s="11"/>
      <c r="BD366" s="9"/>
      <c r="BE366" s="9"/>
      <c r="BF366" s="9"/>
      <c r="BG366" s="12"/>
      <c r="BH366" s="10"/>
      <c r="BI366" s="9"/>
      <c r="BJ366" s="8"/>
      <c r="BK366" s="9"/>
      <c r="BL366" s="67"/>
      <c r="BM366" s="67"/>
      <c r="BN366" s="67"/>
    </row>
    <row r="367" spans="1:66" x14ac:dyDescent="0.3">
      <c r="N367" s="69"/>
      <c r="O367" s="69"/>
      <c r="P367" s="69"/>
      <c r="AD367" s="69"/>
      <c r="AE367" s="69"/>
      <c r="AF367" s="69"/>
      <c r="AU367" s="69"/>
      <c r="AV367" s="69"/>
      <c r="AW367" s="69"/>
      <c r="BL367" s="69"/>
      <c r="BM367" s="69"/>
      <c r="BN367" s="69"/>
    </row>
    <row r="368" spans="1:66" x14ac:dyDescent="0.3">
      <c r="A368" s="22"/>
      <c r="B368" s="22"/>
      <c r="C368" s="8"/>
      <c r="D368" s="8"/>
      <c r="E368" s="8"/>
      <c r="F368" s="13"/>
      <c r="G368" s="8"/>
      <c r="H368" s="8"/>
      <c r="I368" s="8"/>
      <c r="J368" s="8"/>
      <c r="K368" s="8"/>
      <c r="L368" s="8"/>
      <c r="M368" s="8"/>
      <c r="N368" s="67"/>
      <c r="O368" s="67"/>
      <c r="P368" s="67"/>
      <c r="Q368" s="22"/>
      <c r="R368" s="33"/>
      <c r="S368" s="8"/>
      <c r="T368" s="8"/>
      <c r="U368" s="8"/>
      <c r="V368" s="13"/>
      <c r="W368" s="8"/>
      <c r="X368" s="8"/>
      <c r="Y368" s="8"/>
      <c r="Z368" s="8"/>
      <c r="AA368" s="8"/>
      <c r="AB368" s="8"/>
      <c r="AC368" s="8"/>
      <c r="AD368" s="67"/>
      <c r="AE368" s="67"/>
      <c r="AF368" s="67"/>
      <c r="AG368" s="22"/>
      <c r="AH368" s="33"/>
      <c r="AI368" s="8"/>
      <c r="AJ368" s="8"/>
      <c r="AK368" s="8"/>
      <c r="AL368" s="13"/>
      <c r="AM368" s="8"/>
      <c r="AN368" s="8"/>
      <c r="AO368" s="8"/>
      <c r="AP368" s="8"/>
      <c r="AQ368" s="8"/>
      <c r="AR368" s="8"/>
      <c r="AS368" s="8"/>
      <c r="AT368" s="8"/>
      <c r="AU368" s="67"/>
      <c r="AV368" s="67"/>
      <c r="AW368" s="67"/>
      <c r="AX368" s="22"/>
      <c r="AY368" s="7"/>
      <c r="AZ368" s="8"/>
      <c r="BA368" s="8"/>
      <c r="BB368" s="8"/>
      <c r="BC368" s="13"/>
      <c r="BD368" s="8"/>
      <c r="BE368" s="8"/>
      <c r="BF368" s="8"/>
      <c r="BG368" s="8"/>
      <c r="BH368" s="8"/>
      <c r="BI368" s="8"/>
      <c r="BJ368" s="8"/>
      <c r="BK368" s="8"/>
      <c r="BL368" s="67"/>
      <c r="BM368" s="67"/>
      <c r="BN368" s="67"/>
    </row>
    <row r="369" spans="1:66" x14ac:dyDescent="0.3">
      <c r="A369" s="33" t="s">
        <v>114</v>
      </c>
      <c r="B369" s="33">
        <v>7.59</v>
      </c>
      <c r="C369" s="8"/>
      <c r="D369" s="8"/>
      <c r="E369" s="8"/>
      <c r="F369" s="13"/>
      <c r="G369" s="8"/>
      <c r="H369" s="8"/>
      <c r="I369" s="8">
        <v>3.53</v>
      </c>
      <c r="J369" s="8"/>
      <c r="K369" s="8">
        <v>14.8</v>
      </c>
      <c r="L369" s="8">
        <f>K369/I369</f>
        <v>4.1926345609065159</v>
      </c>
      <c r="M369" s="8"/>
      <c r="N369" s="67">
        <f>I369*B369/100</f>
        <v>0.26792699999999997</v>
      </c>
      <c r="O369" s="67">
        <f>K369*B369/100</f>
        <v>1.1233200000000001</v>
      </c>
      <c r="P369" s="67">
        <f t="shared" ref="P369:P387" si="224">L369*B369/100</f>
        <v>0.31822096317280457</v>
      </c>
      <c r="Q369" s="33" t="s">
        <v>114</v>
      </c>
      <c r="R369" s="33">
        <v>9.6999999999999993</v>
      </c>
      <c r="S369" s="8"/>
      <c r="T369" s="8"/>
      <c r="U369" s="8"/>
      <c r="V369" s="25"/>
      <c r="W369" s="8"/>
      <c r="X369" s="8">
        <v>4.1399999999999997</v>
      </c>
      <c r="Y369" s="8">
        <v>24.4</v>
      </c>
      <c r="Z369" s="8"/>
      <c r="AA369" s="8"/>
      <c r="AB369" s="8">
        <f t="shared" ref="AB369:AB397" si="225">X369/Y369</f>
        <v>0.16967213114754098</v>
      </c>
      <c r="AC369" s="8"/>
      <c r="AD369" s="67">
        <f>X369*R369/100</f>
        <v>0.40157999999999994</v>
      </c>
      <c r="AE369" s="67">
        <f>Y369*R369/100</f>
        <v>2.3667999999999996</v>
      </c>
      <c r="AF369" s="67">
        <f t="shared" ref="AF369:AF397" si="226">AB369*R369/100</f>
        <v>1.6458196721311474E-2</v>
      </c>
      <c r="AG369" s="33" t="s">
        <v>114</v>
      </c>
      <c r="AH369" s="33">
        <v>8.57</v>
      </c>
      <c r="AI369" s="8"/>
      <c r="AJ369" s="8"/>
      <c r="AK369" s="8"/>
      <c r="AL369" s="25"/>
      <c r="AM369" s="8"/>
      <c r="AN369" s="8">
        <v>9.73</v>
      </c>
      <c r="AO369" s="8">
        <v>16.3</v>
      </c>
      <c r="AP369" s="8"/>
      <c r="AQ369" s="8"/>
      <c r="AR369" s="8"/>
      <c r="AS369" s="8">
        <f>AN369/AO369</f>
        <v>0.59693251533742331</v>
      </c>
      <c r="AT369" s="8"/>
      <c r="AU369" s="67">
        <f>AH369*AO369/100</f>
        <v>1.3969100000000001</v>
      </c>
      <c r="AV369" s="67">
        <f>AN369*AH369/100</f>
        <v>0.83386100000000019</v>
      </c>
      <c r="AW369" s="67">
        <f t="shared" ref="AW369:AW390" si="227">AS369*AH369/100</f>
        <v>5.1157116564417182E-2</v>
      </c>
      <c r="AX369" s="33" t="s">
        <v>114</v>
      </c>
      <c r="AY369" s="33">
        <v>7.6</v>
      </c>
      <c r="AZ369" s="8"/>
      <c r="BA369" s="8"/>
      <c r="BB369" s="8"/>
      <c r="BC369" s="13"/>
      <c r="BD369" s="8"/>
      <c r="BE369" s="8">
        <v>22.7</v>
      </c>
      <c r="BF369" s="8">
        <v>23.1</v>
      </c>
      <c r="BG369" s="8"/>
      <c r="BH369" s="8"/>
      <c r="BI369" s="8"/>
      <c r="BJ369" s="8">
        <f>BE369/BF369</f>
        <v>0.9826839826839826</v>
      </c>
      <c r="BK369" s="8"/>
      <c r="BL369" s="67">
        <f>BF369*AY369/100</f>
        <v>1.7556</v>
      </c>
      <c r="BM369" s="67">
        <f t="shared" ref="BM369:BM373" si="228">BE369*AY369/100</f>
        <v>1.7251999999999998</v>
      </c>
      <c r="BN369" s="67">
        <f>BM369/BL369</f>
        <v>0.9826839826839826</v>
      </c>
    </row>
    <row r="370" spans="1:66" x14ac:dyDescent="0.3">
      <c r="A370" s="33" t="s">
        <v>103</v>
      </c>
      <c r="B370" s="33">
        <v>7.18</v>
      </c>
      <c r="C370" s="8"/>
      <c r="D370" s="8"/>
      <c r="E370" s="8"/>
      <c r="F370" s="25"/>
      <c r="G370" s="8"/>
      <c r="H370" s="8"/>
      <c r="I370" s="8">
        <v>1.1599999999999999</v>
      </c>
      <c r="J370" s="8"/>
      <c r="K370" s="8">
        <v>12.4</v>
      </c>
      <c r="L370" s="8">
        <f t="shared" ref="L370:L387" si="229">K370/I370</f>
        <v>10.689655172413794</v>
      </c>
      <c r="M370" s="8"/>
      <c r="N370" s="67">
        <f t="shared" ref="N370:N387" si="230">I370*B370/100</f>
        <v>8.3287999999999987E-2</v>
      </c>
      <c r="O370" s="67">
        <f t="shared" ref="O370:O387" si="231">K370*B370/100</f>
        <v>0.89032</v>
      </c>
      <c r="P370" s="67">
        <f t="shared" si="224"/>
        <v>0.76751724137931032</v>
      </c>
      <c r="Q370" s="33" t="s">
        <v>103</v>
      </c>
      <c r="R370" s="33">
        <v>3.95</v>
      </c>
      <c r="S370" s="8"/>
      <c r="T370" s="8"/>
      <c r="U370" s="8"/>
      <c r="V370" s="25"/>
      <c r="W370" s="8"/>
      <c r="X370" s="8">
        <v>26.7</v>
      </c>
      <c r="Y370" s="8">
        <v>6.6</v>
      </c>
      <c r="Z370" s="8"/>
      <c r="AA370" s="8"/>
      <c r="AB370" s="8">
        <f t="shared" si="225"/>
        <v>4.0454545454545459</v>
      </c>
      <c r="AC370" s="8"/>
      <c r="AD370" s="67">
        <f t="shared" ref="AD370:AD397" si="232">X370*R370/100</f>
        <v>1.0546500000000001</v>
      </c>
      <c r="AE370" s="67">
        <f t="shared" ref="AE370:AE397" si="233">Y370*R370/100</f>
        <v>0.26069999999999999</v>
      </c>
      <c r="AF370" s="67">
        <f t="shared" si="226"/>
        <v>0.15979545454545457</v>
      </c>
      <c r="AG370" s="33" t="s">
        <v>103</v>
      </c>
      <c r="AH370" s="33">
        <v>3.53</v>
      </c>
      <c r="AI370" s="8"/>
      <c r="AJ370" s="8"/>
      <c r="AK370" s="8"/>
      <c r="AL370" s="25"/>
      <c r="AM370" s="8"/>
      <c r="AN370" s="8">
        <v>21.9</v>
      </c>
      <c r="AO370" s="8">
        <v>5.07</v>
      </c>
      <c r="AP370" s="8"/>
      <c r="AQ370" s="8"/>
      <c r="AR370" s="8"/>
      <c r="AS370" s="8">
        <f t="shared" ref="AS370:AS390" si="234">AN370/AO370</f>
        <v>4.3195266272189343</v>
      </c>
      <c r="AT370" s="8"/>
      <c r="AU370" s="67">
        <f t="shared" ref="AU370:AU390" si="235">AH370*AO370/100</f>
        <v>0.17897100000000002</v>
      </c>
      <c r="AV370" s="67">
        <f t="shared" ref="AV370:AV390" si="236">AN370*AH370/100</f>
        <v>0.77306999999999992</v>
      </c>
      <c r="AW370" s="67">
        <f t="shared" si="227"/>
        <v>0.15247928994082838</v>
      </c>
      <c r="AX370" s="33" t="s">
        <v>103</v>
      </c>
      <c r="AY370" s="33">
        <v>7.16</v>
      </c>
      <c r="AZ370" s="8"/>
      <c r="BA370" s="8"/>
      <c r="BB370" s="8"/>
      <c r="BC370" s="13"/>
      <c r="BD370" s="8"/>
      <c r="BE370" s="8">
        <v>34</v>
      </c>
      <c r="BF370" s="8">
        <v>5.14</v>
      </c>
      <c r="BG370" s="8"/>
      <c r="BH370" s="8"/>
      <c r="BI370" s="8"/>
      <c r="BJ370" s="8">
        <f t="shared" ref="BJ370:BJ373" si="237">BE370/BF370</f>
        <v>6.6147859922178993</v>
      </c>
      <c r="BK370" s="8"/>
      <c r="BL370" s="67">
        <f t="shared" ref="BL370:BL373" si="238">BF370*AY370/100</f>
        <v>0.36802399999999996</v>
      </c>
      <c r="BM370" s="67">
        <f t="shared" si="228"/>
        <v>2.4344000000000001</v>
      </c>
      <c r="BN370" s="67">
        <f t="shared" ref="BN370:BN373" si="239">BM370/BL370</f>
        <v>6.6147859922179002</v>
      </c>
    </row>
    <row r="371" spans="1:66" x14ac:dyDescent="0.3">
      <c r="A371" s="33" t="s">
        <v>105</v>
      </c>
      <c r="B371" s="33">
        <v>6.5</v>
      </c>
      <c r="C371" s="8"/>
      <c r="D371" s="8"/>
      <c r="E371" s="8"/>
      <c r="F371" s="25"/>
      <c r="G371" s="8"/>
      <c r="H371" s="8"/>
      <c r="I371" s="8">
        <v>1.55</v>
      </c>
      <c r="J371" s="8"/>
      <c r="K371" s="8">
        <v>13.1</v>
      </c>
      <c r="L371" s="8">
        <f t="shared" si="229"/>
        <v>8.4516129032258061</v>
      </c>
      <c r="M371" s="8"/>
      <c r="N371" s="67">
        <f t="shared" si="230"/>
        <v>0.10075000000000001</v>
      </c>
      <c r="O371" s="67">
        <f t="shared" si="231"/>
        <v>0.85149999999999992</v>
      </c>
      <c r="P371" s="67">
        <f t="shared" si="224"/>
        <v>0.54935483870967738</v>
      </c>
      <c r="Q371" s="33" t="s">
        <v>105</v>
      </c>
      <c r="R371" s="33">
        <v>4.1399999999999997</v>
      </c>
      <c r="S371" s="8"/>
      <c r="T371" s="8"/>
      <c r="U371" s="8"/>
      <c r="V371" s="25"/>
      <c r="W371" s="8"/>
      <c r="X371" s="8">
        <v>10.3</v>
      </c>
      <c r="Y371" s="8">
        <v>9.59</v>
      </c>
      <c r="Z371" s="8"/>
      <c r="AA371" s="8"/>
      <c r="AB371" s="8">
        <f t="shared" si="225"/>
        <v>1.0740354535974974</v>
      </c>
      <c r="AC371" s="8"/>
      <c r="AD371" s="67">
        <f t="shared" si="232"/>
        <v>0.42642000000000002</v>
      </c>
      <c r="AE371" s="67">
        <f t="shared" si="233"/>
        <v>0.39702599999999999</v>
      </c>
      <c r="AF371" s="67">
        <f t="shared" si="226"/>
        <v>4.4465067778936385E-2</v>
      </c>
      <c r="AG371" s="33" t="s">
        <v>105</v>
      </c>
      <c r="AH371" s="33">
        <v>5.12</v>
      </c>
      <c r="AI371" s="8"/>
      <c r="AJ371" s="8"/>
      <c r="AK371" s="8"/>
      <c r="AL371" s="25"/>
      <c r="AM371" s="8"/>
      <c r="AN371" s="8">
        <v>7.46</v>
      </c>
      <c r="AO371" s="8">
        <v>9.4</v>
      </c>
      <c r="AP371" s="8"/>
      <c r="AQ371" s="8"/>
      <c r="AR371" s="8"/>
      <c r="AS371" s="8">
        <f t="shared" si="234"/>
        <v>0.79361702127659572</v>
      </c>
      <c r="AT371" s="22"/>
      <c r="AU371" s="67">
        <f t="shared" si="235"/>
        <v>0.48127999999999999</v>
      </c>
      <c r="AV371" s="67">
        <f t="shared" si="236"/>
        <v>0.38195200000000001</v>
      </c>
      <c r="AW371" s="67">
        <f t="shared" si="227"/>
        <v>4.0633191489361703E-2</v>
      </c>
      <c r="AX371" s="33" t="s">
        <v>105</v>
      </c>
      <c r="AY371" s="33">
        <v>3.85</v>
      </c>
      <c r="AZ371" s="8"/>
      <c r="BA371" s="8"/>
      <c r="BB371" s="8"/>
      <c r="BC371" s="13"/>
      <c r="BD371" s="8"/>
      <c r="BE371" s="85"/>
      <c r="BF371" s="85"/>
      <c r="BG371" s="85"/>
      <c r="BH371" s="85"/>
      <c r="BI371" s="85"/>
      <c r="BJ371" s="85"/>
      <c r="BK371" s="85"/>
      <c r="BL371" s="86"/>
      <c r="BM371" s="86"/>
      <c r="BN371" s="86"/>
    </row>
    <row r="372" spans="1:66" x14ac:dyDescent="0.3">
      <c r="A372" s="33" t="s">
        <v>106</v>
      </c>
      <c r="B372" s="33">
        <v>9.7799999999999994</v>
      </c>
      <c r="C372" s="8"/>
      <c r="D372" s="8"/>
      <c r="E372" s="8"/>
      <c r="F372" s="25"/>
      <c r="G372" s="8"/>
      <c r="H372" s="8"/>
      <c r="I372" s="8">
        <v>3.61</v>
      </c>
      <c r="J372" s="8"/>
      <c r="K372" s="8">
        <v>19.399999999999999</v>
      </c>
      <c r="L372" s="8">
        <f t="shared" si="229"/>
        <v>5.3739612188365653</v>
      </c>
      <c r="M372" s="8"/>
      <c r="N372" s="67">
        <f t="shared" si="230"/>
        <v>0.35305799999999998</v>
      </c>
      <c r="O372" s="67">
        <f t="shared" si="231"/>
        <v>1.8973199999999997</v>
      </c>
      <c r="P372" s="67">
        <f t="shared" si="224"/>
        <v>0.52557340720221601</v>
      </c>
      <c r="Q372" s="33" t="s">
        <v>106</v>
      </c>
      <c r="R372" s="33">
        <v>4.91</v>
      </c>
      <c r="S372" s="8"/>
      <c r="T372" s="8"/>
      <c r="U372" s="8"/>
      <c r="V372" s="13"/>
      <c r="W372" s="8"/>
      <c r="X372" s="8">
        <v>19.899999999999999</v>
      </c>
      <c r="Y372" s="8">
        <v>9.9</v>
      </c>
      <c r="Z372" s="10"/>
      <c r="AA372" s="10"/>
      <c r="AB372" s="8">
        <f t="shared" si="225"/>
        <v>2.0101010101010099</v>
      </c>
      <c r="AC372" s="8"/>
      <c r="AD372" s="67">
        <f t="shared" si="232"/>
        <v>0.9770899999999999</v>
      </c>
      <c r="AE372" s="67">
        <f t="shared" si="233"/>
        <v>0.48609000000000002</v>
      </c>
      <c r="AF372" s="67">
        <f t="shared" si="226"/>
        <v>9.8695959595959587E-2</v>
      </c>
      <c r="AG372" s="33" t="s">
        <v>106</v>
      </c>
      <c r="AH372" s="9">
        <v>3.08</v>
      </c>
      <c r="AI372" s="9"/>
      <c r="AJ372" s="9"/>
      <c r="AK372" s="9"/>
      <c r="AL372" s="11"/>
      <c r="AM372" s="9"/>
      <c r="AN372" s="9">
        <v>17.899999999999999</v>
      </c>
      <c r="AO372" s="9">
        <v>10.3</v>
      </c>
      <c r="AP372" s="8"/>
      <c r="AQ372" s="8"/>
      <c r="AR372" s="8"/>
      <c r="AS372" s="8">
        <f t="shared" si="234"/>
        <v>1.7378640776699026</v>
      </c>
      <c r="AT372" s="22"/>
      <c r="AU372" s="67">
        <f t="shared" si="235"/>
        <v>0.31724000000000002</v>
      </c>
      <c r="AV372" s="67">
        <f t="shared" si="236"/>
        <v>0.55132000000000003</v>
      </c>
      <c r="AW372" s="67">
        <f t="shared" si="227"/>
        <v>5.3526213592233002E-2</v>
      </c>
      <c r="AX372" s="33" t="s">
        <v>106</v>
      </c>
      <c r="AY372" s="33">
        <v>7.42</v>
      </c>
      <c r="AZ372" s="8"/>
      <c r="BA372" s="8"/>
      <c r="BB372" s="8"/>
      <c r="BC372" s="13"/>
      <c r="BD372" s="8"/>
      <c r="BE372" s="8">
        <v>22.5</v>
      </c>
      <c r="BF372" s="8">
        <v>10</v>
      </c>
      <c r="BG372" s="8"/>
      <c r="BH372" s="8"/>
      <c r="BI372" s="8"/>
      <c r="BJ372" s="8">
        <f t="shared" si="237"/>
        <v>2.25</v>
      </c>
      <c r="BK372" s="8"/>
      <c r="BL372" s="67">
        <f t="shared" si="238"/>
        <v>0.74199999999999999</v>
      </c>
      <c r="BM372" s="67">
        <f t="shared" si="228"/>
        <v>1.6695</v>
      </c>
      <c r="BN372" s="67">
        <f t="shared" si="239"/>
        <v>2.25</v>
      </c>
    </row>
    <row r="373" spans="1:66" x14ac:dyDescent="0.3">
      <c r="A373" s="33" t="s">
        <v>107</v>
      </c>
      <c r="B373" s="33">
        <v>7.34</v>
      </c>
      <c r="C373" s="8"/>
      <c r="D373" s="8"/>
      <c r="E373" s="8"/>
      <c r="F373" s="13"/>
      <c r="G373" s="8"/>
      <c r="H373" s="8"/>
      <c r="I373" s="8">
        <v>8.0299999999999994</v>
      </c>
      <c r="J373" s="8"/>
      <c r="K373" s="10">
        <v>14.5</v>
      </c>
      <c r="L373" s="8">
        <f t="shared" si="229"/>
        <v>1.8057285180572853</v>
      </c>
      <c r="M373" s="8"/>
      <c r="N373" s="67">
        <f t="shared" si="230"/>
        <v>0.58940199999999998</v>
      </c>
      <c r="O373" s="67">
        <f t="shared" si="231"/>
        <v>1.0643</v>
      </c>
      <c r="P373" s="67">
        <f t="shared" si="224"/>
        <v>0.13254047322540474</v>
      </c>
      <c r="Q373" s="33" t="s">
        <v>107</v>
      </c>
      <c r="R373" s="8">
        <v>6.67</v>
      </c>
      <c r="S373" s="8"/>
      <c r="T373" s="8"/>
      <c r="U373" s="13"/>
      <c r="V373" s="8"/>
      <c r="W373" s="8"/>
      <c r="X373" s="8">
        <v>40.4</v>
      </c>
      <c r="Y373" s="10">
        <v>7.56</v>
      </c>
      <c r="Z373" s="10"/>
      <c r="AA373" s="8"/>
      <c r="AB373" s="8">
        <f t="shared" si="225"/>
        <v>5.3439153439153442</v>
      </c>
      <c r="AC373" s="8"/>
      <c r="AD373" s="67">
        <f t="shared" si="232"/>
        <v>2.6946799999999995</v>
      </c>
      <c r="AE373" s="67">
        <f t="shared" si="233"/>
        <v>0.50425199999999992</v>
      </c>
      <c r="AF373" s="67">
        <f t="shared" si="226"/>
        <v>0.35643915343915344</v>
      </c>
      <c r="AG373" s="33" t="s">
        <v>107</v>
      </c>
      <c r="AH373" s="9">
        <v>9.2200000000000006</v>
      </c>
      <c r="AI373" s="9"/>
      <c r="AJ373" s="9"/>
      <c r="AK373" s="11"/>
      <c r="AL373" s="9"/>
      <c r="AM373" s="9"/>
      <c r="AN373" s="9">
        <v>15.4</v>
      </c>
      <c r="AO373" s="10">
        <v>9.58</v>
      </c>
      <c r="AP373" s="10"/>
      <c r="AQ373" s="10"/>
      <c r="AR373" s="9"/>
      <c r="AS373" s="8">
        <f t="shared" si="234"/>
        <v>1.6075156576200418</v>
      </c>
      <c r="AT373" s="9"/>
      <c r="AU373" s="67">
        <f t="shared" si="235"/>
        <v>0.88327600000000006</v>
      </c>
      <c r="AV373" s="67">
        <f t="shared" si="236"/>
        <v>1.41988</v>
      </c>
      <c r="AW373" s="67">
        <f t="shared" si="227"/>
        <v>0.14821294363256787</v>
      </c>
      <c r="AX373" s="33" t="s">
        <v>107</v>
      </c>
      <c r="AY373" s="9">
        <v>3.98</v>
      </c>
      <c r="AZ373" s="9"/>
      <c r="BA373" s="9"/>
      <c r="BB373" s="9"/>
      <c r="BC373" s="11"/>
      <c r="BD373" s="9"/>
      <c r="BE373" s="9">
        <v>16.5</v>
      </c>
      <c r="BF373" s="9">
        <v>7.97</v>
      </c>
      <c r="BG373" s="23"/>
      <c r="BH373" s="10"/>
      <c r="BI373" s="9"/>
      <c r="BJ373" s="8">
        <f t="shared" si="237"/>
        <v>2.0702634880803013</v>
      </c>
      <c r="BK373" s="9"/>
      <c r="BL373" s="67">
        <f t="shared" si="238"/>
        <v>0.31720599999999999</v>
      </c>
      <c r="BM373" s="67">
        <f t="shared" si="228"/>
        <v>0.65670000000000006</v>
      </c>
      <c r="BN373" s="67">
        <f t="shared" si="239"/>
        <v>2.0702634880803013</v>
      </c>
    </row>
    <row r="374" spans="1:66" x14ac:dyDescent="0.3">
      <c r="A374" s="33" t="s">
        <v>109</v>
      </c>
      <c r="B374" s="33">
        <v>3.43</v>
      </c>
      <c r="C374" s="8"/>
      <c r="D374" s="8"/>
      <c r="E374" s="13"/>
      <c r="F374" s="8"/>
      <c r="G374" s="8"/>
      <c r="H374" s="8"/>
      <c r="I374" s="8">
        <v>13.8</v>
      </c>
      <c r="J374" s="10"/>
      <c r="K374" s="8">
        <v>2.82</v>
      </c>
      <c r="L374" s="8">
        <f t="shared" si="229"/>
        <v>0.20434782608695651</v>
      </c>
      <c r="M374" s="8"/>
      <c r="N374" s="67">
        <f t="shared" si="230"/>
        <v>0.47334000000000004</v>
      </c>
      <c r="O374" s="67">
        <f t="shared" si="231"/>
        <v>9.6725999999999993E-2</v>
      </c>
      <c r="P374" s="67">
        <f t="shared" si="224"/>
        <v>7.0091304347826089E-3</v>
      </c>
      <c r="Q374" s="33" t="s">
        <v>109</v>
      </c>
      <c r="R374" s="33">
        <v>1.55</v>
      </c>
      <c r="S374" s="8"/>
      <c r="T374" s="8"/>
      <c r="U374" s="8"/>
      <c r="V374" s="13"/>
      <c r="W374" s="8"/>
      <c r="X374" s="8">
        <v>22.4</v>
      </c>
      <c r="Y374" s="8">
        <v>55.4</v>
      </c>
      <c r="Z374" s="10"/>
      <c r="AA374" s="10"/>
      <c r="AB374" s="8">
        <f t="shared" si="225"/>
        <v>0.40433212996389889</v>
      </c>
      <c r="AC374" s="8"/>
      <c r="AD374" s="67">
        <f t="shared" si="232"/>
        <v>0.34720000000000001</v>
      </c>
      <c r="AE374" s="67">
        <f t="shared" si="233"/>
        <v>0.85870000000000002</v>
      </c>
      <c r="AF374" s="67">
        <f t="shared" si="226"/>
        <v>6.2671480144404334E-3</v>
      </c>
      <c r="AG374" s="33" t="s">
        <v>109</v>
      </c>
      <c r="AH374" s="9">
        <v>3.21</v>
      </c>
      <c r="AI374" s="9"/>
      <c r="AJ374" s="9"/>
      <c r="AK374" s="9"/>
      <c r="AL374" s="11"/>
      <c r="AM374" s="9"/>
      <c r="AN374" s="9">
        <v>5.36</v>
      </c>
      <c r="AO374" s="9">
        <v>48.6</v>
      </c>
      <c r="AP374" s="10"/>
      <c r="AQ374" s="9"/>
      <c r="AR374" s="8"/>
      <c r="AS374" s="8">
        <f t="shared" si="234"/>
        <v>0.1102880658436214</v>
      </c>
      <c r="AT374" s="9"/>
      <c r="AU374" s="67">
        <f t="shared" si="235"/>
        <v>1.56006</v>
      </c>
      <c r="AV374" s="67">
        <f t="shared" si="236"/>
        <v>0.17205600000000001</v>
      </c>
      <c r="AW374" s="67">
        <f t="shared" si="227"/>
        <v>3.5402469135802465E-3</v>
      </c>
      <c r="AX374" s="33" t="s">
        <v>109</v>
      </c>
      <c r="AY374" s="62"/>
      <c r="AZ374" s="62"/>
      <c r="BA374" s="62"/>
      <c r="BB374" s="63"/>
      <c r="BC374" s="62"/>
      <c r="BD374" s="62"/>
      <c r="BE374" s="62"/>
      <c r="BF374" s="80"/>
      <c r="BG374" s="65"/>
      <c r="BH374" s="62"/>
      <c r="BI374" s="60"/>
      <c r="BJ374" s="60"/>
      <c r="BK374" s="60"/>
      <c r="BL374" s="60"/>
      <c r="BM374" s="60"/>
      <c r="BN374" s="60"/>
    </row>
    <row r="375" spans="1:66" x14ac:dyDescent="0.3">
      <c r="A375" s="33" t="s">
        <v>112</v>
      </c>
      <c r="B375" s="33">
        <v>5</v>
      </c>
      <c r="C375" s="8"/>
      <c r="D375" s="8"/>
      <c r="E375" s="8"/>
      <c r="F375" s="13"/>
      <c r="G375" s="8"/>
      <c r="H375" s="8"/>
      <c r="I375" s="8">
        <v>14.4</v>
      </c>
      <c r="J375" s="8"/>
      <c r="K375" s="10">
        <v>3.96</v>
      </c>
      <c r="L375" s="8">
        <f t="shared" si="229"/>
        <v>0.27499999999999997</v>
      </c>
      <c r="M375" s="8"/>
      <c r="N375" s="67">
        <f t="shared" si="230"/>
        <v>0.72</v>
      </c>
      <c r="O375" s="67">
        <f t="shared" si="231"/>
        <v>0.19800000000000001</v>
      </c>
      <c r="P375" s="67">
        <f t="shared" si="224"/>
        <v>1.3749999999999998E-2</v>
      </c>
      <c r="Q375" s="33" t="s">
        <v>112</v>
      </c>
      <c r="R375" s="33">
        <v>2.52</v>
      </c>
      <c r="S375" s="8"/>
      <c r="T375" s="8"/>
      <c r="U375" s="8"/>
      <c r="V375" s="13"/>
      <c r="W375" s="8"/>
      <c r="X375" s="8">
        <v>0.33</v>
      </c>
      <c r="Y375" s="8">
        <v>23.2</v>
      </c>
      <c r="Z375" s="10"/>
      <c r="AA375" s="10"/>
      <c r="AB375" s="8">
        <f t="shared" si="225"/>
        <v>1.4224137931034483E-2</v>
      </c>
      <c r="AC375" s="8"/>
      <c r="AD375" s="67">
        <f t="shared" si="232"/>
        <v>8.3160000000000005E-3</v>
      </c>
      <c r="AE375" s="67">
        <f t="shared" si="233"/>
        <v>0.58463999999999994</v>
      </c>
      <c r="AF375" s="67">
        <f t="shared" si="226"/>
        <v>3.5844827586206901E-4</v>
      </c>
      <c r="AG375" s="33" t="s">
        <v>112</v>
      </c>
      <c r="AH375" s="9">
        <v>2.29</v>
      </c>
      <c r="AI375" s="9"/>
      <c r="AJ375" s="9"/>
      <c r="AK375" s="9"/>
      <c r="AL375" s="11"/>
      <c r="AM375" s="9"/>
      <c r="AN375" s="9">
        <v>19.899999999999999</v>
      </c>
      <c r="AO375" s="9">
        <v>55.5</v>
      </c>
      <c r="AP375" s="10"/>
      <c r="AQ375" s="10"/>
      <c r="AR375" s="9"/>
      <c r="AS375" s="8">
        <f t="shared" si="234"/>
        <v>0.35855855855855856</v>
      </c>
      <c r="AT375" s="9"/>
      <c r="AU375" s="67">
        <f t="shared" si="235"/>
        <v>1.27095</v>
      </c>
      <c r="AV375" s="67">
        <f t="shared" si="236"/>
        <v>0.45571</v>
      </c>
      <c r="AW375" s="67">
        <f t="shared" si="227"/>
        <v>8.2109909909909903E-3</v>
      </c>
      <c r="AX375" s="33" t="s">
        <v>112</v>
      </c>
      <c r="AY375" s="9">
        <v>4.1500000000000004</v>
      </c>
      <c r="AZ375" s="9"/>
      <c r="BA375" s="9"/>
      <c r="BB375" s="9"/>
      <c r="BC375" s="11"/>
      <c r="BD375" s="9"/>
      <c r="BE375" s="9">
        <v>10.1</v>
      </c>
      <c r="BF375" s="9">
        <v>35.5</v>
      </c>
      <c r="BG375" s="23"/>
      <c r="BH375" s="10"/>
      <c r="BI375" s="9"/>
      <c r="BJ375" s="8">
        <f t="shared" ref="BJ375:BJ390" si="240">BE375/BF375</f>
        <v>0.28450704225352114</v>
      </c>
      <c r="BK375" s="9"/>
      <c r="BL375" s="67">
        <f t="shared" ref="BL375:BL390" si="241">BF375*AY375/100</f>
        <v>1.4732500000000002</v>
      </c>
      <c r="BM375" s="67">
        <f t="shared" ref="BM375:BM390" si="242">BE375*AY375/100</f>
        <v>0.41914999999999997</v>
      </c>
      <c r="BN375" s="67">
        <f t="shared" ref="BN375:BO390" si="243">BM375/BL375</f>
        <v>0.28450704225352108</v>
      </c>
    </row>
    <row r="376" spans="1:66" x14ac:dyDescent="0.3">
      <c r="A376" s="33" t="s">
        <v>110</v>
      </c>
      <c r="B376" s="33">
        <v>10.9</v>
      </c>
      <c r="C376" s="8"/>
      <c r="D376" s="8"/>
      <c r="E376" s="8"/>
      <c r="F376" s="13"/>
      <c r="G376" s="8"/>
      <c r="H376" s="8"/>
      <c r="I376" s="85"/>
      <c r="J376" s="85"/>
      <c r="K376" s="87"/>
      <c r="L376" s="85"/>
      <c r="M376" s="85"/>
      <c r="N376" s="86"/>
      <c r="O376" s="86"/>
      <c r="P376" s="86"/>
      <c r="Q376" s="33" t="s">
        <v>110</v>
      </c>
      <c r="R376" s="33">
        <v>1.62</v>
      </c>
      <c r="S376" s="8"/>
      <c r="T376" s="8"/>
      <c r="U376" s="8"/>
      <c r="V376" s="13"/>
      <c r="W376" s="8"/>
      <c r="X376" s="8">
        <v>2.31</v>
      </c>
      <c r="Y376" s="8">
        <v>47.8</v>
      </c>
      <c r="Z376" s="10"/>
      <c r="AA376" s="10"/>
      <c r="AB376" s="8">
        <f t="shared" si="225"/>
        <v>4.8326359832635987E-2</v>
      </c>
      <c r="AC376" s="8"/>
      <c r="AD376" s="67">
        <f t="shared" si="232"/>
        <v>3.7422000000000004E-2</v>
      </c>
      <c r="AE376" s="67">
        <f t="shared" si="233"/>
        <v>0.77436000000000005</v>
      </c>
      <c r="AF376" s="67">
        <f t="shared" si="226"/>
        <v>7.8288702928870299E-4</v>
      </c>
      <c r="AG376" s="33" t="s">
        <v>110</v>
      </c>
      <c r="AH376" s="9">
        <v>7.54</v>
      </c>
      <c r="AI376" s="9"/>
      <c r="AJ376" s="9"/>
      <c r="AK376" s="9"/>
      <c r="AL376" s="11"/>
      <c r="AM376" s="9"/>
      <c r="AN376" s="9">
        <v>18.8</v>
      </c>
      <c r="AO376" s="9">
        <v>58.7</v>
      </c>
      <c r="AP376" s="10"/>
      <c r="AQ376" s="10"/>
      <c r="AR376" s="9"/>
      <c r="AS376" s="8">
        <f t="shared" si="234"/>
        <v>0.32027257240204426</v>
      </c>
      <c r="AT376" s="9"/>
      <c r="AU376" s="67">
        <f t="shared" si="235"/>
        <v>4.42598</v>
      </c>
      <c r="AV376" s="67">
        <f t="shared" si="236"/>
        <v>1.4175200000000001</v>
      </c>
      <c r="AW376" s="67">
        <f t="shared" si="227"/>
        <v>2.414855195911414E-2</v>
      </c>
      <c r="AX376" s="33" t="s">
        <v>110</v>
      </c>
      <c r="AY376" s="9">
        <v>3.44</v>
      </c>
      <c r="AZ376" s="9"/>
      <c r="BA376" s="9"/>
      <c r="BB376" s="9"/>
      <c r="BC376" s="11"/>
      <c r="BD376" s="9"/>
      <c r="BE376" s="9">
        <v>4.16</v>
      </c>
      <c r="BF376" s="9">
        <v>31.4</v>
      </c>
      <c r="BG376" s="23"/>
      <c r="BH376" s="10"/>
      <c r="BI376" s="9"/>
      <c r="BJ376" s="8">
        <f t="shared" si="240"/>
        <v>0.13248407643312102</v>
      </c>
      <c r="BK376" s="9"/>
      <c r="BL376" s="67">
        <f t="shared" si="241"/>
        <v>1.08016</v>
      </c>
      <c r="BM376" s="67">
        <f t="shared" si="242"/>
        <v>0.14310400000000001</v>
      </c>
      <c r="BN376" s="67">
        <f t="shared" si="243"/>
        <v>0.13248407643312102</v>
      </c>
    </row>
    <row r="377" spans="1:66" x14ac:dyDescent="0.3">
      <c r="A377" s="33" t="s">
        <v>111</v>
      </c>
      <c r="B377" s="33">
        <v>9.0500000000000007</v>
      </c>
      <c r="C377" s="8"/>
      <c r="D377" s="8"/>
      <c r="E377" s="8"/>
      <c r="F377" s="13"/>
      <c r="G377" s="8"/>
      <c r="H377" s="8"/>
      <c r="I377" s="8">
        <v>12.4</v>
      </c>
      <c r="J377" s="8"/>
      <c r="K377" s="10">
        <v>5.09</v>
      </c>
      <c r="L377" s="8">
        <f t="shared" si="229"/>
        <v>0.41048387096774192</v>
      </c>
      <c r="M377" s="8"/>
      <c r="N377" s="67">
        <f t="shared" si="230"/>
        <v>1.1222000000000001</v>
      </c>
      <c r="O377" s="67">
        <f t="shared" si="231"/>
        <v>0.46064500000000003</v>
      </c>
      <c r="P377" s="67">
        <f t="shared" si="224"/>
        <v>3.7148790322580644E-2</v>
      </c>
      <c r="Q377" s="33" t="s">
        <v>111</v>
      </c>
      <c r="R377" s="33">
        <v>1.31</v>
      </c>
      <c r="S377" s="8"/>
      <c r="T377" s="8"/>
      <c r="U377" s="8"/>
      <c r="V377" s="13"/>
      <c r="W377" s="8"/>
      <c r="X377" s="8">
        <v>12.9</v>
      </c>
      <c r="Y377" s="8">
        <v>44.7</v>
      </c>
      <c r="Z377" s="10"/>
      <c r="AA377" s="10"/>
      <c r="AB377" s="8">
        <f t="shared" si="225"/>
        <v>0.28859060402684561</v>
      </c>
      <c r="AC377" s="8"/>
      <c r="AD377" s="67">
        <f t="shared" si="232"/>
        <v>0.16899</v>
      </c>
      <c r="AE377" s="67">
        <f t="shared" si="233"/>
        <v>0.58557000000000015</v>
      </c>
      <c r="AF377" s="67">
        <f t="shared" si="226"/>
        <v>3.7805369127516773E-3</v>
      </c>
      <c r="AG377" s="33" t="s">
        <v>111</v>
      </c>
      <c r="AH377" s="9">
        <v>3.87</v>
      </c>
      <c r="AI377" s="9"/>
      <c r="AJ377" s="9"/>
      <c r="AK377" s="9"/>
      <c r="AL377" s="11"/>
      <c r="AM377" s="9"/>
      <c r="AN377" s="9">
        <v>1.6</v>
      </c>
      <c r="AO377" s="9">
        <v>21.7</v>
      </c>
      <c r="AP377" s="10"/>
      <c r="AQ377" s="10"/>
      <c r="AR377" s="9"/>
      <c r="AS377" s="8">
        <f t="shared" si="234"/>
        <v>7.3732718894009217E-2</v>
      </c>
      <c r="AT377" s="9"/>
      <c r="AU377" s="67">
        <f t="shared" si="235"/>
        <v>0.83979000000000004</v>
      </c>
      <c r="AV377" s="67">
        <f t="shared" si="236"/>
        <v>6.1920000000000003E-2</v>
      </c>
      <c r="AW377" s="67">
        <f t="shared" si="227"/>
        <v>2.8534562211981569E-3</v>
      </c>
      <c r="AX377" s="33" t="s">
        <v>111</v>
      </c>
      <c r="AY377" s="9">
        <v>3.71</v>
      </c>
      <c r="AZ377" s="9"/>
      <c r="BA377" s="9"/>
      <c r="BB377" s="9"/>
      <c r="BC377" s="11"/>
      <c r="BD377" s="9"/>
      <c r="BE377" s="9">
        <v>6.31</v>
      </c>
      <c r="BF377" s="9">
        <v>31.7</v>
      </c>
      <c r="BG377" s="23"/>
      <c r="BH377" s="10"/>
      <c r="BI377" s="9"/>
      <c r="BJ377" s="8">
        <f t="shared" si="240"/>
        <v>0.19905362776025237</v>
      </c>
      <c r="BK377" s="9"/>
      <c r="BL377" s="67">
        <f t="shared" si="241"/>
        <v>1.1760699999999999</v>
      </c>
      <c r="BM377" s="67">
        <f t="shared" si="242"/>
        <v>0.234101</v>
      </c>
      <c r="BN377" s="67">
        <f t="shared" si="243"/>
        <v>0.19905362776025237</v>
      </c>
    </row>
    <row r="378" spans="1:66" x14ac:dyDescent="0.3">
      <c r="A378" s="33" t="s">
        <v>119</v>
      </c>
      <c r="B378" s="33">
        <v>5.96</v>
      </c>
      <c r="C378" s="8"/>
      <c r="D378" s="8"/>
      <c r="E378" s="8"/>
      <c r="F378" s="13"/>
      <c r="G378" s="8"/>
      <c r="H378" s="8"/>
      <c r="I378" s="8">
        <v>11.3</v>
      </c>
      <c r="J378" s="8"/>
      <c r="K378" s="10">
        <v>8.23</v>
      </c>
      <c r="L378" s="8">
        <f t="shared" si="229"/>
        <v>0.72831858407079642</v>
      </c>
      <c r="M378" s="8"/>
      <c r="N378" s="67">
        <f t="shared" si="230"/>
        <v>0.67347999999999997</v>
      </c>
      <c r="O378" s="67">
        <f t="shared" si="231"/>
        <v>0.490508</v>
      </c>
      <c r="P378" s="67">
        <f t="shared" si="224"/>
        <v>4.3407787610619468E-2</v>
      </c>
      <c r="Q378" s="33" t="s">
        <v>119</v>
      </c>
      <c r="R378" s="33">
        <v>2.84</v>
      </c>
      <c r="S378" s="8"/>
      <c r="T378" s="8"/>
      <c r="U378" s="8"/>
      <c r="V378" s="13"/>
      <c r="W378" s="8"/>
      <c r="X378" s="8">
        <v>3.98</v>
      </c>
      <c r="Y378" s="8">
        <v>37.700000000000003</v>
      </c>
      <c r="Z378" s="10"/>
      <c r="AA378" s="10"/>
      <c r="AB378" s="8">
        <f t="shared" si="225"/>
        <v>0.10557029177718832</v>
      </c>
      <c r="AC378" s="8"/>
      <c r="AD378" s="67">
        <f t="shared" si="232"/>
        <v>0.11303199999999998</v>
      </c>
      <c r="AE378" s="67">
        <f t="shared" si="233"/>
        <v>1.0706800000000001</v>
      </c>
      <c r="AF378" s="67">
        <f t="shared" si="226"/>
        <v>2.9981962864721484E-3</v>
      </c>
      <c r="AG378" s="33" t="s">
        <v>119</v>
      </c>
      <c r="AH378" s="9">
        <v>2.76</v>
      </c>
      <c r="AI378" s="9"/>
      <c r="AJ378" s="9"/>
      <c r="AK378" s="9"/>
      <c r="AL378" s="11"/>
      <c r="AM378" s="9"/>
      <c r="AN378" s="9">
        <v>15.3</v>
      </c>
      <c r="AO378" s="9">
        <v>61.3</v>
      </c>
      <c r="AP378" s="10"/>
      <c r="AQ378" s="10"/>
      <c r="AR378" s="9"/>
      <c r="AS378" s="8">
        <f t="shared" si="234"/>
        <v>0.24959216965742254</v>
      </c>
      <c r="AT378" s="9"/>
      <c r="AU378" s="67">
        <f t="shared" si="235"/>
        <v>1.6918799999999998</v>
      </c>
      <c r="AV378" s="67">
        <f t="shared" si="236"/>
        <v>0.42227999999999999</v>
      </c>
      <c r="AW378" s="67">
        <f t="shared" si="227"/>
        <v>6.8887438825448611E-3</v>
      </c>
      <c r="AX378" s="33" t="s">
        <v>119</v>
      </c>
      <c r="AY378" s="9">
        <v>3.09</v>
      </c>
      <c r="AZ378" s="9"/>
      <c r="BA378" s="9"/>
      <c r="BB378" s="9"/>
      <c r="BC378" s="11"/>
      <c r="BD378" s="9"/>
      <c r="BE378" s="88"/>
      <c r="BF378" s="88"/>
      <c r="BG378" s="91"/>
      <c r="BH378" s="87"/>
      <c r="BI378" s="88"/>
      <c r="BJ378" s="85"/>
      <c r="BK378" s="88"/>
      <c r="BL378" s="86"/>
      <c r="BM378" s="86"/>
      <c r="BN378" s="86"/>
    </row>
    <row r="379" spans="1:66" x14ac:dyDescent="0.3">
      <c r="A379" s="33" t="s">
        <v>108</v>
      </c>
      <c r="B379" s="33">
        <v>7.59</v>
      </c>
      <c r="C379" s="8"/>
      <c r="D379" s="8"/>
      <c r="E379" s="8"/>
      <c r="F379" s="13"/>
      <c r="G379" s="8"/>
      <c r="H379" s="8"/>
      <c r="I379" s="8">
        <v>3.53</v>
      </c>
      <c r="J379" s="9"/>
      <c r="K379" s="10">
        <v>14.8</v>
      </c>
      <c r="L379" s="8">
        <f t="shared" si="229"/>
        <v>4.1926345609065159</v>
      </c>
      <c r="M379" s="8"/>
      <c r="N379" s="67">
        <f t="shared" si="230"/>
        <v>0.26792699999999997</v>
      </c>
      <c r="O379" s="67">
        <f t="shared" si="231"/>
        <v>1.1233200000000001</v>
      </c>
      <c r="P379" s="67">
        <f t="shared" si="224"/>
        <v>0.31822096317280457</v>
      </c>
      <c r="Q379" s="33" t="s">
        <v>108</v>
      </c>
      <c r="R379" s="33">
        <v>6.08</v>
      </c>
      <c r="S379" s="8"/>
      <c r="T379" s="8"/>
      <c r="U379" s="8"/>
      <c r="V379" s="13"/>
      <c r="W379" s="8"/>
      <c r="X379" s="8">
        <v>9.4</v>
      </c>
      <c r="Y379" s="8">
        <v>15.9</v>
      </c>
      <c r="Z379" s="10"/>
      <c r="AA379" s="10"/>
      <c r="AB379" s="8">
        <f t="shared" si="225"/>
        <v>0.5911949685534591</v>
      </c>
      <c r="AC379" s="8"/>
      <c r="AD379" s="67">
        <f t="shared" si="232"/>
        <v>0.57152000000000003</v>
      </c>
      <c r="AE379" s="67">
        <f t="shared" si="233"/>
        <v>0.96672000000000002</v>
      </c>
      <c r="AF379" s="67">
        <f t="shared" si="226"/>
        <v>3.594465408805031E-2</v>
      </c>
      <c r="AG379" s="33" t="s">
        <v>108</v>
      </c>
      <c r="AH379" s="9">
        <v>7.77</v>
      </c>
      <c r="AI379" s="9"/>
      <c r="AJ379" s="9"/>
      <c r="AK379" s="9"/>
      <c r="AL379" s="11"/>
      <c r="AM379" s="9"/>
      <c r="AN379" s="9">
        <v>13.8</v>
      </c>
      <c r="AO379" s="9">
        <v>11.9</v>
      </c>
      <c r="AP379" s="10"/>
      <c r="AQ379" s="10"/>
      <c r="AR379" s="9"/>
      <c r="AS379" s="8">
        <f t="shared" si="234"/>
        <v>1.1596638655462186</v>
      </c>
      <c r="AT379" s="9"/>
      <c r="AU379" s="67">
        <f t="shared" si="235"/>
        <v>0.92462999999999995</v>
      </c>
      <c r="AV379" s="67">
        <f t="shared" si="236"/>
        <v>1.07226</v>
      </c>
      <c r="AW379" s="67">
        <f t="shared" si="227"/>
        <v>9.0105882352941188E-2</v>
      </c>
      <c r="AX379" s="33" t="s">
        <v>108</v>
      </c>
      <c r="AY379" s="9">
        <v>7.25</v>
      </c>
      <c r="AZ379" s="9"/>
      <c r="BA379" s="9"/>
      <c r="BB379" s="9"/>
      <c r="BC379" s="11"/>
      <c r="BD379" s="9"/>
      <c r="BE379" s="9">
        <v>12.3</v>
      </c>
      <c r="BF379" s="9">
        <v>9.17</v>
      </c>
      <c r="BG379" s="23"/>
      <c r="BH379" s="10"/>
      <c r="BI379" s="9"/>
      <c r="BJ379" s="8">
        <f t="shared" si="240"/>
        <v>1.341330425299891</v>
      </c>
      <c r="BK379" s="9"/>
      <c r="BL379" s="67">
        <f t="shared" si="241"/>
        <v>0.664825</v>
      </c>
      <c r="BM379" s="67">
        <f t="shared" si="242"/>
        <v>0.89175000000000015</v>
      </c>
      <c r="BN379" s="67">
        <f t="shared" si="243"/>
        <v>1.3413304252998912</v>
      </c>
    </row>
    <row r="380" spans="1:66" x14ac:dyDescent="0.3">
      <c r="A380" s="33" t="s">
        <v>115</v>
      </c>
      <c r="B380" s="33">
        <v>16.100000000000001</v>
      </c>
      <c r="C380" s="8"/>
      <c r="D380" s="8"/>
      <c r="E380" s="8"/>
      <c r="F380" s="13"/>
      <c r="G380" s="8"/>
      <c r="H380" s="8"/>
      <c r="I380" s="8">
        <v>1.39</v>
      </c>
      <c r="J380" s="9"/>
      <c r="K380" s="10">
        <v>22</v>
      </c>
      <c r="L380" s="8">
        <f t="shared" si="229"/>
        <v>15.827338129496404</v>
      </c>
      <c r="M380" s="8"/>
      <c r="N380" s="67">
        <f t="shared" si="230"/>
        <v>0.22379000000000002</v>
      </c>
      <c r="O380" s="67">
        <f t="shared" si="231"/>
        <v>3.5420000000000003</v>
      </c>
      <c r="P380" s="67">
        <f t="shared" si="224"/>
        <v>2.5482014388489214</v>
      </c>
      <c r="Q380" s="33" t="s">
        <v>115</v>
      </c>
      <c r="R380" s="10">
        <v>6.46</v>
      </c>
      <c r="S380" s="9"/>
      <c r="T380" s="27"/>
      <c r="U380" s="27"/>
      <c r="V380" s="9"/>
      <c r="W380" s="9"/>
      <c r="X380" s="10">
        <v>29.9</v>
      </c>
      <c r="Y380" s="10">
        <v>6.96</v>
      </c>
      <c r="Z380" s="10"/>
      <c r="AA380" s="10"/>
      <c r="AB380" s="8">
        <f t="shared" si="225"/>
        <v>4.2959770114942524</v>
      </c>
      <c r="AC380" s="9"/>
      <c r="AD380" s="67">
        <f t="shared" si="232"/>
        <v>1.93154</v>
      </c>
      <c r="AE380" s="67">
        <f t="shared" si="233"/>
        <v>0.44961599999999996</v>
      </c>
      <c r="AF380" s="67">
        <f t="shared" si="226"/>
        <v>0.27752011494252871</v>
      </c>
      <c r="AG380" s="33" t="s">
        <v>115</v>
      </c>
      <c r="AH380" s="10">
        <v>7.25</v>
      </c>
      <c r="AI380" s="9"/>
      <c r="AJ380" s="9"/>
      <c r="AK380" s="9"/>
      <c r="AL380" s="10"/>
      <c r="AM380" s="10"/>
      <c r="AN380" s="10">
        <v>20.7</v>
      </c>
      <c r="AO380" s="9">
        <v>7</v>
      </c>
      <c r="AP380" s="10"/>
      <c r="AQ380" s="10"/>
      <c r="AR380" s="9"/>
      <c r="AS380" s="8">
        <f t="shared" si="234"/>
        <v>2.9571428571428569</v>
      </c>
      <c r="AT380" s="9"/>
      <c r="AU380" s="67">
        <f t="shared" si="235"/>
        <v>0.50749999999999995</v>
      </c>
      <c r="AV380" s="67">
        <f t="shared" si="236"/>
        <v>1.5007499999999998</v>
      </c>
      <c r="AW380" s="67">
        <f t="shared" si="227"/>
        <v>0.21439285714285714</v>
      </c>
      <c r="AX380" s="33" t="s">
        <v>115</v>
      </c>
      <c r="AY380" s="9">
        <v>8.52</v>
      </c>
      <c r="AZ380" s="9"/>
      <c r="BA380" s="9"/>
      <c r="BB380" s="9"/>
      <c r="BC380" s="11"/>
      <c r="BD380" s="9"/>
      <c r="BE380" s="9">
        <v>22.4</v>
      </c>
      <c r="BF380" s="9">
        <v>5.72</v>
      </c>
      <c r="BG380" s="23"/>
      <c r="BH380" s="10"/>
      <c r="BI380" s="9"/>
      <c r="BJ380" s="8">
        <f t="shared" si="240"/>
        <v>3.9160839160839158</v>
      </c>
      <c r="BK380" s="9"/>
      <c r="BL380" s="67">
        <f t="shared" si="241"/>
        <v>0.48734399999999994</v>
      </c>
      <c r="BM380" s="67">
        <f t="shared" si="242"/>
        <v>1.90848</v>
      </c>
      <c r="BN380" s="67">
        <f t="shared" si="243"/>
        <v>3.9160839160839163</v>
      </c>
    </row>
    <row r="381" spans="1:66" x14ac:dyDescent="0.3">
      <c r="A381" s="33" t="s">
        <v>116</v>
      </c>
      <c r="B381" s="33">
        <v>4.3099999999999996</v>
      </c>
      <c r="C381" s="8"/>
      <c r="D381" s="8"/>
      <c r="E381" s="9"/>
      <c r="F381" s="8"/>
      <c r="G381" s="27"/>
      <c r="H381" s="27"/>
      <c r="I381" s="8">
        <v>6.15</v>
      </c>
      <c r="J381" s="8"/>
      <c r="K381" s="8">
        <v>21.9</v>
      </c>
      <c r="L381" s="8">
        <f t="shared" si="229"/>
        <v>3.5609756097560972</v>
      </c>
      <c r="M381" s="27"/>
      <c r="N381" s="67">
        <f t="shared" si="230"/>
        <v>0.265065</v>
      </c>
      <c r="O381" s="67">
        <f t="shared" si="231"/>
        <v>0.94388999999999978</v>
      </c>
      <c r="P381" s="67">
        <f t="shared" si="224"/>
        <v>0.15347804878048776</v>
      </c>
      <c r="Q381" s="33" t="s">
        <v>125</v>
      </c>
      <c r="R381" s="9">
        <v>0.76</v>
      </c>
      <c r="S381" s="9"/>
      <c r="T381" s="9"/>
      <c r="U381" s="9"/>
      <c r="V381" s="9"/>
      <c r="W381" s="9"/>
      <c r="X381" s="9">
        <v>0.77</v>
      </c>
      <c r="Y381" s="9">
        <v>17.8</v>
      </c>
      <c r="Z381" s="10"/>
      <c r="AA381" s="10"/>
      <c r="AB381" s="8">
        <f t="shared" si="225"/>
        <v>4.3258426966292132E-2</v>
      </c>
      <c r="AC381" s="9"/>
      <c r="AD381" s="67">
        <f t="shared" si="232"/>
        <v>5.8520000000000004E-3</v>
      </c>
      <c r="AE381" s="67">
        <f t="shared" si="233"/>
        <v>0.13528000000000001</v>
      </c>
      <c r="AF381" s="67">
        <f t="shared" si="226"/>
        <v>3.287640449438202E-4</v>
      </c>
      <c r="AG381" s="33" t="s">
        <v>125</v>
      </c>
      <c r="AH381" s="10">
        <v>3.19</v>
      </c>
      <c r="AI381" s="9"/>
      <c r="AJ381" s="9"/>
      <c r="AK381" s="9"/>
      <c r="AL381" s="10"/>
      <c r="AM381" s="10"/>
      <c r="AN381" s="10">
        <v>6.61</v>
      </c>
      <c r="AO381" s="9">
        <v>14.2</v>
      </c>
      <c r="AP381" s="9"/>
      <c r="AQ381" s="9"/>
      <c r="AR381" s="10"/>
      <c r="AS381" s="8">
        <f t="shared" si="234"/>
        <v>0.46549295774647892</v>
      </c>
      <c r="AT381" s="10"/>
      <c r="AU381" s="67">
        <f t="shared" si="235"/>
        <v>0.45297999999999994</v>
      </c>
      <c r="AV381" s="67">
        <f t="shared" si="236"/>
        <v>0.21085900000000002</v>
      </c>
      <c r="AW381" s="67">
        <f t="shared" si="227"/>
        <v>1.4849225352112678E-2</v>
      </c>
      <c r="AX381" s="33" t="s">
        <v>125</v>
      </c>
      <c r="AY381" s="10">
        <v>2.93</v>
      </c>
      <c r="AZ381" s="10"/>
      <c r="BA381" s="9"/>
      <c r="BB381" s="9"/>
      <c r="BC381" s="9"/>
      <c r="BD381" s="9"/>
      <c r="BE381" s="9">
        <v>2.58</v>
      </c>
      <c r="BF381" s="9">
        <v>12</v>
      </c>
      <c r="BG381" s="9"/>
      <c r="BH381" s="9"/>
      <c r="BI381" s="9"/>
      <c r="BJ381" s="8">
        <f t="shared" si="240"/>
        <v>0.215</v>
      </c>
      <c r="BK381" s="9"/>
      <c r="BL381" s="67">
        <f t="shared" si="241"/>
        <v>0.35160000000000002</v>
      </c>
      <c r="BM381" s="67">
        <f t="shared" si="242"/>
        <v>7.5594000000000008E-2</v>
      </c>
      <c r="BN381" s="67">
        <f t="shared" si="243"/>
        <v>0.215</v>
      </c>
    </row>
    <row r="382" spans="1:66" x14ac:dyDescent="0.3">
      <c r="A382" s="33" t="s">
        <v>117</v>
      </c>
      <c r="B382" s="33">
        <v>4.0999999999999996</v>
      </c>
      <c r="C382" s="8"/>
      <c r="D382" s="8"/>
      <c r="E382" s="9"/>
      <c r="F382" s="8"/>
      <c r="G382" s="27"/>
      <c r="H382" s="27"/>
      <c r="I382" s="8">
        <v>1.8</v>
      </c>
      <c r="J382" s="8"/>
      <c r="K382" s="8">
        <v>13</v>
      </c>
      <c r="L382" s="8">
        <f t="shared" si="229"/>
        <v>7.2222222222222223</v>
      </c>
      <c r="M382" s="27"/>
      <c r="N382" s="67">
        <f t="shared" si="230"/>
        <v>7.3800000000000004E-2</v>
      </c>
      <c r="O382" s="67">
        <f t="shared" si="231"/>
        <v>0.53299999999999992</v>
      </c>
      <c r="P382" s="67">
        <f t="shared" si="224"/>
        <v>0.2961111111111111</v>
      </c>
      <c r="Q382" s="33" t="s">
        <v>117</v>
      </c>
      <c r="R382" s="10">
        <v>6.5</v>
      </c>
      <c r="S382" s="9"/>
      <c r="T382" s="27"/>
      <c r="U382" s="27"/>
      <c r="V382" s="9"/>
      <c r="W382" s="9"/>
      <c r="X382" s="10">
        <v>29.8</v>
      </c>
      <c r="Y382" s="10">
        <v>7.49</v>
      </c>
      <c r="Z382" s="10"/>
      <c r="AA382" s="10"/>
      <c r="AB382" s="8">
        <f t="shared" si="225"/>
        <v>3.9786381842456611</v>
      </c>
      <c r="AC382" s="9"/>
      <c r="AD382" s="67">
        <f t="shared" si="232"/>
        <v>1.9370000000000003</v>
      </c>
      <c r="AE382" s="67">
        <f t="shared" si="233"/>
        <v>0.48685</v>
      </c>
      <c r="AF382" s="67">
        <f t="shared" si="226"/>
        <v>0.25861148197596795</v>
      </c>
      <c r="AG382" s="33" t="s">
        <v>117</v>
      </c>
      <c r="AH382" s="10">
        <v>3.54</v>
      </c>
      <c r="AI382" s="9"/>
      <c r="AJ382" s="9"/>
      <c r="AK382" s="9"/>
      <c r="AL382" s="10"/>
      <c r="AM382" s="10"/>
      <c r="AN382" s="10">
        <v>13.7</v>
      </c>
      <c r="AO382" s="9">
        <v>15</v>
      </c>
      <c r="AP382" s="9"/>
      <c r="AQ382" s="9"/>
      <c r="AR382" s="10"/>
      <c r="AS382" s="8">
        <f t="shared" si="234"/>
        <v>0.91333333333333333</v>
      </c>
      <c r="AT382" s="10"/>
      <c r="AU382" s="67">
        <f t="shared" si="235"/>
        <v>0.53100000000000003</v>
      </c>
      <c r="AV382" s="67">
        <f t="shared" si="236"/>
        <v>0.48497999999999997</v>
      </c>
      <c r="AW382" s="67">
        <f t="shared" si="227"/>
        <v>3.2332E-2</v>
      </c>
      <c r="AX382" s="33" t="s">
        <v>117</v>
      </c>
      <c r="AY382" s="10">
        <v>3.72</v>
      </c>
      <c r="AZ382" s="10"/>
      <c r="BA382" s="9"/>
      <c r="BB382" s="9"/>
      <c r="BC382" s="9"/>
      <c r="BD382" s="9"/>
      <c r="BE382" s="9">
        <v>24.2</v>
      </c>
      <c r="BF382" s="9">
        <v>8.9</v>
      </c>
      <c r="BG382" s="9"/>
      <c r="BH382" s="9"/>
      <c r="BI382" s="9"/>
      <c r="BJ382" s="8">
        <f t="shared" si="240"/>
        <v>2.7191011235955056</v>
      </c>
      <c r="BK382" s="9"/>
      <c r="BL382" s="67">
        <f t="shared" si="241"/>
        <v>0.33108000000000004</v>
      </c>
      <c r="BM382" s="67">
        <f t="shared" si="242"/>
        <v>0.90024000000000004</v>
      </c>
      <c r="BN382" s="67">
        <f t="shared" si="243"/>
        <v>2.7191011235955056</v>
      </c>
    </row>
    <row r="383" spans="1:66" x14ac:dyDescent="0.3">
      <c r="A383" s="33" t="s">
        <v>118</v>
      </c>
      <c r="B383" s="33">
        <v>13</v>
      </c>
      <c r="C383" s="8"/>
      <c r="D383" s="8"/>
      <c r="E383" s="9"/>
      <c r="F383" s="8"/>
      <c r="G383" s="27"/>
      <c r="H383" s="27"/>
      <c r="I383" s="8">
        <v>3.85</v>
      </c>
      <c r="J383" s="8"/>
      <c r="K383" s="8">
        <v>17.5</v>
      </c>
      <c r="L383" s="8">
        <f t="shared" si="229"/>
        <v>4.545454545454545</v>
      </c>
      <c r="M383" s="27"/>
      <c r="N383" s="67">
        <f t="shared" si="230"/>
        <v>0.50050000000000006</v>
      </c>
      <c r="O383" s="67">
        <f t="shared" si="231"/>
        <v>2.2749999999999999</v>
      </c>
      <c r="P383" s="67">
        <f t="shared" si="224"/>
        <v>0.59090909090909083</v>
      </c>
      <c r="Q383" s="33" t="s">
        <v>118</v>
      </c>
      <c r="R383" s="10">
        <v>3.97</v>
      </c>
      <c r="S383" s="9"/>
      <c r="T383" s="27"/>
      <c r="U383" s="27"/>
      <c r="V383" s="9"/>
      <c r="W383" s="9"/>
      <c r="X383" s="10">
        <v>38.5</v>
      </c>
      <c r="Y383" s="10">
        <v>26.5</v>
      </c>
      <c r="Z383" s="10"/>
      <c r="AA383" s="10"/>
      <c r="AB383" s="8">
        <f t="shared" si="225"/>
        <v>1.4528301886792452</v>
      </c>
      <c r="AC383" s="9"/>
      <c r="AD383" s="67">
        <f t="shared" si="232"/>
        <v>1.5284500000000001</v>
      </c>
      <c r="AE383" s="67">
        <f t="shared" si="233"/>
        <v>1.0520499999999999</v>
      </c>
      <c r="AF383" s="67">
        <f t="shared" si="226"/>
        <v>5.7677358490566037E-2</v>
      </c>
      <c r="AG383" s="33" t="s">
        <v>118</v>
      </c>
      <c r="AH383" s="10">
        <v>4.2699999999999996</v>
      </c>
      <c r="AI383" s="9"/>
      <c r="AJ383" s="9"/>
      <c r="AK383" s="9"/>
      <c r="AL383" s="10"/>
      <c r="AM383" s="10"/>
      <c r="AN383" s="10">
        <v>11.9</v>
      </c>
      <c r="AO383" s="9">
        <v>9.2200000000000006</v>
      </c>
      <c r="AP383" s="9"/>
      <c r="AQ383" s="9"/>
      <c r="AR383" s="10"/>
      <c r="AS383" s="8">
        <f t="shared" si="234"/>
        <v>1.2906724511930585</v>
      </c>
      <c r="AT383" s="10"/>
      <c r="AU383" s="67">
        <f t="shared" si="235"/>
        <v>0.39369399999999999</v>
      </c>
      <c r="AV383" s="67">
        <f t="shared" si="236"/>
        <v>0.50812999999999997</v>
      </c>
      <c r="AW383" s="67">
        <f t="shared" si="227"/>
        <v>5.5111713665943592E-2</v>
      </c>
      <c r="AX383" s="33" t="s">
        <v>118</v>
      </c>
      <c r="AY383" s="10">
        <v>3.44</v>
      </c>
      <c r="AZ383" s="10"/>
      <c r="BA383" s="9"/>
      <c r="BB383" s="9"/>
      <c r="BC383" s="9"/>
      <c r="BD383" s="9"/>
      <c r="BE383" s="9">
        <v>18</v>
      </c>
      <c r="BF383" s="9">
        <v>14.7</v>
      </c>
      <c r="BG383" s="9"/>
      <c r="BH383" s="9"/>
      <c r="BI383" s="9"/>
      <c r="BJ383" s="8">
        <f t="shared" si="240"/>
        <v>1.2244897959183674</v>
      </c>
      <c r="BK383" s="9"/>
      <c r="BL383" s="67">
        <f t="shared" si="241"/>
        <v>0.50568000000000002</v>
      </c>
      <c r="BM383" s="67">
        <f t="shared" si="242"/>
        <v>0.61919999999999997</v>
      </c>
      <c r="BN383" s="67">
        <f t="shared" si="243"/>
        <v>1.2244897959183672</v>
      </c>
    </row>
    <row r="384" spans="1:66" x14ac:dyDescent="0.3">
      <c r="A384" s="33" t="s">
        <v>127</v>
      </c>
      <c r="B384" s="33">
        <v>3.36</v>
      </c>
      <c r="C384" s="8"/>
      <c r="D384" s="8"/>
      <c r="E384" s="9"/>
      <c r="F384" s="8"/>
      <c r="G384" s="27"/>
      <c r="H384" s="27"/>
      <c r="I384" s="8">
        <v>3.27</v>
      </c>
      <c r="J384" s="8"/>
      <c r="K384" s="8">
        <v>21.2</v>
      </c>
      <c r="L384" s="8">
        <f t="shared" si="229"/>
        <v>6.4831804281345562</v>
      </c>
      <c r="M384" s="27"/>
      <c r="N384" s="67">
        <f t="shared" si="230"/>
        <v>0.109872</v>
      </c>
      <c r="O384" s="67">
        <f t="shared" si="231"/>
        <v>0.71231999999999995</v>
      </c>
      <c r="P384" s="67">
        <f t="shared" si="224"/>
        <v>0.2178348623853211</v>
      </c>
      <c r="Q384" s="33" t="s">
        <v>127</v>
      </c>
      <c r="R384" s="10">
        <v>7.13</v>
      </c>
      <c r="S384" s="9"/>
      <c r="T384" s="27"/>
      <c r="U384" s="27"/>
      <c r="V384" s="9"/>
      <c r="W384" s="9"/>
      <c r="X384" s="10">
        <v>24.3</v>
      </c>
      <c r="Y384" s="10">
        <v>6.95</v>
      </c>
      <c r="Z384" s="10"/>
      <c r="AA384" s="10"/>
      <c r="AB384" s="8">
        <f t="shared" si="225"/>
        <v>3.4964028776978417</v>
      </c>
      <c r="AC384" s="9"/>
      <c r="AD384" s="67">
        <f t="shared" si="232"/>
        <v>1.7325900000000001</v>
      </c>
      <c r="AE384" s="67">
        <f t="shared" si="233"/>
        <v>0.495535</v>
      </c>
      <c r="AF384" s="67">
        <f t="shared" si="226"/>
        <v>0.24929352517985609</v>
      </c>
      <c r="AG384" s="33" t="s">
        <v>127</v>
      </c>
      <c r="AH384" s="10">
        <v>3.11</v>
      </c>
      <c r="AI384" s="9"/>
      <c r="AJ384" s="9"/>
      <c r="AK384" s="9"/>
      <c r="AL384" s="10"/>
      <c r="AM384" s="10"/>
      <c r="AN384" s="10">
        <v>13.9</v>
      </c>
      <c r="AO384" s="9">
        <v>15.8</v>
      </c>
      <c r="AP384" s="9"/>
      <c r="AQ384" s="9"/>
      <c r="AR384" s="10"/>
      <c r="AS384" s="8">
        <f t="shared" si="234"/>
        <v>0.879746835443038</v>
      </c>
      <c r="AT384" s="10"/>
      <c r="AU384" s="67">
        <f t="shared" si="235"/>
        <v>0.49137999999999998</v>
      </c>
      <c r="AV384" s="67">
        <f t="shared" si="236"/>
        <v>0.43229000000000001</v>
      </c>
      <c r="AW384" s="67">
        <f t="shared" si="227"/>
        <v>2.7360126582278477E-2</v>
      </c>
      <c r="AX384" s="33" t="s">
        <v>127</v>
      </c>
      <c r="AY384" s="10">
        <v>6.17</v>
      </c>
      <c r="AZ384" s="10"/>
      <c r="BA384" s="9"/>
      <c r="BB384" s="9"/>
      <c r="BC384" s="9"/>
      <c r="BD384" s="9"/>
      <c r="BE384" s="9">
        <v>21.9</v>
      </c>
      <c r="BF384" s="9">
        <v>7.05</v>
      </c>
      <c r="BG384" s="9"/>
      <c r="BH384" s="9"/>
      <c r="BI384" s="9"/>
      <c r="BJ384" s="8">
        <f t="shared" si="240"/>
        <v>3.1063829787234041</v>
      </c>
      <c r="BK384" s="9"/>
      <c r="BL384" s="67">
        <f t="shared" si="241"/>
        <v>0.43498500000000001</v>
      </c>
      <c r="BM384" s="67">
        <f t="shared" si="242"/>
        <v>1.3512299999999999</v>
      </c>
      <c r="BN384" s="67">
        <f t="shared" si="243"/>
        <v>3.1063829787234041</v>
      </c>
    </row>
    <row r="385" spans="1:67" x14ac:dyDescent="0.3">
      <c r="A385" s="33" t="s">
        <v>128</v>
      </c>
      <c r="B385" s="33">
        <v>6.02</v>
      </c>
      <c r="C385" s="8"/>
      <c r="D385" s="8"/>
      <c r="E385" s="9"/>
      <c r="F385" s="8"/>
      <c r="G385" s="27"/>
      <c r="H385" s="27"/>
      <c r="I385" s="8">
        <v>2.9</v>
      </c>
      <c r="J385" s="8"/>
      <c r="K385" s="8">
        <v>16.600000000000001</v>
      </c>
      <c r="L385" s="8">
        <f t="shared" si="229"/>
        <v>5.7241379310344831</v>
      </c>
      <c r="M385" s="27"/>
      <c r="N385" s="67">
        <f t="shared" si="230"/>
        <v>0.17457999999999999</v>
      </c>
      <c r="O385" s="67">
        <f t="shared" si="231"/>
        <v>0.99931999999999999</v>
      </c>
      <c r="P385" s="67">
        <f t="shared" si="224"/>
        <v>0.34459310344827587</v>
      </c>
      <c r="Q385" s="33" t="s">
        <v>128</v>
      </c>
      <c r="R385" s="10">
        <v>9.1999999999999993</v>
      </c>
      <c r="S385" s="9"/>
      <c r="T385" s="27"/>
      <c r="U385" s="27"/>
      <c r="V385" s="9"/>
      <c r="W385" s="9"/>
      <c r="X385" s="10">
        <v>23</v>
      </c>
      <c r="Y385" s="10">
        <v>19.3</v>
      </c>
      <c r="Z385" s="10"/>
      <c r="AA385" s="10"/>
      <c r="AB385" s="8">
        <f t="shared" si="225"/>
        <v>1.1917098445595855</v>
      </c>
      <c r="AC385" s="9"/>
      <c r="AD385" s="67">
        <f t="shared" si="232"/>
        <v>2.1160000000000001</v>
      </c>
      <c r="AE385" s="67">
        <f t="shared" si="233"/>
        <v>1.7756000000000001</v>
      </c>
      <c r="AF385" s="67">
        <f t="shared" si="226"/>
        <v>0.10963730569948187</v>
      </c>
      <c r="AG385" s="33" t="s">
        <v>128</v>
      </c>
      <c r="AH385" s="10">
        <v>3.44</v>
      </c>
      <c r="AI385" s="9"/>
      <c r="AJ385" s="9"/>
      <c r="AK385" s="9"/>
      <c r="AL385" s="10"/>
      <c r="AM385" s="10"/>
      <c r="AN385" s="10">
        <v>7.18</v>
      </c>
      <c r="AO385" s="9">
        <v>18.7</v>
      </c>
      <c r="AP385" s="9"/>
      <c r="AQ385" s="9"/>
      <c r="AR385" s="10"/>
      <c r="AS385" s="8">
        <f t="shared" si="234"/>
        <v>0.38395721925133691</v>
      </c>
      <c r="AT385" s="10"/>
      <c r="AU385" s="67">
        <f t="shared" si="235"/>
        <v>0.64328000000000007</v>
      </c>
      <c r="AV385" s="67">
        <f t="shared" si="236"/>
        <v>0.24699199999999999</v>
      </c>
      <c r="AW385" s="67">
        <f t="shared" si="227"/>
        <v>1.320812834224599E-2</v>
      </c>
      <c r="AX385" s="33" t="s">
        <v>128</v>
      </c>
      <c r="AY385" s="10">
        <v>4.6500000000000004</v>
      </c>
      <c r="AZ385" s="10"/>
      <c r="BA385" s="9"/>
      <c r="BB385" s="9"/>
      <c r="BC385" s="9"/>
      <c r="BD385" s="9"/>
      <c r="BE385" s="9">
        <v>16.7</v>
      </c>
      <c r="BF385" s="9">
        <v>9.17</v>
      </c>
      <c r="BG385" s="9"/>
      <c r="BH385" s="9"/>
      <c r="BI385" s="9"/>
      <c r="BJ385" s="8">
        <f t="shared" si="240"/>
        <v>1.8211559432933477</v>
      </c>
      <c r="BK385" s="9"/>
      <c r="BL385" s="67">
        <f t="shared" si="241"/>
        <v>0.42640500000000003</v>
      </c>
      <c r="BM385" s="67">
        <f t="shared" si="242"/>
        <v>0.77654999999999996</v>
      </c>
      <c r="BN385" s="67">
        <f t="shared" si="243"/>
        <v>1.8211559432933477</v>
      </c>
    </row>
    <row r="386" spans="1:67" x14ac:dyDescent="0.3">
      <c r="A386" s="33" t="s">
        <v>124</v>
      </c>
      <c r="B386" s="33">
        <v>7.02</v>
      </c>
      <c r="C386" s="8"/>
      <c r="D386" s="8"/>
      <c r="E386" s="9"/>
      <c r="F386" s="8"/>
      <c r="G386" s="27"/>
      <c r="H386" s="27"/>
      <c r="I386" s="8">
        <v>12.7</v>
      </c>
      <c r="J386" s="8"/>
      <c r="K386" s="8">
        <v>1.46</v>
      </c>
      <c r="L386" s="8">
        <f t="shared" si="229"/>
        <v>0.11496062992125984</v>
      </c>
      <c r="M386" s="27"/>
      <c r="N386" s="67">
        <f t="shared" si="230"/>
        <v>0.89154</v>
      </c>
      <c r="O386" s="67">
        <f t="shared" si="231"/>
        <v>0.10249199999999999</v>
      </c>
      <c r="P386" s="67">
        <f t="shared" si="224"/>
        <v>8.0702362204724404E-3</v>
      </c>
      <c r="Q386" s="33" t="s">
        <v>124</v>
      </c>
      <c r="R386" s="10">
        <v>3.72</v>
      </c>
      <c r="S386" s="9"/>
      <c r="T386" s="27"/>
      <c r="U386" s="27"/>
      <c r="V386" s="9"/>
      <c r="W386" s="9"/>
      <c r="X386" s="10">
        <v>4.1100000000000003</v>
      </c>
      <c r="Y386" s="10">
        <v>34.200000000000003</v>
      </c>
      <c r="Z386" s="10"/>
      <c r="AA386" s="10"/>
      <c r="AB386" s="8">
        <f t="shared" si="225"/>
        <v>0.12017543859649123</v>
      </c>
      <c r="AC386" s="9"/>
      <c r="AD386" s="67">
        <f t="shared" si="232"/>
        <v>0.15289200000000003</v>
      </c>
      <c r="AE386" s="67">
        <f t="shared" si="233"/>
        <v>1.2722400000000003</v>
      </c>
      <c r="AF386" s="67">
        <f t="shared" si="226"/>
        <v>4.4705263157894734E-3</v>
      </c>
      <c r="AG386" s="33" t="s">
        <v>124</v>
      </c>
      <c r="AH386" s="10">
        <v>4.57</v>
      </c>
      <c r="AI386" s="9"/>
      <c r="AJ386" s="9"/>
      <c r="AK386" s="9"/>
      <c r="AL386" s="10"/>
      <c r="AM386" s="10"/>
      <c r="AN386" s="10">
        <v>1.78</v>
      </c>
      <c r="AO386" s="9">
        <v>19.100000000000001</v>
      </c>
      <c r="AP386" s="9"/>
      <c r="AQ386" s="9"/>
      <c r="AR386" s="10"/>
      <c r="AS386" s="8">
        <f t="shared" si="234"/>
        <v>9.3193717277486904E-2</v>
      </c>
      <c r="AT386" s="10"/>
      <c r="AU386" s="67">
        <f t="shared" si="235"/>
        <v>0.87287000000000003</v>
      </c>
      <c r="AV386" s="67">
        <f t="shared" si="236"/>
        <v>8.1346000000000002E-2</v>
      </c>
      <c r="AW386" s="67">
        <f t="shared" si="227"/>
        <v>4.2589528795811517E-3</v>
      </c>
      <c r="AX386" s="33" t="s">
        <v>124</v>
      </c>
      <c r="AY386" s="10">
        <v>3.59</v>
      </c>
      <c r="AZ386" s="10"/>
      <c r="BA386" s="9"/>
      <c r="BB386" s="9"/>
      <c r="BC386" s="9"/>
      <c r="BD386" s="9"/>
      <c r="BE386" s="9">
        <v>2.11</v>
      </c>
      <c r="BF386" s="9">
        <v>22.3</v>
      </c>
      <c r="BG386" s="9"/>
      <c r="BH386" s="9"/>
      <c r="BI386" s="9"/>
      <c r="BJ386" s="8">
        <f t="shared" si="240"/>
        <v>9.4618834080717487E-2</v>
      </c>
      <c r="BK386" s="9"/>
      <c r="BL386" s="67">
        <f t="shared" si="241"/>
        <v>0.80057</v>
      </c>
      <c r="BM386" s="67">
        <f t="shared" si="242"/>
        <v>7.5748999999999997E-2</v>
      </c>
      <c r="BN386" s="67">
        <f t="shared" si="243"/>
        <v>9.4618834080717487E-2</v>
      </c>
    </row>
    <row r="387" spans="1:67" x14ac:dyDescent="0.3">
      <c r="A387" s="33" t="s">
        <v>123</v>
      </c>
      <c r="B387" s="33">
        <v>8.48</v>
      </c>
      <c r="C387" s="8"/>
      <c r="D387" s="8"/>
      <c r="E387" s="9"/>
      <c r="F387" s="8"/>
      <c r="G387" s="27"/>
      <c r="H387" s="27"/>
      <c r="I387" s="8">
        <v>2.81</v>
      </c>
      <c r="J387" s="8"/>
      <c r="K387" s="8">
        <v>1.22</v>
      </c>
      <c r="L387" s="8">
        <f t="shared" si="229"/>
        <v>0.43416370106761565</v>
      </c>
      <c r="M387" s="27"/>
      <c r="N387" s="67">
        <f t="shared" si="230"/>
        <v>0.238288</v>
      </c>
      <c r="O387" s="67">
        <f t="shared" si="231"/>
        <v>0.10345600000000001</v>
      </c>
      <c r="P387" s="67">
        <f t="shared" si="224"/>
        <v>3.6817081850533812E-2</v>
      </c>
      <c r="Q387" s="33" t="s">
        <v>123</v>
      </c>
      <c r="R387" s="9">
        <v>13.8</v>
      </c>
      <c r="S387" s="9"/>
      <c r="T387" s="27"/>
      <c r="U387" s="27"/>
      <c r="V387" s="8"/>
      <c r="W387" s="8"/>
      <c r="X387" s="9">
        <v>3.25</v>
      </c>
      <c r="Y387" s="9">
        <v>15.9</v>
      </c>
      <c r="Z387" s="9"/>
      <c r="AA387" s="9"/>
      <c r="AB387" s="8">
        <f t="shared" si="225"/>
        <v>0.20440251572327042</v>
      </c>
      <c r="AC387" s="9"/>
      <c r="AD387" s="67">
        <f t="shared" si="232"/>
        <v>0.44850000000000001</v>
      </c>
      <c r="AE387" s="67">
        <f t="shared" si="233"/>
        <v>2.1942000000000004</v>
      </c>
      <c r="AF387" s="67">
        <f t="shared" si="226"/>
        <v>2.8207547169811317E-2</v>
      </c>
      <c r="AG387" s="33" t="s">
        <v>123</v>
      </c>
      <c r="AH387" s="9">
        <v>2.46</v>
      </c>
      <c r="AI387" s="9"/>
      <c r="AJ387" s="9"/>
      <c r="AK387" s="9"/>
      <c r="AL387" s="9"/>
      <c r="AM387" s="9"/>
      <c r="AN387" s="9">
        <v>8.61</v>
      </c>
      <c r="AO387" s="9">
        <v>14.9</v>
      </c>
      <c r="AP387" s="9"/>
      <c r="AQ387" s="9"/>
      <c r="AR387" s="10"/>
      <c r="AS387" s="8">
        <f t="shared" si="234"/>
        <v>0.57785234899328852</v>
      </c>
      <c r="AT387" s="10"/>
      <c r="AU387" s="67">
        <f t="shared" si="235"/>
        <v>0.36654000000000003</v>
      </c>
      <c r="AV387" s="67">
        <f t="shared" si="236"/>
        <v>0.21180599999999999</v>
      </c>
      <c r="AW387" s="67">
        <f t="shared" si="227"/>
        <v>1.4215167785234897E-2</v>
      </c>
      <c r="AX387" s="33" t="s">
        <v>123</v>
      </c>
      <c r="AY387" s="10">
        <v>5.84</v>
      </c>
      <c r="AZ387" s="10"/>
      <c r="BA387" s="9"/>
      <c r="BB387" s="9"/>
      <c r="BC387" s="9"/>
      <c r="BD387" s="9"/>
      <c r="BE387" s="9">
        <v>0.73</v>
      </c>
      <c r="BF387" s="9">
        <v>23.4</v>
      </c>
      <c r="BG387" s="9"/>
      <c r="BH387" s="9"/>
      <c r="BI387" s="9"/>
      <c r="BJ387" s="8">
        <f t="shared" si="240"/>
        <v>3.1196581196581197E-2</v>
      </c>
      <c r="BK387" s="9"/>
      <c r="BL387" s="67">
        <f t="shared" si="241"/>
        <v>1.3665599999999998</v>
      </c>
      <c r="BM387" s="67">
        <f t="shared" si="242"/>
        <v>4.2631999999999996E-2</v>
      </c>
      <c r="BN387" s="67">
        <f t="shared" si="243"/>
        <v>3.11965811965812E-2</v>
      </c>
    </row>
    <row r="388" spans="1:67" x14ac:dyDescent="0.3">
      <c r="A388" s="33" t="s">
        <v>122</v>
      </c>
      <c r="B388" s="79"/>
      <c r="C388" s="60"/>
      <c r="D388" s="60"/>
      <c r="E388" s="62"/>
      <c r="F388" s="62"/>
      <c r="G388" s="79"/>
      <c r="H388" s="79"/>
      <c r="I388" s="60"/>
      <c r="J388" s="60"/>
      <c r="K388" s="62"/>
      <c r="L388" s="60"/>
      <c r="M388" s="60"/>
      <c r="N388" s="60"/>
      <c r="O388" s="60"/>
      <c r="P388" s="60"/>
      <c r="Q388" s="33" t="s">
        <v>122</v>
      </c>
      <c r="R388" s="9">
        <v>1.35</v>
      </c>
      <c r="S388" s="9"/>
      <c r="T388" s="33"/>
      <c r="U388" s="33"/>
      <c r="V388" s="8"/>
      <c r="W388" s="8"/>
      <c r="X388" s="9">
        <v>4.74</v>
      </c>
      <c r="Y388" s="9">
        <v>55.7</v>
      </c>
      <c r="Z388" s="9"/>
      <c r="AA388" s="9"/>
      <c r="AB388" s="8">
        <f t="shared" si="225"/>
        <v>8.5098743267504481E-2</v>
      </c>
      <c r="AC388" s="9"/>
      <c r="AD388" s="67">
        <f t="shared" si="232"/>
        <v>6.3990000000000005E-2</v>
      </c>
      <c r="AE388" s="67">
        <f t="shared" si="233"/>
        <v>0.75195000000000012</v>
      </c>
      <c r="AF388" s="67">
        <f t="shared" si="226"/>
        <v>1.1488330341113105E-3</v>
      </c>
      <c r="AG388" s="33" t="s">
        <v>122</v>
      </c>
      <c r="AH388" s="9">
        <v>5.14</v>
      </c>
      <c r="AI388" s="9"/>
      <c r="AJ388" s="9"/>
      <c r="AK388" s="9"/>
      <c r="AL388" s="9"/>
      <c r="AM388" s="9"/>
      <c r="AN388" s="9">
        <v>8.24</v>
      </c>
      <c r="AO388" s="9">
        <v>53</v>
      </c>
      <c r="AP388" s="9"/>
      <c r="AQ388" s="9"/>
      <c r="AR388" s="9"/>
      <c r="AS388" s="8">
        <f t="shared" si="234"/>
        <v>0.15547169811320755</v>
      </c>
      <c r="AT388" s="9"/>
      <c r="AU388" s="67">
        <f t="shared" si="235"/>
        <v>2.7241999999999997</v>
      </c>
      <c r="AV388" s="67">
        <f t="shared" si="236"/>
        <v>0.42353600000000002</v>
      </c>
      <c r="AW388" s="67">
        <f t="shared" si="227"/>
        <v>7.991245283018868E-3</v>
      </c>
      <c r="AX388" s="33" t="s">
        <v>122</v>
      </c>
      <c r="AY388" s="9">
        <v>3.4</v>
      </c>
      <c r="AZ388" s="9"/>
      <c r="BA388" s="9"/>
      <c r="BB388" s="9"/>
      <c r="BC388" s="9"/>
      <c r="BD388" s="9"/>
      <c r="BE388" s="9">
        <v>5.42</v>
      </c>
      <c r="BF388" s="9">
        <v>42.4</v>
      </c>
      <c r="BG388" s="9"/>
      <c r="BH388" s="9"/>
      <c r="BI388" s="9"/>
      <c r="BJ388" s="8">
        <f t="shared" si="240"/>
        <v>0.12783018867924528</v>
      </c>
      <c r="BK388" s="9"/>
      <c r="BL388" s="67">
        <f t="shared" si="241"/>
        <v>1.4416</v>
      </c>
      <c r="BM388" s="67">
        <f t="shared" si="242"/>
        <v>0.18428</v>
      </c>
      <c r="BN388" s="67">
        <f t="shared" si="243"/>
        <v>0.12783018867924528</v>
      </c>
    </row>
    <row r="389" spans="1:67" x14ac:dyDescent="0.3">
      <c r="A389" s="33" t="s">
        <v>120</v>
      </c>
      <c r="B389" s="33">
        <v>4.5199999999999996</v>
      </c>
      <c r="C389" s="8"/>
      <c r="D389" s="8"/>
      <c r="E389" s="9"/>
      <c r="F389" s="9"/>
      <c r="G389" s="33"/>
      <c r="H389" s="33"/>
      <c r="I389" s="8">
        <v>28.6</v>
      </c>
      <c r="J389" s="8"/>
      <c r="K389" s="9">
        <v>10.9</v>
      </c>
      <c r="L389" s="8">
        <f>K389/I389</f>
        <v>0.38111888111888109</v>
      </c>
      <c r="M389" s="81"/>
      <c r="N389" s="67">
        <f>I389*B389/100</f>
        <v>1.2927199999999999</v>
      </c>
      <c r="O389" s="67">
        <f>K389*B389/100</f>
        <v>0.49267999999999995</v>
      </c>
      <c r="P389" s="67">
        <f>L389*B389/100</f>
        <v>1.7226573426573424E-2</v>
      </c>
      <c r="Q389" s="33" t="s">
        <v>120</v>
      </c>
      <c r="R389" s="9">
        <v>12.8</v>
      </c>
      <c r="S389" s="9"/>
      <c r="T389" s="33"/>
      <c r="U389" s="33"/>
      <c r="V389" s="8"/>
      <c r="W389" s="8"/>
      <c r="X389" s="9">
        <v>4.5</v>
      </c>
      <c r="Y389" s="9">
        <v>22.1</v>
      </c>
      <c r="Z389" s="9"/>
      <c r="AA389" s="9"/>
      <c r="AB389" s="8">
        <f t="shared" si="225"/>
        <v>0.20361990950226244</v>
      </c>
      <c r="AC389" s="9"/>
      <c r="AD389" s="67">
        <f t="shared" si="232"/>
        <v>0.57600000000000007</v>
      </c>
      <c r="AE389" s="67">
        <f t="shared" si="233"/>
        <v>2.8288000000000006</v>
      </c>
      <c r="AF389" s="67">
        <f t="shared" si="226"/>
        <v>2.6063348416289593E-2</v>
      </c>
      <c r="AG389" s="33" t="s">
        <v>120</v>
      </c>
      <c r="AH389" s="9">
        <v>11.7</v>
      </c>
      <c r="AI389" s="9"/>
      <c r="AJ389" s="9"/>
      <c r="AK389" s="9"/>
      <c r="AL389" s="9"/>
      <c r="AM389" s="9"/>
      <c r="AN389" s="9">
        <v>2.52</v>
      </c>
      <c r="AO389" s="9">
        <v>18.7</v>
      </c>
      <c r="AP389" s="9"/>
      <c r="AQ389" s="9"/>
      <c r="AR389" s="9"/>
      <c r="AS389" s="8">
        <f t="shared" si="234"/>
        <v>0.13475935828877006</v>
      </c>
      <c r="AT389" s="9"/>
      <c r="AU389" s="67">
        <f t="shared" si="235"/>
        <v>2.1879</v>
      </c>
      <c r="AV389" s="67">
        <f t="shared" si="236"/>
        <v>0.29483999999999999</v>
      </c>
      <c r="AW389" s="67">
        <f t="shared" si="227"/>
        <v>1.5766844919786097E-2</v>
      </c>
      <c r="AX389" s="33" t="s">
        <v>120</v>
      </c>
      <c r="AY389" s="9">
        <v>3.83</v>
      </c>
      <c r="AZ389" s="9"/>
      <c r="BA389" s="9"/>
      <c r="BB389" s="9"/>
      <c r="BC389" s="9"/>
      <c r="BD389" s="9"/>
      <c r="BE389" s="9">
        <v>15.6</v>
      </c>
      <c r="BF389" s="9">
        <v>52.8</v>
      </c>
      <c r="BG389" s="9"/>
      <c r="BH389" s="9"/>
      <c r="BI389" s="9"/>
      <c r="BJ389" s="8">
        <f t="shared" si="240"/>
        <v>0.29545454545454547</v>
      </c>
      <c r="BK389" s="9"/>
      <c r="BL389" s="67">
        <f t="shared" si="241"/>
        <v>2.02224</v>
      </c>
      <c r="BM389" s="67">
        <f t="shared" si="242"/>
        <v>0.59748000000000001</v>
      </c>
      <c r="BN389" s="67">
        <f t="shared" si="243"/>
        <v>0.29545454545454547</v>
      </c>
      <c r="BO389" s="67">
        <f t="shared" si="243"/>
        <v>0.49450114724266164</v>
      </c>
    </row>
    <row r="390" spans="1:67" x14ac:dyDescent="0.3">
      <c r="A390" s="33" t="s">
        <v>113</v>
      </c>
      <c r="B390" s="82"/>
      <c r="C390" s="60"/>
      <c r="D390" s="60"/>
      <c r="E390" s="62"/>
      <c r="F390" s="62"/>
      <c r="G390" s="82"/>
      <c r="H390" s="82"/>
      <c r="I390" s="60"/>
      <c r="J390" s="60"/>
      <c r="K390" s="62"/>
      <c r="L390" s="71"/>
      <c r="M390" s="60"/>
      <c r="N390" s="60"/>
      <c r="O390" s="60"/>
      <c r="P390" s="60"/>
      <c r="Q390" s="33" t="s">
        <v>113</v>
      </c>
      <c r="R390" s="9">
        <v>4.45</v>
      </c>
      <c r="S390" s="9"/>
      <c r="T390" s="33"/>
      <c r="U390" s="33"/>
      <c r="V390" s="8"/>
      <c r="W390" s="8"/>
      <c r="X390" s="9">
        <v>1.24</v>
      </c>
      <c r="Y390" s="9">
        <v>54.2</v>
      </c>
      <c r="Z390" s="9"/>
      <c r="AA390" s="9"/>
      <c r="AB390" s="8">
        <f t="shared" si="225"/>
        <v>2.2878228782287822E-2</v>
      </c>
      <c r="AC390" s="9"/>
      <c r="AD390" s="67">
        <f t="shared" si="232"/>
        <v>5.518E-2</v>
      </c>
      <c r="AE390" s="67">
        <f t="shared" si="233"/>
        <v>2.4119000000000002</v>
      </c>
      <c r="AF390" s="67">
        <f t="shared" si="226"/>
        <v>1.0180811808118081E-3</v>
      </c>
      <c r="AG390" s="33" t="s">
        <v>113</v>
      </c>
      <c r="AH390" s="9">
        <v>3.7</v>
      </c>
      <c r="AI390" s="9"/>
      <c r="AJ390" s="9"/>
      <c r="AK390" s="9"/>
      <c r="AL390" s="9"/>
      <c r="AM390" s="9"/>
      <c r="AN390" s="9">
        <v>14.3</v>
      </c>
      <c r="AO390" s="9">
        <v>59.3</v>
      </c>
      <c r="AP390" s="9"/>
      <c r="AQ390" s="9"/>
      <c r="AR390" s="9"/>
      <c r="AS390" s="8">
        <f t="shared" si="234"/>
        <v>0.24114671163575044</v>
      </c>
      <c r="AT390" s="9"/>
      <c r="AU390" s="67">
        <f t="shared" si="235"/>
        <v>2.1941000000000002</v>
      </c>
      <c r="AV390" s="67">
        <f t="shared" si="236"/>
        <v>0.52910000000000001</v>
      </c>
      <c r="AW390" s="67">
        <f t="shared" si="227"/>
        <v>8.9224283305227668E-3</v>
      </c>
      <c r="AX390" s="33" t="s">
        <v>113</v>
      </c>
      <c r="AY390" s="9">
        <v>2.89</v>
      </c>
      <c r="AZ390" s="9"/>
      <c r="BA390" s="9"/>
      <c r="BB390" s="9"/>
      <c r="BC390" s="9"/>
      <c r="BD390" s="9"/>
      <c r="BE390" s="9">
        <v>10.6</v>
      </c>
      <c r="BF390" s="9">
        <v>42.3</v>
      </c>
      <c r="BG390" s="9"/>
      <c r="BH390" s="9"/>
      <c r="BI390" s="9"/>
      <c r="BJ390" s="8">
        <f t="shared" si="240"/>
        <v>0.25059101654846339</v>
      </c>
      <c r="BK390" s="9"/>
      <c r="BL390" s="67">
        <f t="shared" si="241"/>
        <v>1.2224699999999999</v>
      </c>
      <c r="BM390" s="67">
        <f t="shared" si="242"/>
        <v>0.30634</v>
      </c>
      <c r="BN390" s="67">
        <f t="shared" si="243"/>
        <v>0.25059101654846339</v>
      </c>
    </row>
    <row r="391" spans="1:67" x14ac:dyDescent="0.3">
      <c r="A391" s="33" t="s">
        <v>104</v>
      </c>
      <c r="B391" s="33">
        <v>7.43</v>
      </c>
      <c r="C391" s="8"/>
      <c r="D391" s="8"/>
      <c r="E391" s="9"/>
      <c r="F391" s="9"/>
      <c r="G391" s="33"/>
      <c r="H391" s="33"/>
      <c r="I391" s="85"/>
      <c r="J391" s="85"/>
      <c r="K391" s="88"/>
      <c r="L391" s="85"/>
      <c r="M391" s="89"/>
      <c r="N391" s="86"/>
      <c r="O391" s="86"/>
      <c r="P391" s="86"/>
      <c r="Q391" s="33" t="s">
        <v>188</v>
      </c>
      <c r="R391" s="9">
        <v>2.92</v>
      </c>
      <c r="S391" s="9"/>
      <c r="T391" s="9"/>
      <c r="U391" s="9"/>
      <c r="V391" s="9"/>
      <c r="W391" s="9"/>
      <c r="X391" s="9">
        <v>26.6</v>
      </c>
      <c r="Y391" s="9">
        <v>8.0500000000000007</v>
      </c>
      <c r="Z391" s="9"/>
      <c r="AA391" s="9"/>
      <c r="AB391" s="8">
        <f t="shared" si="225"/>
        <v>3.3043478260869565</v>
      </c>
      <c r="AC391" s="9"/>
      <c r="AD391" s="67">
        <f t="shared" si="232"/>
        <v>0.77671999999999997</v>
      </c>
      <c r="AE391" s="67">
        <f t="shared" si="233"/>
        <v>0.23505999999999999</v>
      </c>
      <c r="AF391" s="67">
        <f t="shared" si="226"/>
        <v>9.6486956521739137E-2</v>
      </c>
      <c r="AG391" s="33" t="s">
        <v>188</v>
      </c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33" t="s">
        <v>188</v>
      </c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0"/>
      <c r="BK391" s="60"/>
      <c r="BL391" s="60"/>
      <c r="BM391" s="60"/>
      <c r="BN391" s="60"/>
    </row>
    <row r="392" spans="1:67" x14ac:dyDescent="0.3">
      <c r="A392" s="33" t="s">
        <v>189</v>
      </c>
      <c r="B392" s="9">
        <v>5.03</v>
      </c>
      <c r="C392" s="9"/>
      <c r="D392" s="9"/>
      <c r="E392" s="9"/>
      <c r="F392" s="9"/>
      <c r="G392" s="9"/>
      <c r="H392" s="9"/>
      <c r="I392" s="9">
        <v>7.14</v>
      </c>
      <c r="J392" s="9"/>
      <c r="K392" s="9">
        <v>3.17</v>
      </c>
      <c r="L392" s="8">
        <f t="shared" ref="L392:L393" si="244">K392/I392</f>
        <v>0.4439775910364146</v>
      </c>
      <c r="M392" s="9"/>
      <c r="N392" s="67">
        <f t="shared" ref="N392:N393" si="245">I392*B392/100</f>
        <v>0.35914200000000002</v>
      </c>
      <c r="O392" s="67">
        <f t="shared" ref="O392:O393" si="246">K392*B392/100</f>
        <v>0.15945100000000001</v>
      </c>
      <c r="P392" s="67">
        <f t="shared" ref="P392:P393" si="247">L392*B392/100</f>
        <v>2.2332072829131654E-2</v>
      </c>
      <c r="Q392" s="33" t="s">
        <v>104</v>
      </c>
      <c r="R392" s="9">
        <v>4.1399999999999997</v>
      </c>
      <c r="S392" s="9"/>
      <c r="T392" s="9"/>
      <c r="U392" s="9"/>
      <c r="V392" s="9"/>
      <c r="W392" s="9"/>
      <c r="X392" s="9">
        <v>18.899999999999999</v>
      </c>
      <c r="Y392" s="9">
        <v>11.6</v>
      </c>
      <c r="Z392" s="9"/>
      <c r="AA392" s="9"/>
      <c r="AB392" s="8">
        <f t="shared" si="225"/>
        <v>1.6293103448275861</v>
      </c>
      <c r="AC392" s="9"/>
      <c r="AD392" s="67">
        <f t="shared" si="232"/>
        <v>0.78245999999999993</v>
      </c>
      <c r="AE392" s="67">
        <f t="shared" si="233"/>
        <v>0.48023999999999994</v>
      </c>
      <c r="AF392" s="67">
        <f t="shared" si="226"/>
        <v>6.7453448275862055E-2</v>
      </c>
      <c r="AG392" s="33" t="s">
        <v>104</v>
      </c>
      <c r="AH392" s="9">
        <v>7.45</v>
      </c>
      <c r="AI392" s="9"/>
      <c r="AJ392" s="9"/>
      <c r="AK392" s="9"/>
      <c r="AL392" s="9"/>
      <c r="AM392" s="9"/>
      <c r="AN392" s="9">
        <v>18.2</v>
      </c>
      <c r="AO392" s="9">
        <v>17.7</v>
      </c>
      <c r="AP392" s="9"/>
      <c r="AQ392" s="9"/>
      <c r="AR392" s="9"/>
      <c r="AS392" s="8">
        <f t="shared" ref="AS392:AS398" si="248">AN392/AO392</f>
        <v>1.0282485875706215</v>
      </c>
      <c r="AT392" s="9"/>
      <c r="AU392" s="67">
        <f t="shared" ref="AU392:AU398" si="249">AH392*AO392/100</f>
        <v>1.3186500000000001</v>
      </c>
      <c r="AV392" s="67">
        <f t="shared" ref="AV392:AV398" si="250">AN392*AH392/100</f>
        <v>1.3559000000000001</v>
      </c>
      <c r="AW392" s="67">
        <f t="shared" ref="AW392:AW398" si="251">AS392*AH392/100</f>
        <v>7.6604519774011309E-2</v>
      </c>
      <c r="AX392" s="33" t="s">
        <v>104</v>
      </c>
      <c r="AY392" s="9">
        <v>4.0199999999999996</v>
      </c>
      <c r="AZ392" s="9"/>
      <c r="BA392" s="9"/>
      <c r="BB392" s="9"/>
      <c r="BC392" s="9"/>
      <c r="BD392" s="9"/>
      <c r="BE392" s="9">
        <v>23.3</v>
      </c>
      <c r="BF392" s="9">
        <v>7.44</v>
      </c>
      <c r="BG392" s="9"/>
      <c r="BH392" s="9"/>
      <c r="BI392" s="9"/>
      <c r="BJ392" s="8">
        <f t="shared" ref="BJ392:BJ398" si="252">BE392/BF392</f>
        <v>3.131720430107527</v>
      </c>
      <c r="BK392" s="9"/>
      <c r="BL392" s="67">
        <f t="shared" ref="BL392:BL398" si="253">BF392*AY392/100</f>
        <v>0.29908800000000002</v>
      </c>
      <c r="BM392" s="67">
        <f t="shared" ref="BM392:BM398" si="254">BE392*AY392/100</f>
        <v>0.93665999999999994</v>
      </c>
      <c r="BN392" s="67">
        <f t="shared" ref="BN392:BN398" si="255">BM392/BL392</f>
        <v>3.1317204301075265</v>
      </c>
    </row>
    <row r="393" spans="1:67" x14ac:dyDescent="0.3">
      <c r="A393" s="33" t="s">
        <v>130</v>
      </c>
      <c r="B393" s="9">
        <v>9.2100000000000009</v>
      </c>
      <c r="C393" s="9"/>
      <c r="D393" s="9"/>
      <c r="E393" s="9"/>
      <c r="F393" s="9"/>
      <c r="G393" s="9"/>
      <c r="H393" s="9"/>
      <c r="I393" s="9">
        <v>7.86</v>
      </c>
      <c r="J393" s="9"/>
      <c r="K393" s="9">
        <v>0.74</v>
      </c>
      <c r="L393" s="8">
        <f t="shared" si="244"/>
        <v>9.4147582697201013E-2</v>
      </c>
      <c r="M393" s="9"/>
      <c r="N393" s="67">
        <f t="shared" si="245"/>
        <v>0.72390600000000005</v>
      </c>
      <c r="O393" s="67">
        <f t="shared" si="246"/>
        <v>6.8154000000000006E-2</v>
      </c>
      <c r="P393" s="67">
        <f t="shared" si="247"/>
        <v>8.6709923664122154E-3</v>
      </c>
      <c r="Q393" s="33" t="s">
        <v>129</v>
      </c>
      <c r="R393" s="9">
        <v>3.8</v>
      </c>
      <c r="S393" s="9"/>
      <c r="T393" s="9"/>
      <c r="U393" s="9"/>
      <c r="V393" s="9"/>
      <c r="W393" s="9"/>
      <c r="X393" s="9">
        <v>2.29</v>
      </c>
      <c r="Y393" s="9">
        <v>22.7</v>
      </c>
      <c r="Z393" s="9"/>
      <c r="AA393" s="9"/>
      <c r="AB393" s="8">
        <f t="shared" si="225"/>
        <v>0.10088105726872247</v>
      </c>
      <c r="AC393" s="9"/>
      <c r="AD393" s="67">
        <f t="shared" si="232"/>
        <v>8.702E-2</v>
      </c>
      <c r="AE393" s="67">
        <f t="shared" si="233"/>
        <v>0.86259999999999992</v>
      </c>
      <c r="AF393" s="67">
        <f t="shared" si="226"/>
        <v>3.8334801762114541E-3</v>
      </c>
      <c r="AG393" s="33" t="s">
        <v>129</v>
      </c>
      <c r="AH393" s="9">
        <v>4.16</v>
      </c>
      <c r="AI393" s="9"/>
      <c r="AJ393" s="9"/>
      <c r="AK393" s="9"/>
      <c r="AL393" s="9"/>
      <c r="AM393" s="9"/>
      <c r="AN393" s="9">
        <v>3.3</v>
      </c>
      <c r="AO393" s="9">
        <v>12.6</v>
      </c>
      <c r="AP393" s="9"/>
      <c r="AQ393" s="9"/>
      <c r="AR393" s="9"/>
      <c r="AS393" s="8">
        <f t="shared" si="248"/>
        <v>0.26190476190476192</v>
      </c>
      <c r="AT393" s="9"/>
      <c r="AU393" s="67">
        <f t="shared" si="249"/>
        <v>0.52415999999999996</v>
      </c>
      <c r="AV393" s="67">
        <f t="shared" si="250"/>
        <v>0.13727999999999999</v>
      </c>
      <c r="AW393" s="67">
        <f t="shared" si="251"/>
        <v>1.0895238095238095E-2</v>
      </c>
      <c r="AX393" s="33" t="s">
        <v>129</v>
      </c>
      <c r="AY393" s="9">
        <v>2.89</v>
      </c>
      <c r="AZ393" s="9"/>
      <c r="BA393" s="9"/>
      <c r="BB393" s="9"/>
      <c r="BC393" s="9"/>
      <c r="BD393" s="9"/>
      <c r="BE393" s="9">
        <v>0.54</v>
      </c>
      <c r="BF393" s="9">
        <v>12.2</v>
      </c>
      <c r="BG393" s="9"/>
      <c r="BH393" s="9"/>
      <c r="BI393" s="9"/>
      <c r="BJ393" s="8">
        <f t="shared" si="252"/>
        <v>4.4262295081967218E-2</v>
      </c>
      <c r="BK393" s="9"/>
      <c r="BL393" s="67">
        <f t="shared" si="253"/>
        <v>0.35258</v>
      </c>
      <c r="BM393" s="67">
        <f t="shared" si="254"/>
        <v>1.5606000000000002E-2</v>
      </c>
      <c r="BN393" s="67">
        <f t="shared" si="255"/>
        <v>4.4262295081967218E-2</v>
      </c>
    </row>
    <row r="394" spans="1:67" x14ac:dyDescent="0.3">
      <c r="A394" s="33" t="s">
        <v>121</v>
      </c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60"/>
      <c r="N394" s="60"/>
      <c r="O394" s="60"/>
      <c r="P394" s="60"/>
      <c r="Q394" s="33" t="s">
        <v>130</v>
      </c>
      <c r="R394" s="9">
        <v>8.52</v>
      </c>
      <c r="S394" s="9"/>
      <c r="T394" s="9"/>
      <c r="U394" s="9"/>
      <c r="V394" s="9"/>
      <c r="W394" s="9"/>
      <c r="X394" s="9">
        <v>3.22</v>
      </c>
      <c r="Y394" s="9">
        <v>17.2</v>
      </c>
      <c r="Z394" s="9"/>
      <c r="AA394" s="9"/>
      <c r="AB394" s="8">
        <f t="shared" si="225"/>
        <v>0.18720930232558142</v>
      </c>
      <c r="AC394" s="9"/>
      <c r="AD394" s="67">
        <f t="shared" si="232"/>
        <v>0.27434399999999998</v>
      </c>
      <c r="AE394" s="67">
        <f t="shared" si="233"/>
        <v>1.4654399999999999</v>
      </c>
      <c r="AF394" s="67">
        <f t="shared" si="226"/>
        <v>1.5950232558139536E-2</v>
      </c>
      <c r="AG394" s="33" t="s">
        <v>130</v>
      </c>
      <c r="AH394" s="9">
        <v>6.32</v>
      </c>
      <c r="AI394" s="9"/>
      <c r="AJ394" s="9"/>
      <c r="AK394" s="9"/>
      <c r="AL394" s="9"/>
      <c r="AM394" s="9"/>
      <c r="AN394" s="9">
        <v>4.18</v>
      </c>
      <c r="AO394" s="9">
        <v>12.6</v>
      </c>
      <c r="AP394" s="9"/>
      <c r="AQ394" s="9"/>
      <c r="AR394" s="9"/>
      <c r="AS394" s="8">
        <f t="shared" si="248"/>
        <v>0.33174603174603173</v>
      </c>
      <c r="AT394" s="9"/>
      <c r="AU394" s="67">
        <f t="shared" si="249"/>
        <v>0.79632000000000003</v>
      </c>
      <c r="AV394" s="67">
        <f t="shared" si="250"/>
        <v>0.26417600000000002</v>
      </c>
      <c r="AW394" s="67">
        <f t="shared" si="251"/>
        <v>2.0966349206349207E-2</v>
      </c>
      <c r="AX394" s="33" t="s">
        <v>130</v>
      </c>
      <c r="AY394" s="9">
        <v>5.96</v>
      </c>
      <c r="AZ394" s="9"/>
      <c r="BA394" s="9"/>
      <c r="BB394" s="9"/>
      <c r="BC394" s="9"/>
      <c r="BD394" s="9"/>
      <c r="BE394" s="9">
        <v>0.7</v>
      </c>
      <c r="BF394" s="9">
        <v>13.5</v>
      </c>
      <c r="BG394" s="9"/>
      <c r="BH394" s="9"/>
      <c r="BI394" s="9"/>
      <c r="BJ394" s="8">
        <f t="shared" si="252"/>
        <v>5.185185185185185E-2</v>
      </c>
      <c r="BK394" s="9"/>
      <c r="BL394" s="67">
        <f t="shared" si="253"/>
        <v>0.80459999999999998</v>
      </c>
      <c r="BM394" s="67">
        <f t="shared" si="254"/>
        <v>4.172E-2</v>
      </c>
      <c r="BN394" s="67">
        <f t="shared" si="255"/>
        <v>5.185185185185185E-2</v>
      </c>
    </row>
    <row r="395" spans="1:67" x14ac:dyDescent="0.3">
      <c r="A395" s="33" t="s">
        <v>131</v>
      </c>
      <c r="B395" s="9">
        <v>6.95</v>
      </c>
      <c r="C395" s="9"/>
      <c r="D395" s="9"/>
      <c r="E395" s="9"/>
      <c r="F395" s="9"/>
      <c r="G395" s="9"/>
      <c r="H395" s="9"/>
      <c r="I395" s="9">
        <v>18.2</v>
      </c>
      <c r="J395" s="9"/>
      <c r="K395" s="9">
        <v>2.44</v>
      </c>
      <c r="L395" s="8">
        <f t="shared" ref="L395:L397" si="256">K395/I395</f>
        <v>0.13406593406593406</v>
      </c>
      <c r="M395" s="9"/>
      <c r="N395" s="67">
        <f t="shared" ref="N395:N397" si="257">I395*B395/100</f>
        <v>1.2648999999999999</v>
      </c>
      <c r="O395" s="67">
        <f t="shared" ref="O395:O397" si="258">K395*B395/100</f>
        <v>0.16957999999999998</v>
      </c>
      <c r="P395" s="67">
        <f t="shared" ref="P395:P397" si="259">L395*B395/100</f>
        <v>9.3175824175824179E-3</v>
      </c>
      <c r="Q395" s="33" t="s">
        <v>121</v>
      </c>
      <c r="R395" s="9">
        <v>4.3899999999999997</v>
      </c>
      <c r="S395" s="9"/>
      <c r="T395" s="9"/>
      <c r="U395" s="9"/>
      <c r="V395" s="9"/>
      <c r="W395" s="9"/>
      <c r="X395" s="9">
        <v>4.5</v>
      </c>
      <c r="Y395" s="9">
        <v>41</v>
      </c>
      <c r="Z395" s="9"/>
      <c r="AA395" s="9"/>
      <c r="AB395" s="8">
        <f t="shared" si="225"/>
        <v>0.10975609756097561</v>
      </c>
      <c r="AC395" s="9"/>
      <c r="AD395" s="67">
        <f t="shared" si="232"/>
        <v>0.19755</v>
      </c>
      <c r="AE395" s="67">
        <f t="shared" si="233"/>
        <v>1.7998999999999998</v>
      </c>
      <c r="AF395" s="67">
        <f t="shared" si="226"/>
        <v>4.8182926829268289E-3</v>
      </c>
      <c r="AG395" s="33" t="s">
        <v>121</v>
      </c>
      <c r="AH395" s="9">
        <v>3.25</v>
      </c>
      <c r="AI395" s="9"/>
      <c r="AJ395" s="9"/>
      <c r="AK395" s="9"/>
      <c r="AL395" s="9"/>
      <c r="AM395" s="9"/>
      <c r="AN395" s="9">
        <v>7.39</v>
      </c>
      <c r="AO395" s="9">
        <v>36.200000000000003</v>
      </c>
      <c r="AP395" s="9"/>
      <c r="AQ395" s="9"/>
      <c r="AR395" s="9"/>
      <c r="AS395" s="8">
        <f t="shared" si="248"/>
        <v>0.20414364640883975</v>
      </c>
      <c r="AT395" s="9"/>
      <c r="AU395" s="67">
        <f t="shared" si="249"/>
        <v>1.1765000000000001</v>
      </c>
      <c r="AV395" s="67">
        <f t="shared" si="250"/>
        <v>0.24017499999999997</v>
      </c>
      <c r="AW395" s="67">
        <f t="shared" si="251"/>
        <v>6.6346685082872914E-3</v>
      </c>
      <c r="AX395" s="33" t="s">
        <v>121</v>
      </c>
      <c r="AY395" s="9">
        <v>3.83</v>
      </c>
      <c r="AZ395" s="9"/>
      <c r="BA395" s="9"/>
      <c r="BB395" s="9"/>
      <c r="BC395" s="9"/>
      <c r="BD395" s="9"/>
      <c r="BE395" s="9">
        <v>1.36</v>
      </c>
      <c r="BF395" s="9">
        <v>35.4</v>
      </c>
      <c r="BG395" s="9"/>
      <c r="BH395" s="9"/>
      <c r="BI395" s="9"/>
      <c r="BJ395" s="8">
        <f t="shared" si="252"/>
        <v>3.84180790960452E-2</v>
      </c>
      <c r="BK395" s="9"/>
      <c r="BL395" s="67">
        <f t="shared" si="253"/>
        <v>1.35582</v>
      </c>
      <c r="BM395" s="67">
        <f t="shared" si="254"/>
        <v>5.2088000000000002E-2</v>
      </c>
      <c r="BN395" s="67">
        <f t="shared" si="255"/>
        <v>3.84180790960452E-2</v>
      </c>
    </row>
    <row r="396" spans="1:67" x14ac:dyDescent="0.3">
      <c r="A396" s="33" t="s">
        <v>190</v>
      </c>
      <c r="B396" s="9">
        <v>7.7</v>
      </c>
      <c r="C396" s="9"/>
      <c r="D396" s="9"/>
      <c r="E396" s="9"/>
      <c r="F396" s="9"/>
      <c r="G396" s="9"/>
      <c r="H396" s="9"/>
      <c r="I396" s="9">
        <v>33.200000000000003</v>
      </c>
      <c r="J396" s="9"/>
      <c r="K396" s="9">
        <v>17.2</v>
      </c>
      <c r="L396" s="8">
        <f t="shared" si="256"/>
        <v>0.5180722891566264</v>
      </c>
      <c r="M396" s="9"/>
      <c r="N396" s="67">
        <f t="shared" si="257"/>
        <v>2.5564</v>
      </c>
      <c r="O396" s="67">
        <f t="shared" si="258"/>
        <v>1.3244</v>
      </c>
      <c r="P396" s="67">
        <f t="shared" si="259"/>
        <v>3.9891566265060234E-2</v>
      </c>
      <c r="Q396" s="33" t="s">
        <v>131</v>
      </c>
      <c r="R396" s="9">
        <v>2.75</v>
      </c>
      <c r="S396" s="9"/>
      <c r="T396" s="9"/>
      <c r="U396" s="9"/>
      <c r="V396" s="9"/>
      <c r="W396" s="9"/>
      <c r="X396" s="9">
        <v>4.08</v>
      </c>
      <c r="Y396" s="9">
        <v>29.8</v>
      </c>
      <c r="Z396" s="9"/>
      <c r="AA396" s="9"/>
      <c r="AB396" s="8">
        <f t="shared" si="225"/>
        <v>0.13691275167785236</v>
      </c>
      <c r="AC396" s="9"/>
      <c r="AD396" s="67">
        <f t="shared" si="232"/>
        <v>0.11220000000000001</v>
      </c>
      <c r="AE396" s="67">
        <f t="shared" si="233"/>
        <v>0.81950000000000001</v>
      </c>
      <c r="AF396" s="67">
        <f t="shared" si="226"/>
        <v>3.7651006711409397E-3</v>
      </c>
      <c r="AG396" s="33" t="s">
        <v>131</v>
      </c>
      <c r="AH396" s="9">
        <v>3.72</v>
      </c>
      <c r="AI396" s="9"/>
      <c r="AJ396" s="9"/>
      <c r="AK396" s="9"/>
      <c r="AL396" s="9"/>
      <c r="AM396" s="9"/>
      <c r="AN396" s="9">
        <v>5.48</v>
      </c>
      <c r="AO396" s="9">
        <v>19.8</v>
      </c>
      <c r="AP396" s="9"/>
      <c r="AQ396" s="9"/>
      <c r="AR396" s="9"/>
      <c r="AS396" s="8">
        <f t="shared" si="248"/>
        <v>0.27676767676767677</v>
      </c>
      <c r="AT396" s="9"/>
      <c r="AU396" s="67">
        <f t="shared" si="249"/>
        <v>0.7365600000000001</v>
      </c>
      <c r="AV396" s="67">
        <f t="shared" si="250"/>
        <v>0.20385600000000004</v>
      </c>
      <c r="AW396" s="67">
        <f t="shared" si="251"/>
        <v>1.0295757575757576E-2</v>
      </c>
      <c r="AX396" s="33" t="s">
        <v>131</v>
      </c>
      <c r="AY396" s="9">
        <v>3.59</v>
      </c>
      <c r="AZ396" s="9"/>
      <c r="BA396" s="9"/>
      <c r="BB396" s="9"/>
      <c r="BC396" s="9"/>
      <c r="BD396" s="9"/>
      <c r="BE396" s="9">
        <v>1.47</v>
      </c>
      <c r="BF396" s="9">
        <v>16.2</v>
      </c>
      <c r="BG396" s="9"/>
      <c r="BH396" s="9"/>
      <c r="BI396" s="9"/>
      <c r="BJ396" s="8">
        <f t="shared" si="252"/>
        <v>9.0740740740740747E-2</v>
      </c>
      <c r="BK396" s="9"/>
      <c r="BL396" s="67">
        <f t="shared" si="253"/>
        <v>0.58157999999999999</v>
      </c>
      <c r="BM396" s="67">
        <f t="shared" si="254"/>
        <v>5.2772999999999994E-2</v>
      </c>
      <c r="BN396" s="67">
        <f t="shared" si="255"/>
        <v>9.0740740740740733E-2</v>
      </c>
    </row>
    <row r="397" spans="1:67" x14ac:dyDescent="0.3">
      <c r="A397" s="33" t="s">
        <v>125</v>
      </c>
      <c r="B397" s="9">
        <v>3.99</v>
      </c>
      <c r="C397" s="9"/>
      <c r="D397" s="9"/>
      <c r="E397" s="9"/>
      <c r="F397" s="9"/>
      <c r="G397" s="9"/>
      <c r="H397" s="9"/>
      <c r="I397" s="9">
        <v>27.7</v>
      </c>
      <c r="J397" s="9"/>
      <c r="K397" s="9">
        <v>13.3</v>
      </c>
      <c r="L397" s="8">
        <f t="shared" si="256"/>
        <v>0.48014440433213001</v>
      </c>
      <c r="M397" s="9"/>
      <c r="N397" s="67">
        <f t="shared" si="257"/>
        <v>1.1052299999999999</v>
      </c>
      <c r="O397" s="67">
        <f t="shared" si="258"/>
        <v>0.53067000000000009</v>
      </c>
      <c r="P397" s="67">
        <f t="shared" si="259"/>
        <v>1.9157761732851986E-2</v>
      </c>
      <c r="Q397" s="33" t="s">
        <v>132</v>
      </c>
      <c r="R397" s="9">
        <v>2.97</v>
      </c>
      <c r="S397" s="9"/>
      <c r="T397" s="9"/>
      <c r="U397" s="9"/>
      <c r="V397" s="9"/>
      <c r="W397" s="9"/>
      <c r="X397" s="9">
        <v>10.4</v>
      </c>
      <c r="Y397" s="9">
        <v>42.2</v>
      </c>
      <c r="Z397" s="9"/>
      <c r="AA397" s="9"/>
      <c r="AB397" s="8">
        <f t="shared" si="225"/>
        <v>0.24644549763033174</v>
      </c>
      <c r="AC397" s="9"/>
      <c r="AD397" s="67">
        <f t="shared" si="232"/>
        <v>0.30888000000000004</v>
      </c>
      <c r="AE397" s="67">
        <f t="shared" si="233"/>
        <v>1.2533400000000001</v>
      </c>
      <c r="AF397" s="67">
        <f t="shared" si="226"/>
        <v>7.3194312796208538E-3</v>
      </c>
      <c r="AG397" s="33" t="s">
        <v>132</v>
      </c>
      <c r="AH397" s="9">
        <v>3.55</v>
      </c>
      <c r="AI397" s="9"/>
      <c r="AJ397" s="9"/>
      <c r="AK397" s="9"/>
      <c r="AL397" s="9"/>
      <c r="AM397" s="9"/>
      <c r="AN397" s="9">
        <v>14</v>
      </c>
      <c r="AO397" s="9">
        <v>55.3</v>
      </c>
      <c r="AP397" s="9"/>
      <c r="AQ397" s="9"/>
      <c r="AR397" s="9"/>
      <c r="AS397" s="8">
        <f t="shared" si="248"/>
        <v>0.25316455696202533</v>
      </c>
      <c r="AT397" s="9"/>
      <c r="AU397" s="67">
        <f t="shared" si="249"/>
        <v>1.9631499999999997</v>
      </c>
      <c r="AV397" s="67">
        <f t="shared" si="250"/>
        <v>0.49699999999999994</v>
      </c>
      <c r="AW397" s="67">
        <f t="shared" si="251"/>
        <v>8.9873417721518991E-3</v>
      </c>
      <c r="AX397" s="33" t="s">
        <v>132</v>
      </c>
      <c r="AY397" s="9">
        <v>2.15</v>
      </c>
      <c r="AZ397" s="9"/>
      <c r="BA397" s="9"/>
      <c r="BB397" s="9"/>
      <c r="BC397" s="9"/>
      <c r="BD397" s="9"/>
      <c r="BE397" s="9">
        <v>9.57</v>
      </c>
      <c r="BF397" s="9">
        <v>32.9</v>
      </c>
      <c r="BG397" s="9"/>
      <c r="BH397" s="9"/>
      <c r="BI397" s="9"/>
      <c r="BJ397" s="8">
        <f t="shared" si="252"/>
        <v>0.29088145896656536</v>
      </c>
      <c r="BK397" s="9"/>
      <c r="BL397" s="67">
        <f t="shared" si="253"/>
        <v>0.70735000000000003</v>
      </c>
      <c r="BM397" s="67">
        <f t="shared" si="254"/>
        <v>0.20575499999999999</v>
      </c>
      <c r="BN397" s="67">
        <f t="shared" si="255"/>
        <v>0.29088145896656531</v>
      </c>
    </row>
    <row r="398" spans="1:67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33" t="s">
        <v>116</v>
      </c>
      <c r="R398" s="9">
        <v>3.11</v>
      </c>
      <c r="S398" s="9"/>
      <c r="T398" s="9"/>
      <c r="U398" s="9"/>
      <c r="V398" s="9"/>
      <c r="W398" s="9"/>
      <c r="X398" s="88"/>
      <c r="Y398" s="88"/>
      <c r="Z398" s="88"/>
      <c r="AA398" s="88"/>
      <c r="AB398" s="88"/>
      <c r="AC398" s="88"/>
      <c r="AD398" s="86"/>
      <c r="AE398" s="86"/>
      <c r="AF398" s="86"/>
      <c r="AG398" s="33" t="s">
        <v>116</v>
      </c>
      <c r="AH398" s="9">
        <v>2.21</v>
      </c>
      <c r="AI398" s="9"/>
      <c r="AJ398" s="9"/>
      <c r="AK398" s="9"/>
      <c r="AL398" s="9"/>
      <c r="AM398" s="9"/>
      <c r="AN398" s="9">
        <v>11.5</v>
      </c>
      <c r="AO398" s="9">
        <v>15.6</v>
      </c>
      <c r="AP398" s="9"/>
      <c r="AQ398" s="9"/>
      <c r="AR398" s="9"/>
      <c r="AS398" s="8">
        <f t="shared" si="248"/>
        <v>0.73717948717948723</v>
      </c>
      <c r="AT398" s="9"/>
      <c r="AU398" s="67">
        <f t="shared" si="249"/>
        <v>0.34476000000000001</v>
      </c>
      <c r="AV398" s="67">
        <f t="shared" si="250"/>
        <v>0.25414999999999999</v>
      </c>
      <c r="AW398" s="67">
        <f t="shared" si="251"/>
        <v>1.6291666666666666E-2</v>
      </c>
      <c r="AX398" s="33" t="s">
        <v>116</v>
      </c>
      <c r="AY398" s="9">
        <v>3.38</v>
      </c>
      <c r="AZ398" s="9"/>
      <c r="BA398" s="9"/>
      <c r="BB398" s="9"/>
      <c r="BC398" s="9"/>
      <c r="BD398" s="9"/>
      <c r="BE398" s="9">
        <v>18.3</v>
      </c>
      <c r="BF398" s="9">
        <v>5.72</v>
      </c>
      <c r="BG398" s="9"/>
      <c r="BH398" s="9"/>
      <c r="BI398" s="9"/>
      <c r="BJ398" s="8">
        <f t="shared" si="252"/>
        <v>3.1993006993006996</v>
      </c>
      <c r="BK398" s="9"/>
      <c r="BL398" s="67">
        <f t="shared" si="253"/>
        <v>0.19333599999999998</v>
      </c>
      <c r="BM398" s="67">
        <f t="shared" si="254"/>
        <v>0.61853999999999998</v>
      </c>
      <c r="BN398" s="67">
        <f t="shared" si="255"/>
        <v>3.1993006993006996</v>
      </c>
    </row>
    <row r="399" spans="1:67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67"/>
      <c r="AE399" s="67"/>
      <c r="AF399" s="67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67"/>
      <c r="AV399" s="67"/>
      <c r="AW399" s="67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67"/>
      <c r="BM399" s="67"/>
      <c r="BN399" s="67"/>
    </row>
    <row r="400" spans="1:67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67"/>
      <c r="AE400" s="67"/>
      <c r="AF400" s="67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67"/>
      <c r="AV400" s="67"/>
      <c r="AW400" s="67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67"/>
      <c r="BM400" s="67"/>
      <c r="BN400" s="67"/>
    </row>
    <row r="401" spans="64:66" x14ac:dyDescent="0.3">
      <c r="BL401" s="69"/>
      <c r="BM401" s="69"/>
      <c r="BN401" s="69"/>
    </row>
  </sheetData>
  <mergeCells count="1">
    <mergeCell ref="B1:Y1"/>
  </mergeCells>
  <conditionalFormatting sqref="A54:A58">
    <cfRule type="duplicateValues" dxfId="482" priority="376"/>
  </conditionalFormatting>
  <conditionalFormatting sqref="A71:A83">
    <cfRule type="duplicateValues" dxfId="481" priority="318"/>
  </conditionalFormatting>
  <conditionalFormatting sqref="A84:A92">
    <cfRule type="duplicateValues" dxfId="480" priority="350"/>
  </conditionalFormatting>
  <conditionalFormatting sqref="A93">
    <cfRule type="duplicateValues" dxfId="479" priority="322"/>
  </conditionalFormatting>
  <conditionalFormatting sqref="A94">
    <cfRule type="duplicateValues" dxfId="478" priority="314"/>
  </conditionalFormatting>
  <conditionalFormatting sqref="A95:A96">
    <cfRule type="duplicateValues" dxfId="477" priority="310"/>
  </conditionalFormatting>
  <conditionalFormatting sqref="A97:A98">
    <cfRule type="duplicateValues" dxfId="476" priority="306"/>
  </conditionalFormatting>
  <conditionalFormatting sqref="A99:A100">
    <cfRule type="duplicateValues" dxfId="475" priority="305"/>
  </conditionalFormatting>
  <conditionalFormatting sqref="A101:A102">
    <cfRule type="duplicateValues" dxfId="474" priority="304"/>
  </conditionalFormatting>
  <conditionalFormatting sqref="A105:A115">
    <cfRule type="duplicateValues" dxfId="473" priority="275"/>
  </conditionalFormatting>
  <conditionalFormatting sqref="A116:A124">
    <cfRule type="duplicateValues" dxfId="472" priority="303"/>
  </conditionalFormatting>
  <conditionalFormatting sqref="A125">
    <cfRule type="duplicateValues" dxfId="471" priority="271"/>
  </conditionalFormatting>
  <conditionalFormatting sqref="A126">
    <cfRule type="duplicateValues" dxfId="470" priority="267"/>
  </conditionalFormatting>
  <conditionalFormatting sqref="A127:A128">
    <cfRule type="duplicateValues" dxfId="469" priority="263"/>
  </conditionalFormatting>
  <conditionalFormatting sqref="A129:A130">
    <cfRule type="duplicateValues" dxfId="468" priority="256"/>
  </conditionalFormatting>
  <conditionalFormatting sqref="A131:A132">
    <cfRule type="duplicateValues" dxfId="467" priority="255"/>
  </conditionalFormatting>
  <conditionalFormatting sqref="A133:A134">
    <cfRule type="duplicateValues" dxfId="466" priority="254"/>
  </conditionalFormatting>
  <conditionalFormatting sqref="A294:A316">
    <cfRule type="duplicateValues" dxfId="465" priority="252"/>
  </conditionalFormatting>
  <conditionalFormatting sqref="A317">
    <cfRule type="duplicateValues" dxfId="464" priority="242"/>
  </conditionalFormatting>
  <conditionalFormatting sqref="A318">
    <cfRule type="duplicateValues" dxfId="463" priority="243"/>
  </conditionalFormatting>
  <conditionalFormatting sqref="A319">
    <cfRule type="duplicateValues" dxfId="462" priority="241"/>
  </conditionalFormatting>
  <conditionalFormatting sqref="A320">
    <cfRule type="duplicateValues" dxfId="461" priority="240"/>
  </conditionalFormatting>
  <conditionalFormatting sqref="A321">
    <cfRule type="duplicateValues" dxfId="460" priority="236"/>
  </conditionalFormatting>
  <conditionalFormatting sqref="A322">
    <cfRule type="duplicateValues" dxfId="459" priority="232"/>
  </conditionalFormatting>
  <conditionalFormatting sqref="A323">
    <cfRule type="duplicateValues" dxfId="458" priority="228"/>
  </conditionalFormatting>
  <conditionalFormatting sqref="A324">
    <cfRule type="duplicateValues" dxfId="457" priority="224"/>
  </conditionalFormatting>
  <conditionalFormatting sqref="A325">
    <cfRule type="duplicateValues" dxfId="456" priority="220"/>
  </conditionalFormatting>
  <conditionalFormatting sqref="A326:A331">
    <cfRule type="duplicateValues" dxfId="455" priority="391"/>
  </conditionalFormatting>
  <conditionalFormatting sqref="A334:A363">
    <cfRule type="duplicateValues" dxfId="454" priority="209"/>
  </conditionalFormatting>
  <conditionalFormatting sqref="A369:A397">
    <cfRule type="duplicateValues" dxfId="453" priority="215"/>
  </conditionalFormatting>
  <conditionalFormatting sqref="A50:B50 A37:A49">
    <cfRule type="duplicateValues" dxfId="452" priority="357"/>
  </conditionalFormatting>
  <conditionalFormatting sqref="A51:B53">
    <cfRule type="duplicateValues" dxfId="451" priority="386"/>
  </conditionalFormatting>
  <conditionalFormatting sqref="B54:B58 A59:B60 A61:A68">
    <cfRule type="duplicateValues" dxfId="450" priority="390"/>
  </conditionalFormatting>
  <conditionalFormatting sqref="B334:B363">
    <cfRule type="duplicateValues" dxfId="449" priority="210"/>
  </conditionalFormatting>
  <conditionalFormatting sqref="G51">
    <cfRule type="duplicateValues" dxfId="448" priority="385"/>
  </conditionalFormatting>
  <conditionalFormatting sqref="G52">
    <cfRule type="duplicateValues" dxfId="447" priority="382"/>
  </conditionalFormatting>
  <conditionalFormatting sqref="G53">
    <cfRule type="duplicateValues" dxfId="446" priority="379"/>
  </conditionalFormatting>
  <conditionalFormatting sqref="G54">
    <cfRule type="duplicateValues" dxfId="445" priority="375"/>
  </conditionalFormatting>
  <conditionalFormatting sqref="G55">
    <cfRule type="duplicateValues" dxfId="444" priority="372"/>
  </conditionalFormatting>
  <conditionalFormatting sqref="G56">
    <cfRule type="duplicateValues" dxfId="443" priority="369"/>
  </conditionalFormatting>
  <conditionalFormatting sqref="G57">
    <cfRule type="duplicateValues" dxfId="442" priority="366"/>
  </conditionalFormatting>
  <conditionalFormatting sqref="G58">
    <cfRule type="duplicateValues" dxfId="441" priority="363"/>
  </conditionalFormatting>
  <conditionalFormatting sqref="G59">
    <cfRule type="duplicateValues" dxfId="440" priority="360"/>
  </conditionalFormatting>
  <conditionalFormatting sqref="G60:G68">
    <cfRule type="duplicateValues" dxfId="439" priority="353"/>
  </conditionalFormatting>
  <conditionalFormatting sqref="G71:G83">
    <cfRule type="duplicateValues" dxfId="438" priority="317"/>
  </conditionalFormatting>
  <conditionalFormatting sqref="G84">
    <cfRule type="duplicateValues" dxfId="437" priority="349"/>
  </conditionalFormatting>
  <conditionalFormatting sqref="G85">
    <cfRule type="duplicateValues" dxfId="436" priority="346"/>
  </conditionalFormatting>
  <conditionalFormatting sqref="G86">
    <cfRule type="duplicateValues" dxfId="435" priority="343"/>
  </conditionalFormatting>
  <conditionalFormatting sqref="G87">
    <cfRule type="duplicateValues" dxfId="434" priority="340"/>
  </conditionalFormatting>
  <conditionalFormatting sqref="G88">
    <cfRule type="duplicateValues" dxfId="433" priority="337"/>
  </conditionalFormatting>
  <conditionalFormatting sqref="G89">
    <cfRule type="duplicateValues" dxfId="432" priority="334"/>
  </conditionalFormatting>
  <conditionalFormatting sqref="G90">
    <cfRule type="duplicateValues" dxfId="431" priority="331"/>
  </conditionalFormatting>
  <conditionalFormatting sqref="G91">
    <cfRule type="duplicateValues" dxfId="430" priority="328"/>
  </conditionalFormatting>
  <conditionalFormatting sqref="G92">
    <cfRule type="duplicateValues" dxfId="429" priority="325"/>
  </conditionalFormatting>
  <conditionalFormatting sqref="G93">
    <cfRule type="duplicateValues" dxfId="428" priority="321"/>
  </conditionalFormatting>
  <conditionalFormatting sqref="G94">
    <cfRule type="duplicateValues" dxfId="427" priority="313"/>
  </conditionalFormatting>
  <conditionalFormatting sqref="G95">
    <cfRule type="duplicateValues" dxfId="426" priority="309"/>
  </conditionalFormatting>
  <conditionalFormatting sqref="G96">
    <cfRule type="duplicateValues" dxfId="425" priority="198"/>
  </conditionalFormatting>
  <conditionalFormatting sqref="G97:G98">
    <cfRule type="duplicateValues" dxfId="424" priority="197"/>
  </conditionalFormatting>
  <conditionalFormatting sqref="G99:G100">
    <cfRule type="duplicateValues" dxfId="423" priority="196"/>
  </conditionalFormatting>
  <conditionalFormatting sqref="G101">
    <cfRule type="duplicateValues" dxfId="422" priority="195"/>
  </conditionalFormatting>
  <conditionalFormatting sqref="G105:G115">
    <cfRule type="duplicateValues" dxfId="421" priority="274"/>
  </conditionalFormatting>
  <conditionalFormatting sqref="G116">
    <cfRule type="duplicateValues" dxfId="420" priority="302"/>
  </conditionalFormatting>
  <conditionalFormatting sqref="G117">
    <cfRule type="duplicateValues" dxfId="419" priority="299"/>
  </conditionalFormatting>
  <conditionalFormatting sqref="G118">
    <cfRule type="duplicateValues" dxfId="418" priority="296"/>
  </conditionalFormatting>
  <conditionalFormatting sqref="G119">
    <cfRule type="duplicateValues" dxfId="417" priority="293"/>
  </conditionalFormatting>
  <conditionalFormatting sqref="G120">
    <cfRule type="duplicateValues" dxfId="416" priority="290"/>
  </conditionalFormatting>
  <conditionalFormatting sqref="G121">
    <cfRule type="duplicateValues" dxfId="415" priority="287"/>
  </conditionalFormatting>
  <conditionalFormatting sqref="G122">
    <cfRule type="duplicateValues" dxfId="414" priority="284"/>
  </conditionalFormatting>
  <conditionalFormatting sqref="G123">
    <cfRule type="duplicateValues" dxfId="413" priority="281"/>
  </conditionalFormatting>
  <conditionalFormatting sqref="G124">
    <cfRule type="duplicateValues" dxfId="412" priority="278"/>
  </conditionalFormatting>
  <conditionalFormatting sqref="G125">
    <cfRule type="duplicateValues" dxfId="411" priority="270"/>
  </conditionalFormatting>
  <conditionalFormatting sqref="G126">
    <cfRule type="duplicateValues" dxfId="410" priority="266"/>
  </conditionalFormatting>
  <conditionalFormatting sqref="G127">
    <cfRule type="duplicateValues" dxfId="409" priority="262"/>
  </conditionalFormatting>
  <conditionalFormatting sqref="G128">
    <cfRule type="duplicateValues" dxfId="408" priority="259"/>
  </conditionalFormatting>
  <conditionalFormatting sqref="G129">
    <cfRule type="duplicateValues" dxfId="407" priority="39"/>
  </conditionalFormatting>
  <conditionalFormatting sqref="G130">
    <cfRule type="duplicateValues" dxfId="406" priority="36"/>
  </conditionalFormatting>
  <conditionalFormatting sqref="G131">
    <cfRule type="duplicateValues" dxfId="405" priority="33"/>
  </conditionalFormatting>
  <conditionalFormatting sqref="G132">
    <cfRule type="duplicateValues" dxfId="404" priority="30"/>
  </conditionalFormatting>
  <conditionalFormatting sqref="G133">
    <cfRule type="duplicateValues" dxfId="403" priority="27"/>
  </conditionalFormatting>
  <conditionalFormatting sqref="G134">
    <cfRule type="duplicateValues" dxfId="402" priority="24"/>
  </conditionalFormatting>
  <conditionalFormatting sqref="G50:H50 G37:G49">
    <cfRule type="duplicateValues" dxfId="401" priority="356"/>
  </conditionalFormatting>
  <conditionalFormatting sqref="H54:H60 J60">
    <cfRule type="duplicateValues" dxfId="400" priority="389"/>
  </conditionalFormatting>
  <conditionalFormatting sqref="M37:M50">
    <cfRule type="duplicateValues" dxfId="399" priority="355"/>
  </conditionalFormatting>
  <conditionalFormatting sqref="M51">
    <cfRule type="duplicateValues" dxfId="398" priority="384"/>
  </conditionalFormatting>
  <conditionalFormatting sqref="M52">
    <cfRule type="duplicateValues" dxfId="397" priority="381"/>
  </conditionalFormatting>
  <conditionalFormatting sqref="M53">
    <cfRule type="duplicateValues" dxfId="396" priority="378"/>
  </conditionalFormatting>
  <conditionalFormatting sqref="M54">
    <cfRule type="duplicateValues" dxfId="395" priority="374"/>
  </conditionalFormatting>
  <conditionalFormatting sqref="M55">
    <cfRule type="duplicateValues" dxfId="394" priority="371"/>
  </conditionalFormatting>
  <conditionalFormatting sqref="M56">
    <cfRule type="duplicateValues" dxfId="393" priority="368"/>
  </conditionalFormatting>
  <conditionalFormatting sqref="M57">
    <cfRule type="duplicateValues" dxfId="392" priority="365"/>
  </conditionalFormatting>
  <conditionalFormatting sqref="M58">
    <cfRule type="duplicateValues" dxfId="391" priority="362"/>
  </conditionalFormatting>
  <conditionalFormatting sqref="M59">
    <cfRule type="duplicateValues" dxfId="390" priority="359"/>
  </conditionalFormatting>
  <conditionalFormatting sqref="M60:M68">
    <cfRule type="duplicateValues" dxfId="389" priority="352"/>
  </conditionalFormatting>
  <conditionalFormatting sqref="M71:M83">
    <cfRule type="duplicateValues" dxfId="388" priority="316"/>
  </conditionalFormatting>
  <conditionalFormatting sqref="M84">
    <cfRule type="duplicateValues" dxfId="387" priority="348"/>
  </conditionalFormatting>
  <conditionalFormatting sqref="M85">
    <cfRule type="duplicateValues" dxfId="386" priority="345"/>
  </conditionalFormatting>
  <conditionalFormatting sqref="M86">
    <cfRule type="duplicateValues" dxfId="385" priority="342"/>
  </conditionalFormatting>
  <conditionalFormatting sqref="M87">
    <cfRule type="duplicateValues" dxfId="384" priority="339"/>
  </conditionalFormatting>
  <conditionalFormatting sqref="M88">
    <cfRule type="duplicateValues" dxfId="383" priority="336"/>
  </conditionalFormatting>
  <conditionalFormatting sqref="M89">
    <cfRule type="duplicateValues" dxfId="382" priority="333"/>
  </conditionalFormatting>
  <conditionalFormatting sqref="M90">
    <cfRule type="duplicateValues" dxfId="381" priority="330"/>
  </conditionalFormatting>
  <conditionalFormatting sqref="M91">
    <cfRule type="duplicateValues" dxfId="380" priority="327"/>
  </conditionalFormatting>
  <conditionalFormatting sqref="M92">
    <cfRule type="duplicateValues" dxfId="379" priority="324"/>
  </conditionalFormatting>
  <conditionalFormatting sqref="M93">
    <cfRule type="duplicateValues" dxfId="378" priority="320"/>
  </conditionalFormatting>
  <conditionalFormatting sqref="M94">
    <cfRule type="duplicateValues" dxfId="377" priority="312"/>
  </conditionalFormatting>
  <conditionalFormatting sqref="M95">
    <cfRule type="duplicateValues" dxfId="376" priority="308"/>
  </conditionalFormatting>
  <conditionalFormatting sqref="M96">
    <cfRule type="duplicateValues" dxfId="375" priority="194"/>
  </conditionalFormatting>
  <conditionalFormatting sqref="M97:M98">
    <cfRule type="duplicateValues" dxfId="374" priority="193"/>
  </conditionalFormatting>
  <conditionalFormatting sqref="M99:M100">
    <cfRule type="duplicateValues" dxfId="373" priority="192"/>
  </conditionalFormatting>
  <conditionalFormatting sqref="M101">
    <cfRule type="duplicateValues" dxfId="372" priority="191"/>
  </conditionalFormatting>
  <conditionalFormatting sqref="M105:M115">
    <cfRule type="duplicateValues" dxfId="371" priority="273"/>
  </conditionalFormatting>
  <conditionalFormatting sqref="M116">
    <cfRule type="duplicateValues" dxfId="370" priority="301"/>
  </conditionalFormatting>
  <conditionalFormatting sqref="M117">
    <cfRule type="duplicateValues" dxfId="369" priority="298"/>
  </conditionalFormatting>
  <conditionalFormatting sqref="M118">
    <cfRule type="duplicateValues" dxfId="368" priority="295"/>
  </conditionalFormatting>
  <conditionalFormatting sqref="M119">
    <cfRule type="duplicateValues" dxfId="367" priority="292"/>
  </conditionalFormatting>
  <conditionalFormatting sqref="M120">
    <cfRule type="duplicateValues" dxfId="366" priority="289"/>
  </conditionalFormatting>
  <conditionalFormatting sqref="M121">
    <cfRule type="duplicateValues" dxfId="365" priority="286"/>
  </conditionalFormatting>
  <conditionalFormatting sqref="M122">
    <cfRule type="duplicateValues" dxfId="364" priority="283"/>
  </conditionalFormatting>
  <conditionalFormatting sqref="M123">
    <cfRule type="duplicateValues" dxfId="363" priority="280"/>
  </conditionalFormatting>
  <conditionalFormatting sqref="M124">
    <cfRule type="duplicateValues" dxfId="362" priority="277"/>
  </conditionalFormatting>
  <conditionalFormatting sqref="M125">
    <cfRule type="duplicateValues" dxfId="361" priority="269"/>
  </conditionalFormatting>
  <conditionalFormatting sqref="M126">
    <cfRule type="duplicateValues" dxfId="360" priority="265"/>
  </conditionalFormatting>
  <conditionalFormatting sqref="M127">
    <cfRule type="duplicateValues" dxfId="359" priority="261"/>
  </conditionalFormatting>
  <conditionalFormatting sqref="M128">
    <cfRule type="duplicateValues" dxfId="358" priority="258"/>
  </conditionalFormatting>
  <conditionalFormatting sqref="M129">
    <cfRule type="duplicateValues" dxfId="357" priority="38"/>
  </conditionalFormatting>
  <conditionalFormatting sqref="M130">
    <cfRule type="duplicateValues" dxfId="356" priority="35"/>
  </conditionalFormatting>
  <conditionalFormatting sqref="M131">
    <cfRule type="duplicateValues" dxfId="355" priority="32"/>
  </conditionalFormatting>
  <conditionalFormatting sqref="M132">
    <cfRule type="duplicateValues" dxfId="354" priority="29"/>
  </conditionalFormatting>
  <conditionalFormatting sqref="M133">
    <cfRule type="duplicateValues" dxfId="353" priority="26"/>
  </conditionalFormatting>
  <conditionalFormatting sqref="M134">
    <cfRule type="duplicateValues" dxfId="352" priority="23"/>
  </conditionalFormatting>
  <conditionalFormatting sqref="N54:N59">
    <cfRule type="duplicateValues" dxfId="351" priority="388"/>
  </conditionalFormatting>
  <conditionalFormatting sqref="Q294:Q316">
    <cfRule type="duplicateValues" dxfId="350" priority="253"/>
  </conditionalFormatting>
  <conditionalFormatting sqref="Q317 Q319">
    <cfRule type="duplicateValues" dxfId="349" priority="246"/>
  </conditionalFormatting>
  <conditionalFormatting sqref="Q318">
    <cfRule type="duplicateValues" dxfId="348" priority="247"/>
  </conditionalFormatting>
  <conditionalFormatting sqref="Q320">
    <cfRule type="duplicateValues" dxfId="347" priority="239"/>
  </conditionalFormatting>
  <conditionalFormatting sqref="Q321">
    <cfRule type="duplicateValues" dxfId="346" priority="235"/>
  </conditionalFormatting>
  <conditionalFormatting sqref="Q322">
    <cfRule type="duplicateValues" dxfId="345" priority="231"/>
  </conditionalFormatting>
  <conditionalFormatting sqref="Q323">
    <cfRule type="duplicateValues" dxfId="344" priority="227"/>
  </conditionalFormatting>
  <conditionalFormatting sqref="Q324">
    <cfRule type="duplicateValues" dxfId="343" priority="223"/>
  </conditionalFormatting>
  <conditionalFormatting sqref="Q325">
    <cfRule type="duplicateValues" dxfId="342" priority="219"/>
  </conditionalFormatting>
  <conditionalFormatting sqref="Q334:Q355">
    <cfRule type="duplicateValues" dxfId="341" priority="211"/>
  </conditionalFormatting>
  <conditionalFormatting sqref="Q358">
    <cfRule type="duplicateValues" dxfId="340" priority="206"/>
  </conditionalFormatting>
  <conditionalFormatting sqref="Q359">
    <cfRule type="duplicateValues" dxfId="339" priority="205"/>
  </conditionalFormatting>
  <conditionalFormatting sqref="Q360">
    <cfRule type="duplicateValues" dxfId="338" priority="202"/>
  </conditionalFormatting>
  <conditionalFormatting sqref="Q361">
    <cfRule type="duplicateValues" dxfId="337" priority="201"/>
  </conditionalFormatting>
  <conditionalFormatting sqref="Q362">
    <cfRule type="duplicateValues" dxfId="336" priority="200"/>
  </conditionalFormatting>
  <conditionalFormatting sqref="Q363">
    <cfRule type="duplicateValues" dxfId="335" priority="199"/>
  </conditionalFormatting>
  <conditionalFormatting sqref="Q364">
    <cfRule type="duplicateValues" dxfId="334" priority="204"/>
  </conditionalFormatting>
  <conditionalFormatting sqref="Q369:Q397">
    <cfRule type="duplicateValues" dxfId="333" priority="216"/>
  </conditionalFormatting>
  <conditionalFormatting sqref="Q398">
    <cfRule type="duplicateValues" dxfId="332" priority="212"/>
  </conditionalFormatting>
  <conditionalFormatting sqref="T37:T50">
    <cfRule type="duplicateValues" dxfId="331" priority="354"/>
  </conditionalFormatting>
  <conditionalFormatting sqref="T51">
    <cfRule type="duplicateValues" dxfId="330" priority="383"/>
  </conditionalFormatting>
  <conditionalFormatting sqref="T52">
    <cfRule type="duplicateValues" dxfId="329" priority="380"/>
  </conditionalFormatting>
  <conditionalFormatting sqref="T53">
    <cfRule type="duplicateValues" dxfId="328" priority="377"/>
  </conditionalFormatting>
  <conditionalFormatting sqref="T54">
    <cfRule type="duplicateValues" dxfId="327" priority="373"/>
  </conditionalFormatting>
  <conditionalFormatting sqref="T55">
    <cfRule type="duplicateValues" dxfId="326" priority="370"/>
  </conditionalFormatting>
  <conditionalFormatting sqref="T56">
    <cfRule type="duplicateValues" dxfId="325" priority="367"/>
  </conditionalFormatting>
  <conditionalFormatting sqref="T57">
    <cfRule type="duplicateValues" dxfId="324" priority="364"/>
  </conditionalFormatting>
  <conditionalFormatting sqref="T58">
    <cfRule type="duplicateValues" dxfId="323" priority="361"/>
  </conditionalFormatting>
  <conditionalFormatting sqref="T59">
    <cfRule type="duplicateValues" dxfId="322" priority="358"/>
  </conditionalFormatting>
  <conditionalFormatting sqref="T60:T68">
    <cfRule type="duplicateValues" dxfId="321" priority="351"/>
  </conditionalFormatting>
  <conditionalFormatting sqref="T71:T83">
    <cfRule type="duplicateValues" dxfId="320" priority="315"/>
  </conditionalFormatting>
  <conditionalFormatting sqref="T84">
    <cfRule type="duplicateValues" dxfId="319" priority="347"/>
  </conditionalFormatting>
  <conditionalFormatting sqref="T85">
    <cfRule type="duplicateValues" dxfId="318" priority="344"/>
  </conditionalFormatting>
  <conditionalFormatting sqref="T86">
    <cfRule type="duplicateValues" dxfId="317" priority="341"/>
  </conditionalFormatting>
  <conditionalFormatting sqref="T87">
    <cfRule type="duplicateValues" dxfId="316" priority="338"/>
  </conditionalFormatting>
  <conditionalFormatting sqref="T88">
    <cfRule type="duplicateValues" dxfId="315" priority="335"/>
  </conditionalFormatting>
  <conditionalFormatting sqref="T89">
    <cfRule type="duplicateValues" dxfId="314" priority="332"/>
  </conditionalFormatting>
  <conditionalFormatting sqref="T90">
    <cfRule type="duplicateValues" dxfId="313" priority="329"/>
  </conditionalFormatting>
  <conditionalFormatting sqref="T91">
    <cfRule type="duplicateValues" dxfId="312" priority="326"/>
  </conditionalFormatting>
  <conditionalFormatting sqref="T92">
    <cfRule type="duplicateValues" dxfId="311" priority="323"/>
  </conditionalFormatting>
  <conditionalFormatting sqref="T93">
    <cfRule type="duplicateValues" dxfId="310" priority="319"/>
  </conditionalFormatting>
  <conditionalFormatting sqref="T94">
    <cfRule type="duplicateValues" dxfId="309" priority="311"/>
  </conditionalFormatting>
  <conditionalFormatting sqref="T95">
    <cfRule type="duplicateValues" dxfId="308" priority="307"/>
  </conditionalFormatting>
  <conditionalFormatting sqref="T96">
    <cfRule type="duplicateValues" dxfId="307" priority="190"/>
  </conditionalFormatting>
  <conditionalFormatting sqref="T97:T98">
    <cfRule type="duplicateValues" dxfId="306" priority="189"/>
  </conditionalFormatting>
  <conditionalFormatting sqref="T99:T100">
    <cfRule type="duplicateValues" dxfId="305" priority="188"/>
  </conditionalFormatting>
  <conditionalFormatting sqref="T101">
    <cfRule type="duplicateValues" dxfId="304" priority="187"/>
  </conditionalFormatting>
  <conditionalFormatting sqref="T105:T115">
    <cfRule type="duplicateValues" dxfId="303" priority="272"/>
  </conditionalFormatting>
  <conditionalFormatting sqref="T116">
    <cfRule type="duplicateValues" dxfId="302" priority="300"/>
  </conditionalFormatting>
  <conditionalFormatting sqref="T117">
    <cfRule type="duplicateValues" dxfId="301" priority="297"/>
  </conditionalFormatting>
  <conditionalFormatting sqref="T118">
    <cfRule type="duplicateValues" dxfId="300" priority="294"/>
  </conditionalFormatting>
  <conditionalFormatting sqref="T119">
    <cfRule type="duplicateValues" dxfId="299" priority="291"/>
  </conditionalFormatting>
  <conditionalFormatting sqref="T120">
    <cfRule type="duplicateValues" dxfId="298" priority="288"/>
  </conditionalFormatting>
  <conditionalFormatting sqref="T121">
    <cfRule type="duplicateValues" dxfId="297" priority="285"/>
  </conditionalFormatting>
  <conditionalFormatting sqref="T122">
    <cfRule type="duplicateValues" dxfId="296" priority="282"/>
  </conditionalFormatting>
  <conditionalFormatting sqref="T123">
    <cfRule type="duplicateValues" dxfId="295" priority="279"/>
  </conditionalFormatting>
  <conditionalFormatting sqref="T124">
    <cfRule type="duplicateValues" dxfId="294" priority="276"/>
  </conditionalFormatting>
  <conditionalFormatting sqref="T125">
    <cfRule type="duplicateValues" dxfId="293" priority="268"/>
  </conditionalFormatting>
  <conditionalFormatting sqref="T126">
    <cfRule type="duplicateValues" dxfId="292" priority="264"/>
  </conditionalFormatting>
  <conditionalFormatting sqref="T127">
    <cfRule type="duplicateValues" dxfId="291" priority="260"/>
  </conditionalFormatting>
  <conditionalFormatting sqref="T128">
    <cfRule type="duplicateValues" dxfId="290" priority="257"/>
  </conditionalFormatting>
  <conditionalFormatting sqref="T129">
    <cfRule type="duplicateValues" dxfId="289" priority="37"/>
  </conditionalFormatting>
  <conditionalFormatting sqref="T130">
    <cfRule type="duplicateValues" dxfId="288" priority="34"/>
  </conditionalFormatting>
  <conditionalFormatting sqref="T131">
    <cfRule type="duplicateValues" dxfId="287" priority="31"/>
  </conditionalFormatting>
  <conditionalFormatting sqref="T132">
    <cfRule type="duplicateValues" dxfId="286" priority="28"/>
  </conditionalFormatting>
  <conditionalFormatting sqref="T133">
    <cfRule type="duplicateValues" dxfId="285" priority="25"/>
  </conditionalFormatting>
  <conditionalFormatting sqref="T134">
    <cfRule type="duplicateValues" dxfId="284" priority="22"/>
  </conditionalFormatting>
  <conditionalFormatting sqref="U54:U60">
    <cfRule type="duplicateValues" dxfId="283" priority="387"/>
  </conditionalFormatting>
  <conditionalFormatting sqref="AB37:AB50">
    <cfRule type="duplicateValues" dxfId="282" priority="183"/>
  </conditionalFormatting>
  <conditionalFormatting sqref="AB51:AB53">
    <cfRule type="duplicateValues" dxfId="281" priority="185"/>
  </conditionalFormatting>
  <conditionalFormatting sqref="AB54:AB58">
    <cfRule type="duplicateValues" dxfId="280" priority="184"/>
  </conditionalFormatting>
  <conditionalFormatting sqref="AB59:AB68">
    <cfRule type="duplicateValues" dxfId="279" priority="186"/>
  </conditionalFormatting>
  <conditionalFormatting sqref="AB71:AB83">
    <cfRule type="duplicateValues" dxfId="278" priority="147"/>
  </conditionalFormatting>
  <conditionalFormatting sqref="AB84:AB92">
    <cfRule type="duplicateValues" dxfId="277" priority="149"/>
  </conditionalFormatting>
  <conditionalFormatting sqref="AB93">
    <cfRule type="duplicateValues" dxfId="276" priority="148"/>
  </conditionalFormatting>
  <conditionalFormatting sqref="AB94">
    <cfRule type="duplicateValues" dxfId="275" priority="146"/>
  </conditionalFormatting>
  <conditionalFormatting sqref="AB95">
    <cfRule type="duplicateValues" dxfId="274" priority="145"/>
  </conditionalFormatting>
  <conditionalFormatting sqref="AB96">
    <cfRule type="duplicateValues" dxfId="273" priority="144"/>
  </conditionalFormatting>
  <conditionalFormatting sqref="AB97:AB98">
    <cfRule type="duplicateValues" dxfId="272" priority="143"/>
  </conditionalFormatting>
  <conditionalFormatting sqref="AB99:AB100">
    <cfRule type="duplicateValues" dxfId="271" priority="142"/>
  </conditionalFormatting>
  <conditionalFormatting sqref="AB101">
    <cfRule type="duplicateValues" dxfId="270" priority="141"/>
  </conditionalFormatting>
  <conditionalFormatting sqref="AB105:AB115">
    <cfRule type="duplicateValues" dxfId="269" priority="88"/>
  </conditionalFormatting>
  <conditionalFormatting sqref="AB116:AB124">
    <cfRule type="duplicateValues" dxfId="268" priority="89"/>
  </conditionalFormatting>
  <conditionalFormatting sqref="AB125">
    <cfRule type="duplicateValues" dxfId="267" priority="87"/>
  </conditionalFormatting>
  <conditionalFormatting sqref="AB126">
    <cfRule type="duplicateValues" dxfId="266" priority="86"/>
  </conditionalFormatting>
  <conditionalFormatting sqref="AB127:AB128">
    <cfRule type="duplicateValues" dxfId="265" priority="85"/>
  </conditionalFormatting>
  <conditionalFormatting sqref="AB129:AB130">
    <cfRule type="duplicateValues" dxfId="264" priority="84"/>
  </conditionalFormatting>
  <conditionalFormatting sqref="AB131:AB132">
    <cfRule type="duplicateValues" dxfId="263" priority="83"/>
  </conditionalFormatting>
  <conditionalFormatting sqref="AB133:AB134">
    <cfRule type="duplicateValues" dxfId="262" priority="82"/>
  </conditionalFormatting>
  <conditionalFormatting sqref="AC51:AC53">
    <cfRule type="duplicateValues" dxfId="261" priority="20"/>
  </conditionalFormatting>
  <conditionalFormatting sqref="AC54:AC60">
    <cfRule type="duplicateValues" dxfId="260" priority="21"/>
  </conditionalFormatting>
  <conditionalFormatting sqref="AC50:AF50">
    <cfRule type="duplicateValues" dxfId="259" priority="19"/>
  </conditionalFormatting>
  <conditionalFormatting sqref="AD41:AF41">
    <cfRule type="duplicateValues" dxfId="258" priority="14"/>
  </conditionalFormatting>
  <conditionalFormatting sqref="AD57:AF59">
    <cfRule type="duplicateValues" dxfId="257" priority="13"/>
  </conditionalFormatting>
  <conditionalFormatting sqref="AG294:AG316">
    <cfRule type="duplicateValues" dxfId="256" priority="251"/>
  </conditionalFormatting>
  <conditionalFormatting sqref="AG317 AG319">
    <cfRule type="duplicateValues" dxfId="255" priority="245"/>
  </conditionalFormatting>
  <conditionalFormatting sqref="AG318">
    <cfRule type="duplicateValues" dxfId="254" priority="248"/>
  </conditionalFormatting>
  <conditionalFormatting sqref="AG320">
    <cfRule type="duplicateValues" dxfId="253" priority="238"/>
  </conditionalFormatting>
  <conditionalFormatting sqref="AG321">
    <cfRule type="duplicateValues" dxfId="252" priority="234"/>
  </conditionalFormatting>
  <conditionalFormatting sqref="AG322">
    <cfRule type="duplicateValues" dxfId="251" priority="230"/>
  </conditionalFormatting>
  <conditionalFormatting sqref="AG323">
    <cfRule type="duplicateValues" dxfId="250" priority="226"/>
  </conditionalFormatting>
  <conditionalFormatting sqref="AG324">
    <cfRule type="duplicateValues" dxfId="249" priority="222"/>
  </conditionalFormatting>
  <conditionalFormatting sqref="AG325">
    <cfRule type="duplicateValues" dxfId="248" priority="218"/>
  </conditionalFormatting>
  <conditionalFormatting sqref="AG334:AG362">
    <cfRule type="duplicateValues" dxfId="247" priority="208"/>
  </conditionalFormatting>
  <conditionalFormatting sqref="AG364">
    <cfRule type="duplicateValues" dxfId="246" priority="203"/>
  </conditionalFormatting>
  <conditionalFormatting sqref="AG369:AG398">
    <cfRule type="duplicateValues" dxfId="245" priority="214"/>
  </conditionalFormatting>
  <conditionalFormatting sqref="AH37:AH50">
    <cfRule type="duplicateValues" dxfId="244" priority="173"/>
  </conditionalFormatting>
  <conditionalFormatting sqref="AH51">
    <cfRule type="duplicateValues" dxfId="243" priority="182"/>
  </conditionalFormatting>
  <conditionalFormatting sqref="AH52">
    <cfRule type="duplicateValues" dxfId="242" priority="181"/>
  </conditionalFormatting>
  <conditionalFormatting sqref="AH53">
    <cfRule type="duplicateValues" dxfId="241" priority="180"/>
  </conditionalFormatting>
  <conditionalFormatting sqref="AH54">
    <cfRule type="duplicateValues" dxfId="240" priority="179"/>
  </conditionalFormatting>
  <conditionalFormatting sqref="AH55">
    <cfRule type="duplicateValues" dxfId="239" priority="178"/>
  </conditionalFormatting>
  <conditionalFormatting sqref="AH56">
    <cfRule type="duplicateValues" dxfId="238" priority="177"/>
  </conditionalFormatting>
  <conditionalFormatting sqref="AH57">
    <cfRule type="duplicateValues" dxfId="237" priority="176"/>
  </conditionalFormatting>
  <conditionalFormatting sqref="AH58">
    <cfRule type="duplicateValues" dxfId="236" priority="175"/>
  </conditionalFormatting>
  <conditionalFormatting sqref="AH59">
    <cfRule type="duplicateValues" dxfId="235" priority="174"/>
  </conditionalFormatting>
  <conditionalFormatting sqref="AH60:AH68">
    <cfRule type="duplicateValues" dxfId="234" priority="172"/>
  </conditionalFormatting>
  <conditionalFormatting sqref="AH71:AH83">
    <cfRule type="duplicateValues" dxfId="233" priority="130"/>
  </conditionalFormatting>
  <conditionalFormatting sqref="AH84">
    <cfRule type="duplicateValues" dxfId="232" priority="140"/>
  </conditionalFormatting>
  <conditionalFormatting sqref="AH85">
    <cfRule type="duplicateValues" dxfId="231" priority="139"/>
  </conditionalFormatting>
  <conditionalFormatting sqref="AH86">
    <cfRule type="duplicateValues" dxfId="230" priority="138"/>
  </conditionalFormatting>
  <conditionalFormatting sqref="AH87">
    <cfRule type="duplicateValues" dxfId="229" priority="137"/>
  </conditionalFormatting>
  <conditionalFormatting sqref="AH88">
    <cfRule type="duplicateValues" dxfId="228" priority="136"/>
  </conditionalFormatting>
  <conditionalFormatting sqref="AH89">
    <cfRule type="duplicateValues" dxfId="227" priority="135"/>
  </conditionalFormatting>
  <conditionalFormatting sqref="AH90">
    <cfRule type="duplicateValues" dxfId="226" priority="134"/>
  </conditionalFormatting>
  <conditionalFormatting sqref="AH91">
    <cfRule type="duplicateValues" dxfId="225" priority="133"/>
  </conditionalFormatting>
  <conditionalFormatting sqref="AH92">
    <cfRule type="duplicateValues" dxfId="224" priority="132"/>
  </conditionalFormatting>
  <conditionalFormatting sqref="AH93">
    <cfRule type="duplicateValues" dxfId="223" priority="131"/>
  </conditionalFormatting>
  <conditionalFormatting sqref="AH94">
    <cfRule type="duplicateValues" dxfId="222" priority="129"/>
  </conditionalFormatting>
  <conditionalFormatting sqref="AH95">
    <cfRule type="duplicateValues" dxfId="221" priority="128"/>
  </conditionalFormatting>
  <conditionalFormatting sqref="AH96">
    <cfRule type="duplicateValues" dxfId="220" priority="127"/>
  </conditionalFormatting>
  <conditionalFormatting sqref="AH97:AH98">
    <cfRule type="duplicateValues" dxfId="219" priority="126"/>
  </conditionalFormatting>
  <conditionalFormatting sqref="AH99:AH100">
    <cfRule type="duplicateValues" dxfId="218" priority="125"/>
  </conditionalFormatting>
  <conditionalFormatting sqref="AH101">
    <cfRule type="duplicateValues" dxfId="217" priority="124"/>
  </conditionalFormatting>
  <conditionalFormatting sqref="AH105:AH115">
    <cfRule type="duplicateValues" dxfId="216" priority="72"/>
  </conditionalFormatting>
  <conditionalFormatting sqref="AH116">
    <cfRule type="duplicateValues" dxfId="215" priority="81"/>
  </conditionalFormatting>
  <conditionalFormatting sqref="AH117">
    <cfRule type="duplicateValues" dxfId="214" priority="80"/>
  </conditionalFormatting>
  <conditionalFormatting sqref="AH118">
    <cfRule type="duplicateValues" dxfId="213" priority="79"/>
  </conditionalFormatting>
  <conditionalFormatting sqref="AH119">
    <cfRule type="duplicateValues" dxfId="212" priority="78"/>
  </conditionalFormatting>
  <conditionalFormatting sqref="AH120">
    <cfRule type="duplicateValues" dxfId="211" priority="77"/>
  </conditionalFormatting>
  <conditionalFormatting sqref="AH121">
    <cfRule type="duplicateValues" dxfId="210" priority="76"/>
  </conditionalFormatting>
  <conditionalFormatting sqref="AH122">
    <cfRule type="duplicateValues" dxfId="209" priority="75"/>
  </conditionalFormatting>
  <conditionalFormatting sqref="AH123">
    <cfRule type="duplicateValues" dxfId="208" priority="74"/>
  </conditionalFormatting>
  <conditionalFormatting sqref="AH124">
    <cfRule type="duplicateValues" dxfId="207" priority="73"/>
  </conditionalFormatting>
  <conditionalFormatting sqref="AH125">
    <cfRule type="duplicateValues" dxfId="206" priority="71"/>
  </conditionalFormatting>
  <conditionalFormatting sqref="AH126">
    <cfRule type="duplicateValues" dxfId="205" priority="70"/>
  </conditionalFormatting>
  <conditionalFormatting sqref="AH127">
    <cfRule type="duplicateValues" dxfId="204" priority="69"/>
  </conditionalFormatting>
  <conditionalFormatting sqref="AH128">
    <cfRule type="duplicateValues" dxfId="203" priority="68"/>
  </conditionalFormatting>
  <conditionalFormatting sqref="AH129:AH130">
    <cfRule type="duplicateValues" dxfId="202" priority="9"/>
  </conditionalFormatting>
  <conditionalFormatting sqref="AH131:AH132">
    <cfRule type="duplicateValues" dxfId="201" priority="8"/>
  </conditionalFormatting>
  <conditionalFormatting sqref="AH133:AH134">
    <cfRule type="duplicateValues" dxfId="200" priority="7"/>
  </conditionalFormatting>
  <conditionalFormatting sqref="AI50">
    <cfRule type="duplicateValues" dxfId="199" priority="17"/>
  </conditionalFormatting>
  <conditionalFormatting sqref="AI54:AI60">
    <cfRule type="duplicateValues" dxfId="198" priority="18"/>
  </conditionalFormatting>
  <conditionalFormatting sqref="AJ59:AL59">
    <cfRule type="duplicateValues" dxfId="197" priority="12"/>
  </conditionalFormatting>
  <conditionalFormatting sqref="AJ61:AL68">
    <cfRule type="duplicateValues" dxfId="196" priority="11"/>
  </conditionalFormatting>
  <conditionalFormatting sqref="AN37:AN50">
    <cfRule type="duplicateValues" dxfId="195" priority="162"/>
  </conditionalFormatting>
  <conditionalFormatting sqref="AN51">
    <cfRule type="duplicateValues" dxfId="194" priority="171"/>
  </conditionalFormatting>
  <conditionalFormatting sqref="AN52">
    <cfRule type="duplicateValues" dxfId="193" priority="170"/>
  </conditionalFormatting>
  <conditionalFormatting sqref="AN53">
    <cfRule type="duplicateValues" dxfId="192" priority="169"/>
  </conditionalFormatting>
  <conditionalFormatting sqref="AN54">
    <cfRule type="duplicateValues" dxfId="191" priority="168"/>
  </conditionalFormatting>
  <conditionalFormatting sqref="AN55">
    <cfRule type="duplicateValues" dxfId="190" priority="167"/>
  </conditionalFormatting>
  <conditionalFormatting sqref="AN56">
    <cfRule type="duplicateValues" dxfId="189" priority="166"/>
  </conditionalFormatting>
  <conditionalFormatting sqref="AN57">
    <cfRule type="duplicateValues" dxfId="188" priority="165"/>
  </conditionalFormatting>
  <conditionalFormatting sqref="AN58">
    <cfRule type="duplicateValues" dxfId="187" priority="164"/>
  </conditionalFormatting>
  <conditionalFormatting sqref="AN59">
    <cfRule type="duplicateValues" dxfId="186" priority="163"/>
  </conditionalFormatting>
  <conditionalFormatting sqref="AN60:AN68">
    <cfRule type="duplicateValues" dxfId="185" priority="161"/>
  </conditionalFormatting>
  <conditionalFormatting sqref="AN71:AN83">
    <cfRule type="duplicateValues" dxfId="184" priority="113"/>
  </conditionalFormatting>
  <conditionalFormatting sqref="AN84">
    <cfRule type="duplicateValues" dxfId="183" priority="123"/>
  </conditionalFormatting>
  <conditionalFormatting sqref="AN85">
    <cfRule type="duplicateValues" dxfId="182" priority="122"/>
  </conditionalFormatting>
  <conditionalFormatting sqref="AN86">
    <cfRule type="duplicateValues" dxfId="181" priority="121"/>
  </conditionalFormatting>
  <conditionalFormatting sqref="AN87">
    <cfRule type="duplicateValues" dxfId="180" priority="120"/>
  </conditionalFormatting>
  <conditionalFormatting sqref="AN88">
    <cfRule type="duplicateValues" dxfId="179" priority="119"/>
  </conditionalFormatting>
  <conditionalFormatting sqref="AN89">
    <cfRule type="duplicateValues" dxfId="178" priority="118"/>
  </conditionalFormatting>
  <conditionalFormatting sqref="AN90">
    <cfRule type="duplicateValues" dxfId="177" priority="117"/>
  </conditionalFormatting>
  <conditionalFormatting sqref="AN91">
    <cfRule type="duplicateValues" dxfId="176" priority="116"/>
  </conditionalFormatting>
  <conditionalFormatting sqref="AN92">
    <cfRule type="duplicateValues" dxfId="175" priority="115"/>
  </conditionalFormatting>
  <conditionalFormatting sqref="AN93">
    <cfRule type="duplicateValues" dxfId="174" priority="114"/>
  </conditionalFormatting>
  <conditionalFormatting sqref="AN94">
    <cfRule type="duplicateValues" dxfId="173" priority="112"/>
  </conditionalFormatting>
  <conditionalFormatting sqref="AN95">
    <cfRule type="duplicateValues" dxfId="172" priority="111"/>
  </conditionalFormatting>
  <conditionalFormatting sqref="AN96">
    <cfRule type="duplicateValues" dxfId="171" priority="110"/>
  </conditionalFormatting>
  <conditionalFormatting sqref="AN97:AN98">
    <cfRule type="duplicateValues" dxfId="170" priority="109"/>
  </conditionalFormatting>
  <conditionalFormatting sqref="AN99:AN100">
    <cfRule type="duplicateValues" dxfId="169" priority="108"/>
  </conditionalFormatting>
  <conditionalFormatting sqref="AN101">
    <cfRule type="duplicateValues" dxfId="168" priority="107"/>
  </conditionalFormatting>
  <conditionalFormatting sqref="AN105:AN115">
    <cfRule type="duplicateValues" dxfId="167" priority="58"/>
  </conditionalFormatting>
  <conditionalFormatting sqref="AN116">
    <cfRule type="duplicateValues" dxfId="166" priority="67"/>
  </conditionalFormatting>
  <conditionalFormatting sqref="AN117">
    <cfRule type="duplicateValues" dxfId="165" priority="66"/>
  </conditionalFormatting>
  <conditionalFormatting sqref="AN118">
    <cfRule type="duplicateValues" dxfId="164" priority="65"/>
  </conditionalFormatting>
  <conditionalFormatting sqref="AN119">
    <cfRule type="duplicateValues" dxfId="163" priority="64"/>
  </conditionalFormatting>
  <conditionalFormatting sqref="AN120">
    <cfRule type="duplicateValues" dxfId="162" priority="63"/>
  </conditionalFormatting>
  <conditionalFormatting sqref="AN121">
    <cfRule type="duplicateValues" dxfId="161" priority="62"/>
  </conditionalFormatting>
  <conditionalFormatting sqref="AN122">
    <cfRule type="duplicateValues" dxfId="160" priority="61"/>
  </conditionalFormatting>
  <conditionalFormatting sqref="AN123">
    <cfRule type="duplicateValues" dxfId="159" priority="60"/>
  </conditionalFormatting>
  <conditionalFormatting sqref="AN124">
    <cfRule type="duplicateValues" dxfId="158" priority="59"/>
  </conditionalFormatting>
  <conditionalFormatting sqref="AN125">
    <cfRule type="duplicateValues" dxfId="157" priority="57"/>
  </conditionalFormatting>
  <conditionalFormatting sqref="AN126">
    <cfRule type="duplicateValues" dxfId="156" priority="56"/>
  </conditionalFormatting>
  <conditionalFormatting sqref="AN127">
    <cfRule type="duplicateValues" dxfId="155" priority="55"/>
  </conditionalFormatting>
  <conditionalFormatting sqref="AN128">
    <cfRule type="duplicateValues" dxfId="154" priority="54"/>
  </conditionalFormatting>
  <conditionalFormatting sqref="AN129:AN130">
    <cfRule type="duplicateValues" dxfId="153" priority="6"/>
  </conditionalFormatting>
  <conditionalFormatting sqref="AN131:AN132">
    <cfRule type="duplicateValues" dxfId="152" priority="5"/>
  </conditionalFormatting>
  <conditionalFormatting sqref="AN133:AN134">
    <cfRule type="duplicateValues" dxfId="151" priority="4"/>
  </conditionalFormatting>
  <conditionalFormatting sqref="AO54:AO59">
    <cfRule type="duplicateValues" dxfId="150" priority="16"/>
  </conditionalFormatting>
  <conditionalFormatting sqref="AU37:AU50">
    <cfRule type="duplicateValues" dxfId="149" priority="151"/>
  </conditionalFormatting>
  <conditionalFormatting sqref="AU51">
    <cfRule type="duplicateValues" dxfId="148" priority="160"/>
  </conditionalFormatting>
  <conditionalFormatting sqref="AU52">
    <cfRule type="duplicateValues" dxfId="147" priority="159"/>
  </conditionalFormatting>
  <conditionalFormatting sqref="AU53">
    <cfRule type="duplicateValues" dxfId="146" priority="158"/>
  </conditionalFormatting>
  <conditionalFormatting sqref="AU54">
    <cfRule type="duplicateValues" dxfId="145" priority="157"/>
  </conditionalFormatting>
  <conditionalFormatting sqref="AU55">
    <cfRule type="duplicateValues" dxfId="144" priority="156"/>
  </conditionalFormatting>
  <conditionalFormatting sqref="AU56">
    <cfRule type="duplicateValues" dxfId="143" priority="155"/>
  </conditionalFormatting>
  <conditionalFormatting sqref="AU57">
    <cfRule type="duplicateValues" dxfId="142" priority="154"/>
  </conditionalFormatting>
  <conditionalFormatting sqref="AU58">
    <cfRule type="duplicateValues" dxfId="141" priority="153"/>
  </conditionalFormatting>
  <conditionalFormatting sqref="AU59">
    <cfRule type="duplicateValues" dxfId="140" priority="152"/>
  </conditionalFormatting>
  <conditionalFormatting sqref="AU60:AU68">
    <cfRule type="duplicateValues" dxfId="139" priority="150"/>
  </conditionalFormatting>
  <conditionalFormatting sqref="AU71:AU83">
    <cfRule type="duplicateValues" dxfId="138" priority="96"/>
  </conditionalFormatting>
  <conditionalFormatting sqref="AU84">
    <cfRule type="duplicateValues" dxfId="137" priority="106"/>
  </conditionalFormatting>
  <conditionalFormatting sqref="AU85">
    <cfRule type="duplicateValues" dxfId="136" priority="105"/>
  </conditionalFormatting>
  <conditionalFormatting sqref="AU86">
    <cfRule type="duplicateValues" dxfId="135" priority="104"/>
  </conditionalFormatting>
  <conditionalFormatting sqref="AU87">
    <cfRule type="duplicateValues" dxfId="134" priority="103"/>
  </conditionalFormatting>
  <conditionalFormatting sqref="AU88">
    <cfRule type="duplicateValues" dxfId="133" priority="102"/>
  </conditionalFormatting>
  <conditionalFormatting sqref="AU89">
    <cfRule type="duplicateValues" dxfId="132" priority="101"/>
  </conditionalFormatting>
  <conditionalFormatting sqref="AU90">
    <cfRule type="duplicateValues" dxfId="131" priority="100"/>
  </conditionalFormatting>
  <conditionalFormatting sqref="AU91">
    <cfRule type="duplicateValues" dxfId="130" priority="99"/>
  </conditionalFormatting>
  <conditionalFormatting sqref="AU92">
    <cfRule type="duplicateValues" dxfId="129" priority="98"/>
  </conditionalFormatting>
  <conditionalFormatting sqref="AU93">
    <cfRule type="duplicateValues" dxfId="128" priority="97"/>
  </conditionalFormatting>
  <conditionalFormatting sqref="AU94">
    <cfRule type="duplicateValues" dxfId="127" priority="95"/>
  </conditionalFormatting>
  <conditionalFormatting sqref="AU95">
    <cfRule type="duplicateValues" dxfId="126" priority="94"/>
  </conditionalFormatting>
  <conditionalFormatting sqref="AU96">
    <cfRule type="duplicateValues" dxfId="125" priority="93"/>
  </conditionalFormatting>
  <conditionalFormatting sqref="AU97:AU98">
    <cfRule type="duplicateValues" dxfId="124" priority="92"/>
  </conditionalFormatting>
  <conditionalFormatting sqref="AU99:AU100">
    <cfRule type="duplicateValues" dxfId="123" priority="91"/>
  </conditionalFormatting>
  <conditionalFormatting sqref="AU101">
    <cfRule type="duplicateValues" dxfId="122" priority="90"/>
  </conditionalFormatting>
  <conditionalFormatting sqref="AU105:AU115">
    <cfRule type="duplicateValues" dxfId="121" priority="44"/>
  </conditionalFormatting>
  <conditionalFormatting sqref="AU116">
    <cfRule type="duplicateValues" dxfId="120" priority="53"/>
  </conditionalFormatting>
  <conditionalFormatting sqref="AU117">
    <cfRule type="duplicateValues" dxfId="119" priority="52"/>
  </conditionalFormatting>
  <conditionalFormatting sqref="AU118">
    <cfRule type="duplicateValues" dxfId="118" priority="51"/>
  </conditionalFormatting>
  <conditionalFormatting sqref="AU119">
    <cfRule type="duplicateValues" dxfId="117" priority="50"/>
  </conditionalFormatting>
  <conditionalFormatting sqref="AU120">
    <cfRule type="duplicateValues" dxfId="116" priority="49"/>
  </conditionalFormatting>
  <conditionalFormatting sqref="AU121">
    <cfRule type="duplicateValues" dxfId="115" priority="48"/>
  </conditionalFormatting>
  <conditionalFormatting sqref="AU122">
    <cfRule type="duplicateValues" dxfId="114" priority="47"/>
  </conditionalFormatting>
  <conditionalFormatting sqref="AU123">
    <cfRule type="duplicateValues" dxfId="113" priority="46"/>
  </conditionalFormatting>
  <conditionalFormatting sqref="AU124">
    <cfRule type="duplicateValues" dxfId="112" priority="45"/>
  </conditionalFormatting>
  <conditionalFormatting sqref="AU125">
    <cfRule type="duplicateValues" dxfId="111" priority="43"/>
  </conditionalFormatting>
  <conditionalFormatting sqref="AU126">
    <cfRule type="duplicateValues" dxfId="110" priority="42"/>
  </conditionalFormatting>
  <conditionalFormatting sqref="AU127">
    <cfRule type="duplicateValues" dxfId="109" priority="41"/>
  </conditionalFormatting>
  <conditionalFormatting sqref="AU128">
    <cfRule type="duplicateValues" dxfId="108" priority="40"/>
  </conditionalFormatting>
  <conditionalFormatting sqref="AU129:AU130">
    <cfRule type="duplicateValues" dxfId="107" priority="3"/>
  </conditionalFormatting>
  <conditionalFormatting sqref="AU131:AU132">
    <cfRule type="duplicateValues" dxfId="106" priority="2"/>
  </conditionalFormatting>
  <conditionalFormatting sqref="AU133:AU134">
    <cfRule type="duplicateValues" dxfId="105" priority="1"/>
  </conditionalFormatting>
  <conditionalFormatting sqref="AV54:AV58">
    <cfRule type="duplicateValues" dxfId="104" priority="15"/>
  </conditionalFormatting>
  <conditionalFormatting sqref="AW62:AY68">
    <cfRule type="duplicateValues" dxfId="103" priority="10"/>
  </conditionalFormatting>
  <conditionalFormatting sqref="AX294:AX316">
    <cfRule type="duplicateValues" dxfId="102" priority="250"/>
  </conditionalFormatting>
  <conditionalFormatting sqref="AX317 AX319">
    <cfRule type="duplicateValues" dxfId="101" priority="244"/>
  </conditionalFormatting>
  <conditionalFormatting sqref="AX318">
    <cfRule type="duplicateValues" dxfId="100" priority="249"/>
  </conditionalFormatting>
  <conditionalFormatting sqref="AX320">
    <cfRule type="duplicateValues" dxfId="99" priority="237"/>
  </conditionalFormatting>
  <conditionalFormatting sqref="AX321">
    <cfRule type="duplicateValues" dxfId="98" priority="233"/>
  </conditionalFormatting>
  <conditionalFormatting sqref="AX322">
    <cfRule type="duplicateValues" dxfId="97" priority="229"/>
  </conditionalFormatting>
  <conditionalFormatting sqref="AX323">
    <cfRule type="duplicateValues" dxfId="96" priority="225"/>
  </conditionalFormatting>
  <conditionalFormatting sqref="AX324">
    <cfRule type="duplicateValues" dxfId="95" priority="221"/>
  </conditionalFormatting>
  <conditionalFormatting sqref="AX325">
    <cfRule type="duplicateValues" dxfId="94" priority="217"/>
  </conditionalFormatting>
  <conditionalFormatting sqref="AX334:AX362">
    <cfRule type="duplicateValues" dxfId="93" priority="207"/>
  </conditionalFormatting>
  <conditionalFormatting sqref="AX369:AX398">
    <cfRule type="duplicateValues" dxfId="92" priority="2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D48A-EC32-40E7-AD6C-3C48A1D9104E}">
  <dimension ref="A1:S135"/>
  <sheetViews>
    <sheetView workbookViewId="0">
      <selection activeCell="Q128" activeCellId="2" sqref="G128:I128 L128:N128 Q128:S128"/>
    </sheetView>
  </sheetViews>
  <sheetFormatPr defaultRowHeight="14.4" x14ac:dyDescent="0.3"/>
  <cols>
    <col min="1" max="1" width="10.21875" bestFit="1" customWidth="1"/>
    <col min="2" max="2" width="10.77734375" bestFit="1" customWidth="1"/>
    <col min="3" max="3" width="10" bestFit="1" customWidth="1"/>
    <col min="4" max="4" width="13.5546875" bestFit="1" customWidth="1"/>
    <col min="6" max="6" width="10.21875" bestFit="1" customWidth="1"/>
    <col min="9" max="9" width="12" bestFit="1" customWidth="1"/>
    <col min="11" max="11" width="10.21875" bestFit="1" customWidth="1"/>
    <col min="12" max="13" width="9" bestFit="1" customWidth="1"/>
    <col min="14" max="14" width="12" bestFit="1" customWidth="1"/>
  </cols>
  <sheetData>
    <row r="1" spans="1:19" ht="27.6" x14ac:dyDescent="0.3">
      <c r="A1" s="60"/>
      <c r="B1" s="66" t="s">
        <v>191</v>
      </c>
      <c r="C1" s="66" t="s">
        <v>192</v>
      </c>
      <c r="D1" s="66" t="s">
        <v>193</v>
      </c>
      <c r="F1" s="60"/>
      <c r="G1" s="66" t="s">
        <v>194</v>
      </c>
      <c r="H1" s="66" t="s">
        <v>195</v>
      </c>
      <c r="I1" s="66" t="s">
        <v>196</v>
      </c>
      <c r="K1" s="60"/>
      <c r="L1" s="66" t="s">
        <v>197</v>
      </c>
      <c r="M1" s="66" t="s">
        <v>198</v>
      </c>
      <c r="N1" s="66" t="s">
        <v>199</v>
      </c>
      <c r="Q1" t="s">
        <v>200</v>
      </c>
      <c r="R1" t="s">
        <v>201</v>
      </c>
      <c r="S1" t="s">
        <v>202</v>
      </c>
    </row>
    <row r="2" spans="1:19" x14ac:dyDescent="0.3">
      <c r="A2" s="7">
        <v>433</v>
      </c>
      <c r="B2" s="67">
        <v>0.18747900000000001</v>
      </c>
      <c r="C2" s="67">
        <v>7.659E-3</v>
      </c>
      <c r="D2" s="67">
        <v>1.3603907637655419E-3</v>
      </c>
      <c r="F2" s="7">
        <v>433</v>
      </c>
      <c r="G2" s="67">
        <v>0.23736000000000002</v>
      </c>
      <c r="H2" s="67">
        <v>0.44344</v>
      </c>
      <c r="I2" s="67">
        <v>9.8489626556016591E-3</v>
      </c>
      <c r="K2" s="7">
        <v>433</v>
      </c>
      <c r="L2" s="67">
        <v>0.43309999999999993</v>
      </c>
      <c r="M2" s="67">
        <v>3.5499999999999997E-2</v>
      </c>
      <c r="N2" s="67">
        <v>2.9098360655737702E-3</v>
      </c>
      <c r="P2">
        <v>433</v>
      </c>
      <c r="Q2">
        <v>0.38793999999999995</v>
      </c>
      <c r="R2">
        <v>1.0431999999999999E-2</v>
      </c>
      <c r="S2">
        <v>8.7663865546218486E-4</v>
      </c>
    </row>
    <row r="3" spans="1:19" x14ac:dyDescent="0.3">
      <c r="A3" s="7">
        <v>410</v>
      </c>
      <c r="B3" s="67">
        <v>1.75244</v>
      </c>
      <c r="C3" s="67">
        <v>1.9976000000000001E-2</v>
      </c>
      <c r="D3" s="67">
        <v>5.1751295336787567E-4</v>
      </c>
      <c r="F3" s="7">
        <v>410</v>
      </c>
      <c r="G3" s="67">
        <v>8.9960999999999999E-2</v>
      </c>
      <c r="H3" s="67">
        <v>2.0158800000000001</v>
      </c>
      <c r="I3" s="67">
        <v>2.101892523364486E-3</v>
      </c>
      <c r="K3" s="7">
        <v>410</v>
      </c>
      <c r="L3" s="67">
        <v>1.6472</v>
      </c>
      <c r="M3" s="67">
        <v>4.9699999999999994E-2</v>
      </c>
      <c r="N3" s="67">
        <v>1.0711206896551722E-3</v>
      </c>
      <c r="P3">
        <v>410</v>
      </c>
      <c r="Q3">
        <v>2.0855999999999999</v>
      </c>
      <c r="R3">
        <v>6.7308000000000007E-2</v>
      </c>
      <c r="S3">
        <v>1.5297272727272729E-3</v>
      </c>
    </row>
    <row r="4" spans="1:19" x14ac:dyDescent="0.3">
      <c r="A4" s="7">
        <v>439</v>
      </c>
      <c r="B4" s="67">
        <v>1.1733399999999998</v>
      </c>
      <c r="C4" s="67">
        <v>8.1605999999999984E-2</v>
      </c>
      <c r="D4" s="67">
        <v>2.8237370242214527E-3</v>
      </c>
      <c r="F4" s="7">
        <v>439</v>
      </c>
      <c r="G4" s="67">
        <v>0.14377800000000002</v>
      </c>
      <c r="H4" s="67">
        <v>3.3548200000000001</v>
      </c>
      <c r="I4" s="67">
        <v>3.312857142857143E-3</v>
      </c>
      <c r="K4" s="7">
        <v>439</v>
      </c>
      <c r="L4" s="67">
        <v>0.85792000000000002</v>
      </c>
      <c r="M4" s="67">
        <v>8.7323999999999999E-2</v>
      </c>
      <c r="N4" s="67">
        <v>3.8983928571428572E-3</v>
      </c>
      <c r="P4">
        <v>439</v>
      </c>
      <c r="Q4">
        <v>2.4123999999999999</v>
      </c>
      <c r="R4">
        <v>9.7799999999999998E-2</v>
      </c>
      <c r="S4">
        <v>3.3040540540540536E-3</v>
      </c>
    </row>
    <row r="5" spans="1:19" x14ac:dyDescent="0.3">
      <c r="A5" s="7">
        <v>445</v>
      </c>
      <c r="B5" s="67">
        <v>1.4643300000000001</v>
      </c>
      <c r="C5" s="67">
        <v>0.106533</v>
      </c>
      <c r="D5" s="67">
        <v>2.9028065395095364E-3</v>
      </c>
      <c r="F5" s="7">
        <v>445</v>
      </c>
      <c r="G5" s="67">
        <v>6.1853999999999992E-2</v>
      </c>
      <c r="H5" s="67">
        <v>2.5296699999999999</v>
      </c>
      <c r="I5" s="67">
        <v>1.9389968652037618E-3</v>
      </c>
      <c r="K5" s="7">
        <v>445</v>
      </c>
      <c r="L5" s="67">
        <v>1.6329099999999999</v>
      </c>
      <c r="M5" s="67">
        <v>0.22906899999999999</v>
      </c>
      <c r="N5" s="67">
        <v>8.0943109540636046E-3</v>
      </c>
      <c r="P5">
        <v>445</v>
      </c>
      <c r="Q5">
        <v>0.67055999999999993</v>
      </c>
      <c r="R5">
        <v>8.4744000000000014E-2</v>
      </c>
      <c r="S5">
        <v>3.3363779527559056E-3</v>
      </c>
    </row>
    <row r="6" spans="1:19" x14ac:dyDescent="0.3">
      <c r="A6" s="7">
        <v>450</v>
      </c>
      <c r="B6" s="67">
        <v>0.66676000000000002</v>
      </c>
      <c r="C6" s="67">
        <v>2.5319999999999995E-2</v>
      </c>
      <c r="D6" s="67">
        <v>1.6025316455696198E-3</v>
      </c>
      <c r="F6" s="7">
        <v>450</v>
      </c>
      <c r="G6" s="67">
        <v>5.1324000000000009E-2</v>
      </c>
      <c r="H6" s="67">
        <v>1.69764</v>
      </c>
      <c r="I6" s="67">
        <v>9.9465116279069763E-4</v>
      </c>
      <c r="K6" s="7">
        <v>450</v>
      </c>
      <c r="L6" s="67">
        <v>0.70286000000000004</v>
      </c>
      <c r="M6" s="67">
        <v>1.9903999999999998E-2</v>
      </c>
      <c r="N6" s="67">
        <v>8.8070796460176987E-4</v>
      </c>
      <c r="P6">
        <v>450</v>
      </c>
      <c r="Q6">
        <v>0.94782999999999984</v>
      </c>
      <c r="R6">
        <v>1.6801E-2</v>
      </c>
      <c r="S6">
        <v>5.6190635451505017E-4</v>
      </c>
    </row>
    <row r="7" spans="1:19" x14ac:dyDescent="0.3">
      <c r="A7" s="7">
        <v>481</v>
      </c>
      <c r="B7" s="67">
        <v>0.48359999999999997</v>
      </c>
      <c r="C7" s="67">
        <v>8.9900000000000008E-2</v>
      </c>
      <c r="D7" s="67">
        <v>5.7628205128205136E-3</v>
      </c>
      <c r="F7" s="7">
        <v>481</v>
      </c>
      <c r="G7" s="67">
        <v>3.9824999999999999E-2</v>
      </c>
      <c r="H7" s="67">
        <v>0.49028999999999995</v>
      </c>
      <c r="I7" s="67">
        <v>1.4377256317689533E-3</v>
      </c>
      <c r="K7" s="7">
        <v>481</v>
      </c>
      <c r="L7" s="67">
        <v>0.42210000000000009</v>
      </c>
      <c r="M7" s="67">
        <v>2.2890000000000001E-2</v>
      </c>
      <c r="N7" s="67">
        <v>1.1388059701492538E-3</v>
      </c>
      <c r="P7">
        <v>481</v>
      </c>
    </row>
    <row r="8" spans="1:19" x14ac:dyDescent="0.3">
      <c r="A8" s="7">
        <v>1886</v>
      </c>
      <c r="B8" s="67">
        <v>0.73919999999999997</v>
      </c>
      <c r="C8" s="67">
        <v>0.39038999999999996</v>
      </c>
      <c r="D8" s="67">
        <v>1.2199687499999999E-2</v>
      </c>
      <c r="F8" s="7">
        <v>1886</v>
      </c>
      <c r="G8" s="60"/>
      <c r="H8" s="60"/>
      <c r="I8" s="60"/>
      <c r="K8" s="7">
        <v>1886</v>
      </c>
      <c r="L8" s="86"/>
      <c r="M8" s="86"/>
      <c r="N8" s="86"/>
      <c r="P8">
        <v>1886</v>
      </c>
    </row>
    <row r="9" spans="1:19" x14ac:dyDescent="0.3">
      <c r="A9" s="7">
        <v>1877</v>
      </c>
      <c r="B9" s="86"/>
      <c r="C9" s="86"/>
      <c r="D9" s="86"/>
      <c r="F9" s="7">
        <v>1877</v>
      </c>
      <c r="G9" s="86"/>
      <c r="H9" s="86"/>
      <c r="I9" s="86"/>
      <c r="K9" s="7">
        <v>1877</v>
      </c>
      <c r="L9" s="86"/>
      <c r="M9" s="86"/>
      <c r="N9" s="86"/>
      <c r="P9">
        <v>1877</v>
      </c>
    </row>
    <row r="10" spans="1:19" x14ac:dyDescent="0.3">
      <c r="A10" s="7">
        <v>1881</v>
      </c>
      <c r="B10" s="67">
        <v>1.4187299999999998</v>
      </c>
      <c r="C10" s="67">
        <v>1.1191</v>
      </c>
      <c r="D10" s="67">
        <v>2.847582697201018E-2</v>
      </c>
      <c r="F10" s="7">
        <v>1881</v>
      </c>
      <c r="G10" s="86"/>
      <c r="H10" s="86"/>
      <c r="I10" s="86"/>
      <c r="K10" s="7">
        <v>1881</v>
      </c>
      <c r="L10" s="86"/>
      <c r="M10" s="86"/>
      <c r="N10" s="86"/>
      <c r="P10">
        <v>1881</v>
      </c>
    </row>
    <row r="11" spans="1:19" x14ac:dyDescent="0.3">
      <c r="A11" s="7">
        <v>1899</v>
      </c>
      <c r="B11" s="86"/>
      <c r="C11" s="86"/>
      <c r="D11" s="86"/>
      <c r="F11" s="7">
        <v>1899</v>
      </c>
      <c r="G11" s="67">
        <v>0.24129300000000001</v>
      </c>
      <c r="H11" s="67">
        <v>0.65635999999999994</v>
      </c>
      <c r="I11" s="67">
        <v>9.8890573770491815E-3</v>
      </c>
      <c r="K11" s="7">
        <v>1899</v>
      </c>
      <c r="L11" s="67">
        <v>0.71148000000000011</v>
      </c>
      <c r="M11" s="67">
        <v>0.48971999999999999</v>
      </c>
      <c r="N11" s="67">
        <v>2.12E-2</v>
      </c>
      <c r="P11">
        <v>1899</v>
      </c>
      <c r="Q11">
        <v>0.43939999999999996</v>
      </c>
      <c r="R11">
        <v>0.3614</v>
      </c>
      <c r="S11">
        <v>2.1384615384615387E-2</v>
      </c>
    </row>
    <row r="12" spans="1:19" x14ac:dyDescent="0.3">
      <c r="A12" s="7">
        <v>1900</v>
      </c>
      <c r="B12" s="67">
        <v>0.44402000000000003</v>
      </c>
      <c r="C12" s="67">
        <v>0.50809000000000004</v>
      </c>
      <c r="D12" s="67">
        <v>1.7049999999999999E-2</v>
      </c>
      <c r="F12" s="7">
        <v>1900</v>
      </c>
      <c r="G12" s="67">
        <v>0.48</v>
      </c>
      <c r="H12" s="67">
        <v>1.1097599999999999</v>
      </c>
      <c r="I12" s="67">
        <v>1.6608996539792385E-2</v>
      </c>
      <c r="K12" s="7">
        <v>1900</v>
      </c>
      <c r="L12" s="67">
        <v>0.70455000000000001</v>
      </c>
      <c r="M12" s="67">
        <v>1.0504199999999999</v>
      </c>
      <c r="N12" s="67">
        <v>6.3661818181818181E-2</v>
      </c>
      <c r="P12">
        <v>1900</v>
      </c>
      <c r="Q12">
        <v>0.56399999999999995</v>
      </c>
      <c r="R12">
        <v>0.64296000000000009</v>
      </c>
      <c r="S12">
        <v>4.2864000000000006E-2</v>
      </c>
    </row>
    <row r="13" spans="1:19" x14ac:dyDescent="0.3">
      <c r="A13" s="7">
        <v>446</v>
      </c>
      <c r="B13" s="67">
        <v>0.1807</v>
      </c>
      <c r="C13" s="67">
        <v>4.8230000000000002E-2</v>
      </c>
      <c r="D13" s="67">
        <v>3.469784172661871E-3</v>
      </c>
      <c r="F13" s="7">
        <v>446</v>
      </c>
      <c r="G13" s="86"/>
      <c r="H13" s="86"/>
      <c r="I13" s="86"/>
      <c r="K13" s="7">
        <v>446</v>
      </c>
      <c r="L13" s="67">
        <v>1.30938</v>
      </c>
      <c r="M13" s="67">
        <v>0.30232499999999995</v>
      </c>
      <c r="N13" s="67">
        <v>9.6281847133757956E-3</v>
      </c>
      <c r="P13">
        <v>446</v>
      </c>
      <c r="Q13">
        <v>0.78569999999999995</v>
      </c>
      <c r="R13">
        <v>9.6418000000000004E-2</v>
      </c>
      <c r="S13">
        <v>2.3806913580246914E-3</v>
      </c>
    </row>
    <row r="14" spans="1:19" x14ac:dyDescent="0.3">
      <c r="A14" s="7">
        <v>483</v>
      </c>
      <c r="B14" s="67">
        <v>0.50864000000000009</v>
      </c>
      <c r="C14" s="67">
        <v>1.0472000000000001E-3</v>
      </c>
      <c r="D14" s="67">
        <v>7.7000000000000015E-5</v>
      </c>
      <c r="F14" s="7">
        <v>483</v>
      </c>
      <c r="G14" s="67">
        <v>2.4107999999999997E-2</v>
      </c>
      <c r="H14" s="67">
        <v>1.09368</v>
      </c>
      <c r="I14" s="67">
        <v>6.4806451612903215E-4</v>
      </c>
      <c r="K14" s="7">
        <v>483</v>
      </c>
      <c r="L14" s="67">
        <v>1.6032499999999998</v>
      </c>
      <c r="M14" s="67">
        <v>2.6234999999999998E-2</v>
      </c>
      <c r="N14" s="67">
        <v>9.540000000000001E-4</v>
      </c>
      <c r="P14">
        <v>483</v>
      </c>
      <c r="Q14">
        <v>1.2192999999999998</v>
      </c>
      <c r="R14">
        <v>1.1125000000000001E-2</v>
      </c>
      <c r="S14">
        <v>4.0602189781021903E-4</v>
      </c>
    </row>
    <row r="15" spans="1:19" x14ac:dyDescent="0.3">
      <c r="A15" s="7">
        <v>415</v>
      </c>
      <c r="B15" s="86"/>
      <c r="C15" s="86"/>
      <c r="D15" s="86"/>
      <c r="F15" s="7">
        <v>415</v>
      </c>
      <c r="G15" s="86"/>
      <c r="H15" s="86"/>
      <c r="I15" s="86"/>
      <c r="K15" s="7">
        <v>415</v>
      </c>
      <c r="L15" s="67">
        <v>0.23980000000000001</v>
      </c>
      <c r="M15" s="67">
        <v>6.3219999999999995E-3</v>
      </c>
      <c r="N15" s="67">
        <v>5.7472727272727276E-4</v>
      </c>
      <c r="P15">
        <v>415</v>
      </c>
      <c r="Q15">
        <v>1.0512000000000001</v>
      </c>
      <c r="R15">
        <v>3.168E-2</v>
      </c>
      <c r="S15">
        <v>1.084931506849315E-3</v>
      </c>
    </row>
    <row r="16" spans="1:19" x14ac:dyDescent="0.3">
      <c r="A16" s="7">
        <v>448</v>
      </c>
      <c r="B16" s="67">
        <v>1.0845</v>
      </c>
      <c r="C16" s="67">
        <v>5.4225000000000002E-3</v>
      </c>
      <c r="D16" s="67">
        <v>3.615E-4</v>
      </c>
      <c r="F16" s="7">
        <v>448</v>
      </c>
      <c r="G16" s="67">
        <v>6.9412000000000001E-2</v>
      </c>
      <c r="H16" s="67">
        <v>1.1550800000000001</v>
      </c>
      <c r="I16" s="67">
        <v>1.6104872389791183E-3</v>
      </c>
      <c r="K16" s="7">
        <v>448</v>
      </c>
      <c r="L16" s="67">
        <v>1.0055099999999999</v>
      </c>
      <c r="M16" s="67">
        <v>4.5011999999999996E-2</v>
      </c>
      <c r="N16" s="67">
        <v>1.6249819494584836E-3</v>
      </c>
      <c r="P16">
        <v>448</v>
      </c>
    </row>
    <row r="17" spans="1:19" x14ac:dyDescent="0.3">
      <c r="A17" s="7">
        <v>476</v>
      </c>
      <c r="B17" s="67">
        <v>1.0287200000000001</v>
      </c>
      <c r="C17" s="67">
        <v>5.8520000000000004E-3</v>
      </c>
      <c r="D17" s="67">
        <v>1.7520958083832336E-4</v>
      </c>
      <c r="F17" s="7">
        <v>476</v>
      </c>
      <c r="G17" s="67">
        <v>8.1879999999999994E-2</v>
      </c>
      <c r="H17" s="67">
        <v>2.0699999999999998</v>
      </c>
      <c r="I17" s="67">
        <v>1.8195555555555556E-3</v>
      </c>
      <c r="K17" s="7">
        <v>476</v>
      </c>
      <c r="L17" s="67">
        <v>1.1425800000000002</v>
      </c>
      <c r="M17" s="67">
        <v>2.9592E-2</v>
      </c>
      <c r="N17" s="67">
        <v>1.0644604316546763E-3</v>
      </c>
      <c r="P17">
        <v>476</v>
      </c>
      <c r="Q17">
        <v>1.23136</v>
      </c>
      <c r="R17">
        <v>4.0960000000000003E-2</v>
      </c>
      <c r="S17">
        <v>8.5155925155925172E-4</v>
      </c>
    </row>
    <row r="18" spans="1:19" x14ac:dyDescent="0.3">
      <c r="A18" s="7">
        <v>500</v>
      </c>
      <c r="B18" s="67">
        <v>0.43406999999999996</v>
      </c>
      <c r="C18" s="67">
        <v>9.2750000000000003E-3</v>
      </c>
      <c r="D18" s="67">
        <v>7.9273504273504264E-4</v>
      </c>
      <c r="F18" s="7">
        <v>500</v>
      </c>
      <c r="G18" s="67">
        <v>7.0586999999999997E-2</v>
      </c>
      <c r="H18" s="67">
        <v>0.88182000000000005</v>
      </c>
      <c r="I18" s="67">
        <v>1.6569718309859152E-3</v>
      </c>
      <c r="K18" s="7">
        <v>500</v>
      </c>
      <c r="L18" s="67">
        <v>0.11648000000000001</v>
      </c>
      <c r="M18" s="67">
        <v>2.5648000000000004E-2</v>
      </c>
      <c r="N18" s="67">
        <v>2.4661538461538462E-3</v>
      </c>
      <c r="P18">
        <v>500</v>
      </c>
      <c r="Q18">
        <v>0.98124000000000011</v>
      </c>
      <c r="R18">
        <v>2.5908E-2</v>
      </c>
      <c r="S18">
        <v>5.3862785862785856E-4</v>
      </c>
    </row>
    <row r="19" spans="1:19" x14ac:dyDescent="0.3">
      <c r="A19" s="7">
        <v>1874</v>
      </c>
      <c r="B19" s="86"/>
      <c r="C19" s="86"/>
      <c r="D19" s="86"/>
      <c r="F19" s="7">
        <v>1874</v>
      </c>
      <c r="G19" s="60"/>
      <c r="H19" s="60"/>
      <c r="I19" s="60"/>
      <c r="K19" s="7">
        <v>1874</v>
      </c>
      <c r="L19" s="86"/>
      <c r="M19" s="86"/>
      <c r="N19" s="86"/>
      <c r="P19">
        <v>1874</v>
      </c>
    </row>
    <row r="20" spans="1:19" x14ac:dyDescent="0.3">
      <c r="A20" s="7">
        <v>1854</v>
      </c>
      <c r="B20" s="67">
        <v>1.7554500000000002</v>
      </c>
      <c r="C20" s="67">
        <v>1.0955699999999999</v>
      </c>
      <c r="D20" s="67">
        <v>2.6399277108433736E-2</v>
      </c>
      <c r="F20" s="7">
        <v>1854</v>
      </c>
      <c r="G20" s="86"/>
      <c r="H20" s="86"/>
      <c r="I20" s="86"/>
      <c r="K20" s="7">
        <v>1854</v>
      </c>
      <c r="L20" s="67">
        <v>0.44351999999999997</v>
      </c>
      <c r="M20" s="67">
        <v>0.30071999999999993</v>
      </c>
      <c r="N20" s="67">
        <v>1.1390909090909089E-2</v>
      </c>
      <c r="P20">
        <v>1854</v>
      </c>
      <c r="Q20">
        <v>0.45526000000000005</v>
      </c>
      <c r="R20">
        <v>0.26058999999999999</v>
      </c>
      <c r="S20">
        <v>5.8957013574660634E-3</v>
      </c>
    </row>
    <row r="21" spans="1:19" x14ac:dyDescent="0.3">
      <c r="A21" s="7">
        <v>1885</v>
      </c>
      <c r="B21" s="67">
        <v>0.40017999999999998</v>
      </c>
      <c r="C21" s="67">
        <v>6.2458E-2</v>
      </c>
      <c r="D21" s="67">
        <v>2.9185981308411219E-3</v>
      </c>
      <c r="F21" s="7">
        <v>1885</v>
      </c>
      <c r="G21" s="67">
        <v>0.41958000000000001</v>
      </c>
      <c r="H21" s="67">
        <v>0.89873000000000003</v>
      </c>
      <c r="I21" s="67">
        <v>1.2091642651296829E-2</v>
      </c>
      <c r="K21" s="7">
        <v>1885</v>
      </c>
      <c r="L21" s="67">
        <v>0.42965999999999999</v>
      </c>
      <c r="M21" s="67">
        <v>0.21916999999999998</v>
      </c>
      <c r="N21" s="67">
        <v>1.1069191919191918E-2</v>
      </c>
      <c r="P21">
        <v>1885</v>
      </c>
      <c r="Q21">
        <v>1.11612</v>
      </c>
      <c r="R21">
        <v>0.63048000000000004</v>
      </c>
      <c r="S21">
        <v>2.4064122137404581E-2</v>
      </c>
    </row>
    <row r="22" spans="1:19" x14ac:dyDescent="0.3">
      <c r="A22" s="7">
        <v>1875</v>
      </c>
      <c r="B22" s="67">
        <v>0.24567200000000003</v>
      </c>
      <c r="C22" s="67">
        <v>0.70314999999999994</v>
      </c>
      <c r="D22" s="67">
        <v>8.2143691588785039E-2</v>
      </c>
      <c r="F22" s="7">
        <v>1875</v>
      </c>
      <c r="G22" s="67">
        <v>0.48391000000000001</v>
      </c>
      <c r="H22" s="67">
        <v>0.90315000000000001</v>
      </c>
      <c r="I22" s="67">
        <v>1.1948395061728394E-2</v>
      </c>
      <c r="K22" s="7">
        <v>1875</v>
      </c>
      <c r="L22" s="67">
        <v>0.57607999999999993</v>
      </c>
      <c r="M22" s="67">
        <v>0.68220000000000003</v>
      </c>
      <c r="N22" s="67">
        <v>4.4881578947368432E-2</v>
      </c>
      <c r="P22">
        <v>1875</v>
      </c>
      <c r="Q22">
        <v>0.53148000000000006</v>
      </c>
      <c r="R22">
        <v>0.72755999999999998</v>
      </c>
      <c r="S22">
        <v>3.5318446601941743E-2</v>
      </c>
    </row>
    <row r="23" spans="1:19" x14ac:dyDescent="0.3">
      <c r="A23" s="7">
        <v>434</v>
      </c>
      <c r="B23" s="67">
        <v>0.27904000000000001</v>
      </c>
      <c r="C23" s="67">
        <v>0.12492800000000001</v>
      </c>
      <c r="D23" s="67">
        <v>1.1461284403669725E-2</v>
      </c>
      <c r="F23" s="7">
        <v>434</v>
      </c>
      <c r="G23" s="67">
        <v>3.0294999999999996E-2</v>
      </c>
      <c r="H23" s="67">
        <v>0.74825000000000008</v>
      </c>
      <c r="I23" s="67">
        <v>1.4778048780487805E-3</v>
      </c>
      <c r="K23" s="7">
        <v>434</v>
      </c>
      <c r="L23" s="67">
        <v>0.25679999999999997</v>
      </c>
      <c r="M23" s="67">
        <v>8.1105999999999998E-2</v>
      </c>
      <c r="N23" s="67">
        <v>3.3794166666666669E-3</v>
      </c>
      <c r="P23">
        <v>434</v>
      </c>
      <c r="Q23">
        <v>1.4126400000000001</v>
      </c>
      <c r="R23">
        <v>0.11837400000000001</v>
      </c>
      <c r="S23">
        <v>5.4802777777777775E-3</v>
      </c>
    </row>
    <row r="24" spans="1:19" x14ac:dyDescent="0.3">
      <c r="A24" s="7">
        <v>401</v>
      </c>
      <c r="B24" s="67">
        <v>0.53619000000000006</v>
      </c>
      <c r="C24" s="67">
        <v>5.6256E-2</v>
      </c>
      <c r="D24" s="67">
        <v>3.0740983606557374E-3</v>
      </c>
      <c r="F24" s="7">
        <v>401</v>
      </c>
      <c r="G24" s="67">
        <v>0.129444</v>
      </c>
      <c r="H24" s="67">
        <v>1.9899600000000002</v>
      </c>
      <c r="I24" s="67">
        <v>3.1418446601941753E-3</v>
      </c>
      <c r="K24" s="7">
        <v>401</v>
      </c>
      <c r="L24" s="67">
        <v>0.73738000000000004</v>
      </c>
      <c r="M24" s="67">
        <v>5.7316000000000006E-2</v>
      </c>
      <c r="N24" s="67">
        <v>2.5028820960698696E-3</v>
      </c>
      <c r="P24">
        <v>401</v>
      </c>
      <c r="Q24">
        <v>2.3550499999999999</v>
      </c>
      <c r="R24">
        <v>0.11951000000000001</v>
      </c>
      <c r="S24">
        <v>3.5674626865671638E-3</v>
      </c>
    </row>
    <row r="25" spans="1:19" x14ac:dyDescent="0.3">
      <c r="A25" s="7">
        <v>411</v>
      </c>
      <c r="B25" s="67">
        <v>0.63063000000000002</v>
      </c>
      <c r="C25" s="67">
        <v>1.9845000000000002E-2</v>
      </c>
      <c r="D25" s="67">
        <v>1.3877622377622375E-3</v>
      </c>
      <c r="F25" s="7">
        <v>411</v>
      </c>
      <c r="G25" s="67">
        <v>2.3519999999999999E-2</v>
      </c>
      <c r="H25" s="67">
        <v>0.72320000000000007</v>
      </c>
      <c r="I25" s="67">
        <v>5.2035398230088493E-4</v>
      </c>
      <c r="K25" s="7">
        <v>411</v>
      </c>
      <c r="L25" s="67">
        <v>1.4444300000000001</v>
      </c>
      <c r="M25" s="67">
        <v>2.3452000000000001E-2</v>
      </c>
      <c r="N25" s="67">
        <v>8.6538745387453877E-4</v>
      </c>
      <c r="P25">
        <v>411</v>
      </c>
      <c r="Q25">
        <v>3.1523100000000004</v>
      </c>
      <c r="R25">
        <v>5.9160999999999998E-2</v>
      </c>
      <c r="S25">
        <v>1.6571708683473388E-3</v>
      </c>
    </row>
    <row r="26" spans="1:19" x14ac:dyDescent="0.3">
      <c r="A26" s="7">
        <v>1894</v>
      </c>
      <c r="B26" s="67">
        <v>2.5796399999999999</v>
      </c>
      <c r="C26" s="67">
        <v>0.49617399999999989</v>
      </c>
      <c r="D26" s="67">
        <v>1.1175090090090087E-2</v>
      </c>
      <c r="F26" s="7">
        <v>1894</v>
      </c>
      <c r="G26" s="67">
        <v>0.40233600000000003</v>
      </c>
      <c r="H26" s="67">
        <v>1.524</v>
      </c>
      <c r="I26" s="67">
        <v>1.3411200000000002E-2</v>
      </c>
      <c r="K26" s="7">
        <v>1894</v>
      </c>
      <c r="L26" s="67">
        <v>0.54810000000000003</v>
      </c>
      <c r="M26" s="67">
        <v>0.4239</v>
      </c>
      <c r="N26" s="67">
        <v>2.0881773399014779E-2</v>
      </c>
      <c r="P26">
        <v>1894</v>
      </c>
      <c r="Q26">
        <v>0.87965000000000004</v>
      </c>
      <c r="R26">
        <v>0.80665000000000009</v>
      </c>
      <c r="S26">
        <v>3.3470954356846466E-2</v>
      </c>
    </row>
    <row r="27" spans="1:19" x14ac:dyDescent="0.3">
      <c r="A27" s="2"/>
      <c r="B27" s="69"/>
      <c r="C27" s="69"/>
      <c r="D27" s="69"/>
      <c r="F27" s="2"/>
      <c r="G27" s="69"/>
      <c r="H27" s="69"/>
      <c r="I27" s="69"/>
      <c r="K27" s="2"/>
      <c r="L27" s="69"/>
      <c r="M27" s="69"/>
      <c r="N27" s="69"/>
    </row>
    <row r="28" spans="1:19" x14ac:dyDescent="0.3">
      <c r="A28" s="2"/>
      <c r="B28" s="69"/>
      <c r="C28" s="69"/>
      <c r="D28" s="69"/>
      <c r="F28" s="2"/>
      <c r="G28" s="69"/>
      <c r="H28" s="69"/>
      <c r="I28" s="69"/>
      <c r="K28" s="2"/>
      <c r="L28" s="69"/>
      <c r="M28" s="69"/>
      <c r="N28" s="69"/>
    </row>
    <row r="29" spans="1:19" x14ac:dyDescent="0.3">
      <c r="A29" s="22">
        <v>470</v>
      </c>
      <c r="B29" s="67">
        <v>3.9738000000000002E-2</v>
      </c>
      <c r="C29" s="67">
        <v>0.17184000000000002</v>
      </c>
      <c r="D29" s="67">
        <v>0.23221621621621621</v>
      </c>
      <c r="F29" s="22">
        <v>470</v>
      </c>
      <c r="G29" s="67"/>
      <c r="H29" s="67"/>
      <c r="I29" s="67"/>
      <c r="K29" s="22">
        <v>470</v>
      </c>
      <c r="L29" s="60"/>
      <c r="M29" s="60"/>
      <c r="N29" s="60"/>
      <c r="P29">
        <v>470</v>
      </c>
    </row>
    <row r="30" spans="1:19" x14ac:dyDescent="0.3">
      <c r="A30" s="22">
        <v>495</v>
      </c>
      <c r="B30" s="86"/>
      <c r="C30" s="86"/>
      <c r="D30" s="86"/>
      <c r="F30" s="22">
        <v>495</v>
      </c>
      <c r="G30" s="67">
        <v>0.10733399999999998</v>
      </c>
      <c r="H30" s="67">
        <v>8.5172999999999985E-2</v>
      </c>
      <c r="I30" s="67">
        <v>3.3647021943573663E-2</v>
      </c>
      <c r="K30" s="22">
        <v>495</v>
      </c>
      <c r="L30" s="67">
        <v>3.6445000000000005E-2</v>
      </c>
      <c r="M30" s="67">
        <v>0.26201000000000002</v>
      </c>
      <c r="N30" s="67">
        <v>0.14162702702702704</v>
      </c>
      <c r="P30">
        <v>495</v>
      </c>
      <c r="Q30">
        <v>3.7232000000000001E-2</v>
      </c>
      <c r="R30">
        <v>0.41600000000000004</v>
      </c>
      <c r="S30">
        <v>0.23240223463687151</v>
      </c>
    </row>
    <row r="31" spans="1:19" x14ac:dyDescent="0.3">
      <c r="A31" s="22">
        <v>464</v>
      </c>
      <c r="B31" s="67">
        <v>6.0679999999999998E-2</v>
      </c>
      <c r="C31" s="67">
        <v>0.47360000000000008</v>
      </c>
      <c r="D31" s="67">
        <v>0.28878048780487808</v>
      </c>
      <c r="F31" s="22">
        <v>464</v>
      </c>
      <c r="G31" s="67">
        <v>7.6607999999999996E-2</v>
      </c>
      <c r="H31" s="67">
        <v>7.4880000000000002E-2</v>
      </c>
      <c r="I31" s="67">
        <v>1.9643076923076926E-2</v>
      </c>
      <c r="K31" s="22">
        <v>464</v>
      </c>
      <c r="L31" s="67">
        <v>4.5942000000000011E-2</v>
      </c>
      <c r="M31" s="67">
        <v>0.28458</v>
      </c>
      <c r="N31" s="67">
        <v>0.11521457489878544</v>
      </c>
      <c r="P31">
        <v>464</v>
      </c>
      <c r="Q31">
        <v>8.9153999999999997E-2</v>
      </c>
      <c r="R31">
        <v>0.81915000000000004</v>
      </c>
      <c r="S31">
        <v>0.35006410256410264</v>
      </c>
    </row>
    <row r="32" spans="1:19" x14ac:dyDescent="0.3">
      <c r="A32" s="22">
        <v>490</v>
      </c>
      <c r="B32" s="86"/>
      <c r="C32" s="86"/>
      <c r="D32" s="86"/>
      <c r="F32" s="22">
        <v>490</v>
      </c>
      <c r="G32" s="67">
        <v>7.7376E-2</v>
      </c>
      <c r="H32" s="67">
        <v>0.11928799999999999</v>
      </c>
      <c r="I32" s="67">
        <v>1.6086486486486487E-2</v>
      </c>
      <c r="K32" s="22">
        <v>490</v>
      </c>
      <c r="L32" s="67">
        <v>4.7579999999999997E-2</v>
      </c>
      <c r="M32" s="67">
        <v>0.42509999999999998</v>
      </c>
      <c r="N32" s="67">
        <v>0.17422131147540984</v>
      </c>
      <c r="P32">
        <v>490</v>
      </c>
    </row>
    <row r="33" spans="1:19" x14ac:dyDescent="0.3">
      <c r="A33" s="22">
        <v>550</v>
      </c>
      <c r="B33" s="67">
        <v>0.12487500000000001</v>
      </c>
      <c r="C33" s="67">
        <v>0.55684999999999996</v>
      </c>
      <c r="D33" s="67">
        <v>0.41248148148148145</v>
      </c>
      <c r="F33" s="22">
        <v>550</v>
      </c>
      <c r="G33" s="67">
        <v>9.2231999999999981E-2</v>
      </c>
      <c r="H33" s="67">
        <v>0.20601</v>
      </c>
      <c r="I33" s="67">
        <v>1.6923302752293576E-2</v>
      </c>
      <c r="K33" s="22">
        <v>550</v>
      </c>
      <c r="L33" s="86"/>
      <c r="M33" s="86"/>
      <c r="N33" s="86"/>
      <c r="P33">
        <v>550</v>
      </c>
      <c r="Q33">
        <v>0.24108199999999999</v>
      </c>
      <c r="R33">
        <v>0.72711999999999988</v>
      </c>
      <c r="S33">
        <v>8.9878862793572309E-2</v>
      </c>
    </row>
    <row r="34" spans="1:19" x14ac:dyDescent="0.3">
      <c r="A34" s="22">
        <v>575</v>
      </c>
      <c r="B34" s="86"/>
      <c r="C34" s="86"/>
      <c r="D34" s="86"/>
      <c r="F34" s="22">
        <v>575</v>
      </c>
      <c r="G34" s="67">
        <v>0.11097899999999999</v>
      </c>
      <c r="H34" s="67">
        <v>1.1522699999999999</v>
      </c>
      <c r="I34" s="67">
        <v>5.1142396313364055E-3</v>
      </c>
      <c r="K34" s="22">
        <v>575</v>
      </c>
      <c r="L34" s="86"/>
      <c r="M34" s="86"/>
      <c r="N34" s="86"/>
      <c r="P34">
        <v>575</v>
      </c>
      <c r="Q34">
        <v>0.76590000000000003</v>
      </c>
      <c r="R34">
        <v>0.13453200000000001</v>
      </c>
      <c r="S34">
        <v>5.8492173913043477E-3</v>
      </c>
    </row>
    <row r="35" spans="1:19" x14ac:dyDescent="0.3">
      <c r="A35" s="22">
        <v>458</v>
      </c>
      <c r="B35" s="67">
        <v>0.17799599999999999</v>
      </c>
      <c r="C35" s="67">
        <v>7.7261999999999997E-2</v>
      </c>
      <c r="D35" s="67">
        <v>4.2451648351648351E-2</v>
      </c>
      <c r="F35" s="22">
        <v>458</v>
      </c>
      <c r="G35" s="67">
        <v>3.7350000000000001E-2</v>
      </c>
      <c r="H35" s="67">
        <v>0.133215</v>
      </c>
      <c r="I35" s="67">
        <v>6.9813084112149548E-3</v>
      </c>
      <c r="K35" s="22">
        <v>458</v>
      </c>
      <c r="L35" s="67">
        <v>3.0910000000000003E-2</v>
      </c>
      <c r="M35" s="67">
        <v>2.3869999999999999E-2</v>
      </c>
      <c r="N35" s="67">
        <v>8.494661921708186E-3</v>
      </c>
      <c r="P35">
        <v>458</v>
      </c>
      <c r="Q35">
        <v>0.15758999999999998</v>
      </c>
      <c r="R35">
        <v>6.8339999999999984E-2</v>
      </c>
      <c r="S35">
        <v>7.3721682847896434E-3</v>
      </c>
    </row>
    <row r="36" spans="1:19" x14ac:dyDescent="0.3">
      <c r="A36" s="22">
        <v>430</v>
      </c>
      <c r="B36" s="67">
        <v>6.2048000000000006E-2</v>
      </c>
      <c r="C36" s="67">
        <v>0.26536599999999999</v>
      </c>
      <c r="D36" s="67">
        <v>0.23693392857142853</v>
      </c>
      <c r="F36" s="22">
        <v>430</v>
      </c>
      <c r="G36" s="67">
        <v>4.5095000000000003E-2</v>
      </c>
      <c r="H36" s="67">
        <v>9.3299999999999994E-2</v>
      </c>
      <c r="I36" s="67">
        <v>1.5031666666666665E-2</v>
      </c>
      <c r="K36" s="22">
        <v>430</v>
      </c>
      <c r="L36" s="67">
        <v>7.0152000000000006E-2</v>
      </c>
      <c r="M36" s="67">
        <v>0.29970000000000002</v>
      </c>
      <c r="N36" s="67">
        <v>9.4841772151898734E-2</v>
      </c>
      <c r="P36">
        <v>430</v>
      </c>
      <c r="Q36">
        <v>4.8180000000000008E-2</v>
      </c>
      <c r="R36">
        <v>7.7964000000000006E-2</v>
      </c>
      <c r="S36">
        <v>7.087636363636364E-2</v>
      </c>
    </row>
    <row r="37" spans="1:19" x14ac:dyDescent="0.3">
      <c r="A37" s="22">
        <v>431</v>
      </c>
      <c r="B37" s="67">
        <v>5.6376000000000002E-2</v>
      </c>
      <c r="C37" s="67">
        <v>6.2856000000000009E-2</v>
      </c>
      <c r="D37" s="67">
        <v>7.2248275862068972E-2</v>
      </c>
      <c r="F37" s="22">
        <v>431</v>
      </c>
      <c r="G37" s="67">
        <v>3.8E-3</v>
      </c>
      <c r="H37" s="67">
        <v>2.8799999999999999E-2</v>
      </c>
      <c r="I37" s="67">
        <v>2.638888888888889E-3</v>
      </c>
      <c r="K37" s="22">
        <v>431</v>
      </c>
      <c r="L37" s="67">
        <v>3.0419999999999999E-2</v>
      </c>
      <c r="M37" s="67">
        <v>0.14913600000000002</v>
      </c>
      <c r="N37" s="67">
        <v>7.6480000000000006E-2</v>
      </c>
      <c r="P37">
        <v>431</v>
      </c>
      <c r="Q37">
        <v>3.4729999999999997E-2</v>
      </c>
      <c r="R37">
        <v>6.7044000000000006E-2</v>
      </c>
      <c r="S37">
        <v>5.8299130434782624E-2</v>
      </c>
    </row>
    <row r="38" spans="1:19" x14ac:dyDescent="0.3">
      <c r="A38" s="22">
        <v>492</v>
      </c>
      <c r="B38" s="67">
        <v>4.7208E-2</v>
      </c>
      <c r="C38" s="67">
        <v>4.3343999999999994E-2</v>
      </c>
      <c r="D38" s="67">
        <v>1.542491103202847E-2</v>
      </c>
      <c r="F38" s="22">
        <v>492</v>
      </c>
      <c r="G38" s="60"/>
      <c r="H38" s="60"/>
      <c r="I38" s="60"/>
      <c r="K38" s="22">
        <v>492</v>
      </c>
      <c r="L38" s="67">
        <v>0.111426</v>
      </c>
      <c r="M38" s="67">
        <v>0.229295</v>
      </c>
      <c r="N38" s="67">
        <v>7.7991496598639465E-2</v>
      </c>
      <c r="P38">
        <v>492</v>
      </c>
      <c r="Q38">
        <v>8.2500000000000004E-2</v>
      </c>
      <c r="R38">
        <v>4.7299999999999995E-2</v>
      </c>
      <c r="S38">
        <v>1.5766666666666665E-2</v>
      </c>
    </row>
    <row r="39" spans="1:19" x14ac:dyDescent="0.3">
      <c r="A39" s="22">
        <v>577</v>
      </c>
      <c r="B39" s="86"/>
      <c r="C39" s="86"/>
      <c r="D39" s="86"/>
      <c r="F39" s="22">
        <v>577</v>
      </c>
      <c r="G39" s="67">
        <v>1.6049999999999998E-2</v>
      </c>
      <c r="H39" s="67">
        <v>0.21079000000000001</v>
      </c>
      <c r="I39" s="67">
        <v>8.1472081218274121E-4</v>
      </c>
      <c r="K39" s="22">
        <v>577</v>
      </c>
      <c r="L39" s="67">
        <v>0.25590999999999997</v>
      </c>
      <c r="M39" s="67">
        <v>2.1027000000000001E-2</v>
      </c>
      <c r="N39" s="67">
        <v>1.339299363057325E-3</v>
      </c>
      <c r="P39">
        <v>577</v>
      </c>
      <c r="Q39">
        <v>0.49469000000000002</v>
      </c>
      <c r="R39">
        <v>3.4965000000000003E-2</v>
      </c>
      <c r="S39">
        <v>1.8306282722513089E-3</v>
      </c>
    </row>
    <row r="40" spans="1:19" x14ac:dyDescent="0.3">
      <c r="A40" s="22">
        <v>493</v>
      </c>
      <c r="B40" s="67">
        <v>2.3051999999999996E-2</v>
      </c>
      <c r="C40" s="67">
        <v>0.33990399999999993</v>
      </c>
      <c r="D40" s="67">
        <v>0.66647843137254892</v>
      </c>
      <c r="F40" s="22">
        <v>493</v>
      </c>
      <c r="G40" s="67">
        <v>1.0010000000000002E-2</v>
      </c>
      <c r="H40" s="67">
        <v>1.8920000000000003E-2</v>
      </c>
      <c r="I40" s="67">
        <v>5.8197674418604657E-3</v>
      </c>
      <c r="K40" s="22">
        <v>493</v>
      </c>
      <c r="L40" s="67">
        <v>1.8720000000000001E-2</v>
      </c>
      <c r="M40" s="67">
        <v>0.21762000000000001</v>
      </c>
      <c r="N40" s="67">
        <v>0.13601249999999998</v>
      </c>
      <c r="P40">
        <v>493</v>
      </c>
      <c r="Q40">
        <v>5.4351999999999998E-2</v>
      </c>
      <c r="R40">
        <v>0.36119999999999997</v>
      </c>
      <c r="S40">
        <v>0.11430379746835444</v>
      </c>
    </row>
    <row r="41" spans="1:19" x14ac:dyDescent="0.3">
      <c r="A41" s="22">
        <v>452</v>
      </c>
      <c r="B41" s="67">
        <v>2.3079000000000002E-2</v>
      </c>
      <c r="C41" s="67">
        <v>0.39893700000000004</v>
      </c>
      <c r="D41" s="67">
        <v>0.81415714285714302</v>
      </c>
      <c r="F41" s="22">
        <v>452</v>
      </c>
      <c r="G41" s="67">
        <v>0.13839499999999999</v>
      </c>
      <c r="H41" s="67">
        <v>7.0285999999999987E-2</v>
      </c>
      <c r="I41" s="67">
        <v>6.1236725663716823E-2</v>
      </c>
      <c r="K41" s="22">
        <v>452</v>
      </c>
      <c r="L41" s="67">
        <v>3.066E-2</v>
      </c>
      <c r="M41" s="67">
        <v>0.30659999999999998</v>
      </c>
      <c r="N41" s="67">
        <v>0.21899999999999997</v>
      </c>
      <c r="P41">
        <v>452</v>
      </c>
      <c r="Q41">
        <v>3.2225999999999998E-2</v>
      </c>
      <c r="R41">
        <v>0.80564999999999998</v>
      </c>
      <c r="S41">
        <v>0.98250000000000004</v>
      </c>
    </row>
    <row r="42" spans="1:19" x14ac:dyDescent="0.3">
      <c r="A42" s="22">
        <v>485</v>
      </c>
      <c r="B42" s="67">
        <v>0.12831299999999998</v>
      </c>
      <c r="C42" s="67">
        <v>0.67256999999999989</v>
      </c>
      <c r="D42" s="67">
        <v>0.25002602230483267</v>
      </c>
      <c r="F42" s="22">
        <v>485</v>
      </c>
      <c r="G42" s="67">
        <v>8.0909999999999996E-2</v>
      </c>
      <c r="H42" s="67">
        <v>0.2883</v>
      </c>
      <c r="I42" s="67">
        <v>4.3499999999999997E-3</v>
      </c>
      <c r="K42" s="22">
        <v>485</v>
      </c>
      <c r="L42" s="67">
        <v>0.30418899999999999</v>
      </c>
      <c r="M42" s="67">
        <v>0.78115999999999997</v>
      </c>
      <c r="N42" s="67">
        <v>8.5001088139281838E-2</v>
      </c>
      <c r="P42">
        <v>485</v>
      </c>
      <c r="Q42">
        <v>0.26964000000000005</v>
      </c>
      <c r="R42">
        <v>1.2180000000000002</v>
      </c>
      <c r="S42">
        <v>0.1897196261682243</v>
      </c>
    </row>
    <row r="43" spans="1:19" x14ac:dyDescent="0.3">
      <c r="A43" s="22">
        <v>473</v>
      </c>
      <c r="B43" s="67">
        <v>0.48436200000000001</v>
      </c>
      <c r="C43" s="67">
        <v>5.0786000000000005E-2</v>
      </c>
      <c r="D43" s="67">
        <v>7.9477308294209712E-3</v>
      </c>
      <c r="F43" s="22">
        <v>473</v>
      </c>
      <c r="G43" s="86"/>
      <c r="H43" s="86"/>
      <c r="I43" s="86"/>
      <c r="K43" s="22">
        <v>473</v>
      </c>
      <c r="L43" s="86"/>
      <c r="M43" s="86"/>
      <c r="N43" s="86"/>
      <c r="P43">
        <v>473</v>
      </c>
    </row>
    <row r="44" spans="1:19" x14ac:dyDescent="0.3">
      <c r="A44" s="22">
        <v>469</v>
      </c>
      <c r="B44" s="67">
        <v>4.9404000000000003E-2</v>
      </c>
      <c r="C44" s="67">
        <v>3.3831E-3</v>
      </c>
      <c r="D44" s="67">
        <v>3.6772826086956516E-3</v>
      </c>
      <c r="F44" s="22">
        <v>469</v>
      </c>
      <c r="G44" s="86"/>
      <c r="H44" s="86"/>
      <c r="I44" s="86"/>
      <c r="K44" s="22">
        <v>469</v>
      </c>
      <c r="L44" s="67">
        <v>0.12185600000000002</v>
      </c>
      <c r="M44" s="67">
        <v>3.1280000000000001E-3</v>
      </c>
      <c r="N44" s="67">
        <v>3.4910714285714287E-4</v>
      </c>
      <c r="P44">
        <v>469</v>
      </c>
      <c r="Q44">
        <v>0.13055999999999998</v>
      </c>
      <c r="R44">
        <v>1.6640000000000001E-3</v>
      </c>
      <c r="S44">
        <v>1.6313725490196081E-4</v>
      </c>
    </row>
    <row r="45" spans="1:19" x14ac:dyDescent="0.3">
      <c r="A45" s="22">
        <v>424</v>
      </c>
      <c r="B45" s="67">
        <v>0.25414399999999998</v>
      </c>
      <c r="C45" s="67">
        <v>4.2597999999999997E-2</v>
      </c>
      <c r="D45" s="67">
        <v>6.050852272727272E-3</v>
      </c>
      <c r="F45" s="22">
        <v>424</v>
      </c>
      <c r="G45" s="67">
        <v>0.14808800000000003</v>
      </c>
      <c r="H45" s="67">
        <v>0.88596000000000008</v>
      </c>
      <c r="I45" s="67">
        <v>7.1540096618357496E-3</v>
      </c>
      <c r="K45" s="22">
        <v>424</v>
      </c>
      <c r="L45" s="67">
        <v>0.294624</v>
      </c>
      <c r="M45" s="67">
        <v>3.2053999999999999E-2</v>
      </c>
      <c r="N45" s="67">
        <v>3.7099537037037032E-3</v>
      </c>
      <c r="P45">
        <v>424</v>
      </c>
      <c r="Q45">
        <v>0.30564000000000002</v>
      </c>
      <c r="R45">
        <v>2.9520000000000001E-2</v>
      </c>
      <c r="S45">
        <v>3.4770318021201414E-3</v>
      </c>
    </row>
    <row r="46" spans="1:19" x14ac:dyDescent="0.3">
      <c r="A46" s="22">
        <v>576</v>
      </c>
      <c r="B46" s="67">
        <v>0.39822199999999996</v>
      </c>
      <c r="C46" s="67">
        <v>1.3379E-2</v>
      </c>
      <c r="D46" s="67">
        <v>2.6440711462450599E-3</v>
      </c>
      <c r="F46" s="22">
        <v>576</v>
      </c>
      <c r="G46" s="67">
        <v>3.3390000000000004E-3</v>
      </c>
      <c r="H46" s="67">
        <v>0.10112400000000001</v>
      </c>
      <c r="I46" s="67">
        <v>5.2500000000000008E-4</v>
      </c>
      <c r="K46" s="22">
        <v>576</v>
      </c>
      <c r="L46" s="67">
        <v>0.95775999999999994</v>
      </c>
      <c r="M46" s="67">
        <v>7.8719999999999988E-3</v>
      </c>
      <c r="N46" s="67">
        <v>5.391780821917808E-4</v>
      </c>
      <c r="P46">
        <v>576</v>
      </c>
      <c r="Q46">
        <v>0.82944000000000018</v>
      </c>
      <c r="R46">
        <v>1.4256000000000001E-2</v>
      </c>
      <c r="S46">
        <v>1.1137499999999999E-3</v>
      </c>
    </row>
    <row r="47" spans="1:19" x14ac:dyDescent="0.3">
      <c r="A47" s="22">
        <v>453</v>
      </c>
      <c r="B47" s="67">
        <v>0.29625000000000001</v>
      </c>
      <c r="C47" s="67">
        <v>0.37375000000000003</v>
      </c>
      <c r="D47" s="67">
        <v>0.15770042194092829</v>
      </c>
      <c r="F47" s="22">
        <v>453</v>
      </c>
      <c r="G47" s="67">
        <v>0.10932600000000001</v>
      </c>
      <c r="H47" s="67">
        <v>0.32239200000000001</v>
      </c>
      <c r="I47" s="67">
        <v>2.7060891089108915E-2</v>
      </c>
      <c r="K47" s="22">
        <v>453</v>
      </c>
      <c r="L47" s="67">
        <v>0.32100000000000001</v>
      </c>
      <c r="M47" s="67">
        <v>7.4471999999999997E-2</v>
      </c>
      <c r="N47" s="67">
        <v>7.4471999999999993E-3</v>
      </c>
      <c r="P47">
        <v>453</v>
      </c>
      <c r="Q47">
        <v>0.36782000000000004</v>
      </c>
      <c r="R47">
        <v>6.3154000000000002E-2</v>
      </c>
      <c r="S47">
        <v>5.9579245283018882E-3</v>
      </c>
    </row>
    <row r="48" spans="1:19" x14ac:dyDescent="0.3">
      <c r="A48" s="22">
        <v>418</v>
      </c>
      <c r="B48" s="67">
        <v>1.7639999999999999E-2</v>
      </c>
      <c r="C48" s="67">
        <v>2.52E-2</v>
      </c>
      <c r="D48" s="67">
        <v>1.8000000000000002E-2</v>
      </c>
      <c r="F48" s="22">
        <v>418</v>
      </c>
      <c r="G48" s="67">
        <v>2.666E-2</v>
      </c>
      <c r="H48" s="67">
        <v>4.2999999999999997E-2</v>
      </c>
      <c r="I48" s="67">
        <v>1.0664E-2</v>
      </c>
      <c r="K48" s="22">
        <v>418</v>
      </c>
      <c r="L48" s="67">
        <v>5.2499999999999998E-2</v>
      </c>
      <c r="M48" s="67">
        <v>0.252</v>
      </c>
      <c r="N48" s="67">
        <v>8.4000000000000005E-2</v>
      </c>
      <c r="P48">
        <v>418</v>
      </c>
      <c r="Q48">
        <v>1.7751000000000003E-2</v>
      </c>
      <c r="R48">
        <v>3.7830000000000003E-2</v>
      </c>
      <c r="S48">
        <v>6.2016393442622962E-2</v>
      </c>
    </row>
    <row r="49" spans="1:19" x14ac:dyDescent="0.3">
      <c r="A49" s="22">
        <v>486</v>
      </c>
      <c r="B49" s="67">
        <v>0.13943800000000001</v>
      </c>
      <c r="C49" s="67">
        <v>7.9925999999999997E-2</v>
      </c>
      <c r="D49" s="67">
        <v>1.9832754342431761E-2</v>
      </c>
      <c r="F49" s="22">
        <v>486</v>
      </c>
      <c r="G49" s="67">
        <v>4.4159999999999998E-3</v>
      </c>
      <c r="H49" s="67">
        <v>3.5120999999999999E-2</v>
      </c>
      <c r="I49" s="67">
        <v>8.6758349705304521E-4</v>
      </c>
      <c r="K49" s="22">
        <v>486</v>
      </c>
      <c r="L49" s="67">
        <v>0.133488</v>
      </c>
      <c r="M49" s="67">
        <v>0.18835200000000005</v>
      </c>
      <c r="N49" s="67">
        <v>6.0955339805825251E-2</v>
      </c>
      <c r="P49">
        <v>486</v>
      </c>
      <c r="Q49">
        <v>9.5558999999999991E-2</v>
      </c>
      <c r="R49">
        <v>3.8159999999999999E-2</v>
      </c>
      <c r="S49">
        <v>6.3494176372712145E-3</v>
      </c>
    </row>
    <row r="50" spans="1:19" x14ac:dyDescent="0.3">
      <c r="A50" s="22">
        <v>449</v>
      </c>
      <c r="B50" s="67">
        <v>0.37125000000000002</v>
      </c>
      <c r="C50" s="67">
        <v>0.16250000000000001</v>
      </c>
      <c r="D50" s="67">
        <v>2.7356902356902357E-2</v>
      </c>
      <c r="F50" s="22">
        <v>449</v>
      </c>
      <c r="G50" s="67">
        <v>9.3561999999999992E-2</v>
      </c>
      <c r="H50" s="67">
        <v>0.45633000000000001</v>
      </c>
      <c r="I50" s="67">
        <v>1.176880503144654E-2</v>
      </c>
      <c r="K50" s="22">
        <v>449</v>
      </c>
      <c r="L50" s="67">
        <v>0.24254999999999999</v>
      </c>
      <c r="M50" s="67">
        <v>9.2894999999999991E-2</v>
      </c>
      <c r="N50" s="67">
        <v>6.3193877551020409E-3</v>
      </c>
      <c r="P50">
        <v>449</v>
      </c>
      <c r="Q50">
        <v>0.23373000000000002</v>
      </c>
      <c r="R50">
        <v>8.5064999999999988E-2</v>
      </c>
      <c r="S50">
        <v>5.7867346938775509E-3</v>
      </c>
    </row>
    <row r="51" spans="1:19" x14ac:dyDescent="0.3">
      <c r="A51" s="22">
        <v>423</v>
      </c>
      <c r="B51" s="67">
        <v>3.7407000000000003E-2</v>
      </c>
      <c r="C51" s="67">
        <v>0.12132000000000001</v>
      </c>
      <c r="D51" s="67">
        <v>0.10929729729729729</v>
      </c>
      <c r="F51" s="22">
        <v>423</v>
      </c>
      <c r="G51" s="67">
        <v>4.3089000000000002E-2</v>
      </c>
      <c r="H51" s="67">
        <v>0.105961</v>
      </c>
      <c r="I51" s="67">
        <v>1.1020204603580563E-2</v>
      </c>
      <c r="K51" s="22">
        <v>423</v>
      </c>
      <c r="L51" s="67">
        <v>0.20047999999999999</v>
      </c>
      <c r="M51" s="67">
        <v>0.26312999999999998</v>
      </c>
      <c r="N51" s="67">
        <v>2.3493750000000001E-2</v>
      </c>
      <c r="P51">
        <v>423</v>
      </c>
      <c r="Q51">
        <v>6.8154999999999993E-2</v>
      </c>
      <c r="R51">
        <v>0.10535</v>
      </c>
      <c r="S51">
        <v>3.3233438485804422E-2</v>
      </c>
    </row>
    <row r="52" spans="1:19" x14ac:dyDescent="0.3">
      <c r="A52" s="70">
        <v>601</v>
      </c>
      <c r="B52" s="67">
        <v>0.11966000000000002</v>
      </c>
      <c r="C52" s="67">
        <v>6.5619999999999998E-2</v>
      </c>
      <c r="D52" s="67">
        <v>0.21167741935483875</v>
      </c>
      <c r="F52" s="70">
        <v>601</v>
      </c>
      <c r="G52" s="67">
        <v>2.6783999999999999E-2</v>
      </c>
      <c r="H52" s="67">
        <v>1.2383999999999999E-2</v>
      </c>
      <c r="I52" s="67">
        <v>0.62288372093023259</v>
      </c>
      <c r="K52" s="22">
        <v>601</v>
      </c>
      <c r="L52" s="60"/>
      <c r="M52" s="60"/>
      <c r="N52" s="60"/>
      <c r="P52">
        <v>601</v>
      </c>
    </row>
    <row r="53" spans="1:19" x14ac:dyDescent="0.3">
      <c r="A53" s="70">
        <v>578</v>
      </c>
      <c r="B53" s="67">
        <v>0.15787399999999999</v>
      </c>
      <c r="C53" s="67">
        <v>7.5256000000000003E-2</v>
      </c>
      <c r="D53" s="67">
        <v>1.9496373056994819E-2</v>
      </c>
      <c r="F53" s="70">
        <v>578</v>
      </c>
      <c r="G53" s="67">
        <v>0.18060099999999998</v>
      </c>
      <c r="H53" s="67">
        <v>0.149927</v>
      </c>
      <c r="I53" s="67">
        <v>3.7703757828810018E-2</v>
      </c>
      <c r="K53" s="22">
        <v>578</v>
      </c>
      <c r="L53" s="67">
        <v>5.4279999999999988E-2</v>
      </c>
      <c r="M53" s="67">
        <v>0.30819999999999997</v>
      </c>
      <c r="N53" s="67">
        <v>0.13059322033898307</v>
      </c>
      <c r="P53">
        <v>578</v>
      </c>
      <c r="Q53">
        <v>8.7120000000000003E-2</v>
      </c>
      <c r="R53">
        <v>0.70079999999999998</v>
      </c>
      <c r="S53">
        <v>0.19305785123966943</v>
      </c>
    </row>
    <row r="54" spans="1:19" x14ac:dyDescent="0.3">
      <c r="A54" s="22">
        <v>816</v>
      </c>
      <c r="B54" s="67">
        <v>0.12959999999999999</v>
      </c>
      <c r="C54" s="67">
        <v>3.3119999999999997E-2</v>
      </c>
      <c r="D54" s="67">
        <v>9.1999999999999998E-2</v>
      </c>
      <c r="F54" s="70">
        <v>816</v>
      </c>
      <c r="G54" s="67">
        <v>6.7859999999999995E-3</v>
      </c>
      <c r="H54" s="67">
        <v>2.436E-2</v>
      </c>
      <c r="I54" s="67">
        <v>4.8471428571428561E-2</v>
      </c>
      <c r="K54" s="22">
        <v>816</v>
      </c>
      <c r="L54" s="60"/>
      <c r="M54" s="60"/>
      <c r="N54" s="60"/>
      <c r="P54">
        <v>816</v>
      </c>
    </row>
    <row r="55" spans="1:19" x14ac:dyDescent="0.3">
      <c r="A55" s="70">
        <v>826</v>
      </c>
      <c r="B55" s="67">
        <v>1.6768000000000002E-2</v>
      </c>
      <c r="C55" s="67">
        <v>1.1265999999999998E-2</v>
      </c>
      <c r="D55" s="67">
        <v>0.17603124999999994</v>
      </c>
      <c r="F55" s="70">
        <v>826</v>
      </c>
      <c r="G55" s="60"/>
      <c r="H55" s="60"/>
      <c r="I55" s="60"/>
      <c r="K55" s="70">
        <v>826</v>
      </c>
      <c r="L55" s="60"/>
      <c r="M55" s="60"/>
      <c r="N55" s="60"/>
      <c r="P55">
        <v>826</v>
      </c>
    </row>
    <row r="56" spans="1:19" x14ac:dyDescent="0.3">
      <c r="A56" s="70">
        <v>835</v>
      </c>
      <c r="B56" s="67">
        <v>3.168E-2</v>
      </c>
      <c r="C56" s="67">
        <v>2.6495999999999999E-2</v>
      </c>
      <c r="D56" s="67">
        <v>0.24087272727272727</v>
      </c>
      <c r="F56" s="70">
        <v>835</v>
      </c>
      <c r="G56" s="60"/>
      <c r="H56" s="60"/>
      <c r="I56" s="60"/>
      <c r="K56" s="70">
        <v>835</v>
      </c>
      <c r="L56" s="60"/>
      <c r="M56" s="60"/>
      <c r="N56" s="60"/>
      <c r="P56">
        <v>835</v>
      </c>
    </row>
    <row r="57" spans="1:19" x14ac:dyDescent="0.3">
      <c r="A57" s="70">
        <v>843</v>
      </c>
      <c r="B57" s="67">
        <v>3.7199999999999997E-2</v>
      </c>
      <c r="C57" s="67">
        <v>4.6499999999999993E-2</v>
      </c>
      <c r="D57" s="67">
        <v>0.38750000000000001</v>
      </c>
      <c r="F57" s="70">
        <v>843</v>
      </c>
      <c r="G57" s="60"/>
      <c r="H57" s="60"/>
      <c r="I57" s="60"/>
      <c r="K57" s="70">
        <v>843</v>
      </c>
      <c r="L57" s="60"/>
      <c r="M57" s="60"/>
      <c r="N57" s="60"/>
      <c r="P57">
        <v>843</v>
      </c>
    </row>
    <row r="58" spans="1:19" x14ac:dyDescent="0.3">
      <c r="A58" s="70">
        <v>689</v>
      </c>
      <c r="B58" s="76"/>
      <c r="C58" s="76"/>
      <c r="D58" s="76"/>
      <c r="F58" s="70">
        <v>689</v>
      </c>
      <c r="G58" s="60"/>
      <c r="H58" s="60"/>
      <c r="I58" s="60"/>
      <c r="K58" s="70">
        <v>689</v>
      </c>
      <c r="L58" s="60"/>
      <c r="M58" s="60"/>
      <c r="N58" s="60"/>
      <c r="P58">
        <v>689</v>
      </c>
    </row>
    <row r="59" spans="1:19" x14ac:dyDescent="0.3">
      <c r="A59" s="70">
        <v>834</v>
      </c>
      <c r="B59" s="76"/>
      <c r="C59" s="76"/>
      <c r="D59" s="76"/>
      <c r="F59" s="70">
        <v>834</v>
      </c>
      <c r="G59" s="60"/>
      <c r="H59" s="60"/>
      <c r="I59" s="60"/>
      <c r="K59" s="70">
        <v>834</v>
      </c>
      <c r="L59" s="60"/>
      <c r="M59" s="60"/>
      <c r="N59" s="60"/>
      <c r="P59">
        <v>834</v>
      </c>
    </row>
    <row r="60" spans="1:19" x14ac:dyDescent="0.3">
      <c r="A60" s="70">
        <v>855</v>
      </c>
      <c r="B60" s="76"/>
      <c r="C60" s="76"/>
      <c r="D60" s="76"/>
      <c r="F60" s="70">
        <v>855</v>
      </c>
      <c r="G60" s="60"/>
      <c r="H60" s="60"/>
      <c r="I60" s="60"/>
      <c r="K60" s="70">
        <v>855</v>
      </c>
      <c r="L60" s="60"/>
      <c r="M60" s="60"/>
      <c r="N60" s="60"/>
      <c r="P60">
        <v>855</v>
      </c>
    </row>
    <row r="61" spans="1:19" x14ac:dyDescent="0.3">
      <c r="A61" s="22">
        <v>689</v>
      </c>
      <c r="B61" s="76"/>
      <c r="C61" s="76"/>
      <c r="D61" s="76"/>
      <c r="F61" s="2"/>
      <c r="G61" s="69"/>
      <c r="H61" s="69"/>
      <c r="I61" s="69"/>
      <c r="K61" s="2"/>
      <c r="L61" s="69"/>
      <c r="M61" s="69"/>
      <c r="N61" s="69"/>
    </row>
    <row r="62" spans="1:19" x14ac:dyDescent="0.3">
      <c r="A62" s="22">
        <v>816</v>
      </c>
      <c r="B62" s="67">
        <v>0.12959999999999999</v>
      </c>
      <c r="C62" s="67">
        <v>3.3119999999999997E-2</v>
      </c>
      <c r="D62" s="67">
        <v>9.1999999999999998E-2</v>
      </c>
      <c r="F62" s="2"/>
      <c r="G62" s="69"/>
      <c r="H62" s="69"/>
      <c r="I62" s="69"/>
      <c r="K62" s="2"/>
      <c r="L62" s="69"/>
      <c r="M62" s="69"/>
      <c r="N62" s="69"/>
    </row>
    <row r="63" spans="1:19" x14ac:dyDescent="0.3">
      <c r="A63" s="22">
        <v>826</v>
      </c>
      <c r="B63" s="67">
        <v>1.6768000000000002E-2</v>
      </c>
      <c r="C63" s="67">
        <v>1.1265999999999998E-2</v>
      </c>
      <c r="D63" s="67">
        <v>0.17603124999999994</v>
      </c>
      <c r="F63" s="2"/>
      <c r="G63" s="69"/>
      <c r="H63" s="69"/>
      <c r="I63" s="69"/>
      <c r="K63" s="2"/>
      <c r="L63" s="69"/>
      <c r="M63" s="69"/>
      <c r="N63" s="69"/>
    </row>
    <row r="64" spans="1:19" x14ac:dyDescent="0.3">
      <c r="A64" s="22">
        <v>834</v>
      </c>
      <c r="B64" s="76"/>
      <c r="C64" s="76"/>
      <c r="D64" s="76"/>
      <c r="F64" s="2"/>
      <c r="G64" s="69"/>
      <c r="H64" s="69"/>
      <c r="I64" s="69"/>
      <c r="K64" s="2"/>
      <c r="L64" s="69"/>
      <c r="M64" s="69"/>
      <c r="N64" s="69"/>
    </row>
    <row r="65" spans="1:19" x14ac:dyDescent="0.3">
      <c r="A65" s="22">
        <v>835</v>
      </c>
      <c r="B65" s="67">
        <v>3.168E-2</v>
      </c>
      <c r="C65" s="67">
        <v>2.6495999999999999E-2</v>
      </c>
      <c r="D65" s="67">
        <v>0.24087272727272727</v>
      </c>
      <c r="F65" s="2"/>
      <c r="G65" s="69"/>
      <c r="H65" s="69"/>
      <c r="I65" s="69"/>
      <c r="K65" s="2"/>
      <c r="L65" s="69"/>
      <c r="M65" s="69"/>
      <c r="N65" s="69"/>
    </row>
    <row r="66" spans="1:19" x14ac:dyDescent="0.3">
      <c r="A66" s="22">
        <v>855</v>
      </c>
      <c r="B66" s="76"/>
      <c r="C66" s="76"/>
      <c r="D66" s="76"/>
      <c r="F66" s="2"/>
      <c r="G66" s="69"/>
      <c r="H66" s="69"/>
      <c r="I66" s="69"/>
      <c r="K66" s="2"/>
      <c r="L66" s="69"/>
      <c r="M66" s="69"/>
      <c r="N66" s="69"/>
    </row>
    <row r="67" spans="1:19" x14ac:dyDescent="0.3">
      <c r="A67" s="2"/>
      <c r="B67" s="69"/>
      <c r="C67" s="69"/>
      <c r="D67" s="69"/>
      <c r="F67" s="2"/>
      <c r="G67" s="69"/>
      <c r="H67" s="69"/>
      <c r="I67" s="69"/>
      <c r="K67" s="2"/>
      <c r="L67" s="69"/>
      <c r="M67" s="69"/>
      <c r="N67" s="69"/>
    </row>
    <row r="68" spans="1:19" x14ac:dyDescent="0.3">
      <c r="A68" s="2"/>
      <c r="B68" s="69"/>
      <c r="C68" s="69"/>
      <c r="D68" s="69"/>
      <c r="F68" s="2"/>
      <c r="G68" s="69"/>
      <c r="H68" s="69"/>
      <c r="I68" s="69"/>
      <c r="K68" s="2"/>
      <c r="L68" s="69"/>
      <c r="M68" s="69"/>
      <c r="N68" s="69"/>
    </row>
    <row r="69" spans="1:19" x14ac:dyDescent="0.3">
      <c r="A69" s="27">
        <v>231</v>
      </c>
      <c r="B69" s="67">
        <v>0.39825900000000003</v>
      </c>
      <c r="C69" s="67">
        <v>0.27454800000000001</v>
      </c>
      <c r="D69" s="67">
        <v>2.8333126934984524E-2</v>
      </c>
      <c r="F69" s="27">
        <v>231</v>
      </c>
      <c r="G69" s="86"/>
      <c r="H69" s="86"/>
      <c r="I69" s="86"/>
      <c r="K69" s="27">
        <v>231</v>
      </c>
      <c r="L69" s="86"/>
      <c r="M69" s="86"/>
      <c r="N69" s="86"/>
      <c r="P69">
        <v>231</v>
      </c>
    </row>
    <row r="70" spans="1:19" x14ac:dyDescent="0.3">
      <c r="A70" s="27">
        <v>289</v>
      </c>
      <c r="B70" s="60"/>
      <c r="C70" s="60"/>
      <c r="D70" s="60"/>
      <c r="F70" s="27">
        <v>317</v>
      </c>
      <c r="G70" s="67">
        <v>0.22159800000000002</v>
      </c>
      <c r="H70" s="67">
        <v>2.5284900000000001</v>
      </c>
      <c r="I70" s="67">
        <v>8.2995505617977534E-3</v>
      </c>
      <c r="K70" s="27">
        <v>317</v>
      </c>
      <c r="L70" s="67">
        <v>4.7459999999999996</v>
      </c>
      <c r="M70" s="67">
        <v>0.12039999999999999</v>
      </c>
      <c r="N70" s="67">
        <v>3.5516224188790555E-3</v>
      </c>
      <c r="P70">
        <v>317</v>
      </c>
      <c r="Q70">
        <v>1.27641</v>
      </c>
      <c r="R70">
        <v>7.5359999999999996E-2</v>
      </c>
      <c r="S70">
        <v>5.9040590405904057E-2</v>
      </c>
    </row>
    <row r="71" spans="1:19" x14ac:dyDescent="0.3">
      <c r="A71" s="27">
        <v>247</v>
      </c>
      <c r="B71" s="67">
        <v>2.1172000000000004</v>
      </c>
      <c r="C71" s="67">
        <v>0.38710000000000006</v>
      </c>
      <c r="D71" s="67">
        <v>2.8888059701492538E-2</v>
      </c>
      <c r="F71" s="27">
        <v>247</v>
      </c>
      <c r="G71" s="67">
        <v>0.59760000000000002</v>
      </c>
      <c r="H71" s="67">
        <v>5.8764000000000003</v>
      </c>
      <c r="I71" s="67">
        <v>3.3762711864406783E-2</v>
      </c>
      <c r="K71" s="27">
        <v>247</v>
      </c>
      <c r="L71" s="67">
        <v>1.6686000000000001</v>
      </c>
      <c r="M71" s="67">
        <v>0.24205000000000002</v>
      </c>
      <c r="N71" s="67">
        <v>1.494135802469136E-2</v>
      </c>
      <c r="P71">
        <v>247</v>
      </c>
      <c r="Q71">
        <v>1.4658999999999998</v>
      </c>
      <c r="R71">
        <v>6.6339999999999996E-2</v>
      </c>
      <c r="S71">
        <v>4.5255474452554748E-2</v>
      </c>
    </row>
    <row r="72" spans="1:19" x14ac:dyDescent="0.3">
      <c r="A72" s="27">
        <v>267</v>
      </c>
      <c r="B72" s="86"/>
      <c r="C72" s="86"/>
      <c r="D72" s="86"/>
      <c r="F72" s="27">
        <v>267</v>
      </c>
      <c r="G72" s="86"/>
      <c r="H72" s="86"/>
      <c r="I72" s="86"/>
      <c r="K72" s="27">
        <v>267</v>
      </c>
      <c r="L72" s="67">
        <v>0.83726999999999985</v>
      </c>
      <c r="M72" s="67">
        <v>0.63693</v>
      </c>
      <c r="N72" s="67">
        <v>1.4377652370203163E-2</v>
      </c>
      <c r="P72">
        <v>267</v>
      </c>
      <c r="Q72">
        <v>0.96476000000000017</v>
      </c>
      <c r="R72">
        <v>0.32218000000000002</v>
      </c>
      <c r="S72">
        <v>0.33394833948339481</v>
      </c>
    </row>
    <row r="73" spans="1:19" x14ac:dyDescent="0.3">
      <c r="A73" s="27">
        <v>303</v>
      </c>
      <c r="B73" s="67">
        <v>7.1539999999999999</v>
      </c>
      <c r="C73" s="67">
        <v>1.6513</v>
      </c>
      <c r="D73" s="67">
        <v>5.6551369863013699E-2</v>
      </c>
      <c r="F73" s="27">
        <v>303</v>
      </c>
      <c r="G73" s="67">
        <v>7.3980000000000018E-2</v>
      </c>
      <c r="H73" s="67">
        <v>1.5282000000000002</v>
      </c>
      <c r="I73" s="67">
        <v>2.6141342756183751E-3</v>
      </c>
      <c r="K73" s="27">
        <v>303</v>
      </c>
      <c r="L73" s="67">
        <v>3.27156</v>
      </c>
      <c r="M73" s="67">
        <v>1.7591600000000001</v>
      </c>
      <c r="N73" s="67">
        <v>4.2801946472019459E-2</v>
      </c>
      <c r="P73">
        <v>303</v>
      </c>
      <c r="Q73">
        <v>1.27925</v>
      </c>
      <c r="R73">
        <v>5.8905000000000006E-2</v>
      </c>
      <c r="S73">
        <v>4.6046511627906982E-2</v>
      </c>
    </row>
    <row r="74" spans="1:19" x14ac:dyDescent="0.3">
      <c r="A74" s="27">
        <v>283</v>
      </c>
      <c r="B74" s="67">
        <v>1.375</v>
      </c>
      <c r="C74" s="67">
        <v>0.35499999999999998</v>
      </c>
      <c r="D74" s="67">
        <v>6.4545454545454545E-2</v>
      </c>
      <c r="F74" s="27">
        <v>283</v>
      </c>
      <c r="G74" s="67">
        <v>0.36604800000000004</v>
      </c>
      <c r="H74" s="67">
        <v>1.3775999999999999</v>
      </c>
      <c r="I74" s="67">
        <v>2.6146285714285719E-2</v>
      </c>
      <c r="K74" s="27">
        <v>283</v>
      </c>
      <c r="L74" s="67">
        <v>1.1485099999999999</v>
      </c>
      <c r="M74" s="67">
        <v>0.21396100000000001</v>
      </c>
      <c r="N74" s="67">
        <v>1.0860964467005076E-2</v>
      </c>
      <c r="P74">
        <v>283</v>
      </c>
      <c r="Q74">
        <v>2.05328</v>
      </c>
      <c r="R74">
        <v>8.0031999999999992E-2</v>
      </c>
      <c r="S74">
        <v>3.8977635782747599E-2</v>
      </c>
    </row>
    <row r="75" spans="1:19" x14ac:dyDescent="0.3">
      <c r="A75" s="27">
        <v>674</v>
      </c>
      <c r="B75" s="67">
        <v>8.9109999999999996</v>
      </c>
      <c r="C75" s="67">
        <v>0.70109999999999995</v>
      </c>
      <c r="D75" s="67">
        <v>1.4948827292110873E-2</v>
      </c>
      <c r="F75" s="27">
        <v>674</v>
      </c>
      <c r="G75" s="67">
        <v>0.5865459999999999</v>
      </c>
      <c r="H75" s="67">
        <v>4.4415300000000002</v>
      </c>
      <c r="I75" s="67">
        <v>1.2453205944798301E-2</v>
      </c>
      <c r="K75" s="27">
        <v>674</v>
      </c>
      <c r="L75" s="67">
        <v>3.3832200000000001</v>
      </c>
      <c r="M75" s="67">
        <v>0.35798400000000002</v>
      </c>
      <c r="N75" s="67">
        <v>7.1740280561122258E-3</v>
      </c>
      <c r="P75">
        <v>674</v>
      </c>
      <c r="Q75">
        <v>0.54991999999999996</v>
      </c>
      <c r="R75">
        <v>0.25591999999999998</v>
      </c>
      <c r="S75">
        <v>0.46537678207739308</v>
      </c>
    </row>
    <row r="76" spans="1:19" x14ac:dyDescent="0.3">
      <c r="A76" s="27">
        <v>617</v>
      </c>
      <c r="B76" s="67">
        <v>0.37619999999999998</v>
      </c>
      <c r="C76" s="67">
        <v>0.10545000000000002</v>
      </c>
      <c r="D76" s="67">
        <v>7.9886363636363644E-3</v>
      </c>
      <c r="F76" s="27">
        <v>617</v>
      </c>
      <c r="G76" s="67">
        <v>1.7547999999999998E-2</v>
      </c>
      <c r="H76" s="67">
        <v>0.27551999999999999</v>
      </c>
      <c r="I76" s="67">
        <v>5.2226190476190471E-4</v>
      </c>
      <c r="K76" s="27">
        <v>617</v>
      </c>
      <c r="L76" s="67">
        <v>0.11952</v>
      </c>
      <c r="M76" s="67">
        <v>4.2335999999999999E-2</v>
      </c>
      <c r="N76" s="67">
        <v>2.5503614457831319E-3</v>
      </c>
      <c r="P76">
        <v>617</v>
      </c>
    </row>
    <row r="77" spans="1:19" x14ac:dyDescent="0.3">
      <c r="A77" s="27">
        <v>722</v>
      </c>
      <c r="B77" s="67">
        <v>0.43176000000000003</v>
      </c>
      <c r="C77" s="67">
        <v>0.27242</v>
      </c>
      <c r="D77" s="67">
        <v>1.6215476190476186E-2</v>
      </c>
      <c r="F77" s="27">
        <v>604</v>
      </c>
      <c r="G77" s="67">
        <v>3.4328000000000004E-2</v>
      </c>
      <c r="H77" s="67">
        <v>0.13888</v>
      </c>
      <c r="I77" s="67">
        <v>1.3841935483870967E-3</v>
      </c>
      <c r="K77" s="27">
        <v>604</v>
      </c>
      <c r="L77" s="67">
        <v>0.24150000000000002</v>
      </c>
      <c r="M77" s="67">
        <v>6.0795000000000002E-2</v>
      </c>
      <c r="N77" s="67">
        <v>2.6432608695652177E-3</v>
      </c>
      <c r="P77">
        <v>604</v>
      </c>
      <c r="Q77">
        <v>0.29912999999999995</v>
      </c>
      <c r="R77">
        <v>2.1240000000000002E-2</v>
      </c>
      <c r="S77">
        <v>7.1005917159763329E-2</v>
      </c>
    </row>
    <row r="78" spans="1:19" x14ac:dyDescent="0.3">
      <c r="A78" s="27">
        <v>677</v>
      </c>
      <c r="B78" s="67">
        <v>5.2635000000000005</v>
      </c>
      <c r="C78" s="67">
        <v>0.28391</v>
      </c>
      <c r="D78" s="67">
        <v>1.7206666666666665E-2</v>
      </c>
      <c r="F78" s="27">
        <v>677</v>
      </c>
      <c r="G78" s="67">
        <v>8.5652000000000006E-2</v>
      </c>
      <c r="H78" s="67">
        <v>1.34596</v>
      </c>
      <c r="I78" s="67">
        <v>2.7809090909090904E-3</v>
      </c>
      <c r="K78" s="27">
        <v>677</v>
      </c>
      <c r="L78" s="67">
        <v>1.72695</v>
      </c>
      <c r="M78" s="67">
        <v>0.150945</v>
      </c>
      <c r="N78" s="67">
        <v>3.8021410579345081E-3</v>
      </c>
      <c r="P78">
        <v>677</v>
      </c>
      <c r="Q78">
        <v>0.50616000000000005</v>
      </c>
      <c r="R78">
        <v>6.3840000000000008E-2</v>
      </c>
      <c r="S78">
        <v>0.12612612612612611</v>
      </c>
    </row>
    <row r="79" spans="1:19" x14ac:dyDescent="0.3">
      <c r="A79" s="27">
        <v>713</v>
      </c>
      <c r="B79" s="67">
        <v>6.3318000000000003</v>
      </c>
      <c r="C79" s="67">
        <v>0.40992000000000006</v>
      </c>
      <c r="D79" s="67">
        <v>2.3694797687861278E-2</v>
      </c>
      <c r="F79" s="27">
        <v>713</v>
      </c>
      <c r="G79" s="67">
        <v>0.47824</v>
      </c>
      <c r="H79" s="67">
        <v>6.9784000000000006</v>
      </c>
      <c r="I79" s="67">
        <v>8.3608391608391581E-3</v>
      </c>
      <c r="K79" s="27">
        <v>713</v>
      </c>
      <c r="L79" s="67">
        <v>2.5161699999999998</v>
      </c>
      <c r="M79" s="67">
        <v>0.40007800000000004</v>
      </c>
      <c r="N79" s="67">
        <v>1.1082493074792244E-2</v>
      </c>
      <c r="P79">
        <v>713</v>
      </c>
    </row>
    <row r="80" spans="1:19" x14ac:dyDescent="0.3">
      <c r="A80" s="27">
        <v>268</v>
      </c>
      <c r="B80" s="67">
        <v>0.50068199999999996</v>
      </c>
      <c r="C80" s="67">
        <v>0.53289600000000004</v>
      </c>
      <c r="D80" s="67">
        <v>5.8112977099236643E-2</v>
      </c>
      <c r="F80" s="27">
        <v>268</v>
      </c>
      <c r="G80" s="86"/>
      <c r="H80" s="86"/>
      <c r="I80" s="86"/>
      <c r="K80" s="27">
        <v>268</v>
      </c>
      <c r="L80" s="86"/>
      <c r="M80" s="86"/>
      <c r="N80" s="86"/>
      <c r="P80">
        <v>268</v>
      </c>
    </row>
    <row r="81" spans="1:19" x14ac:dyDescent="0.3">
      <c r="A81" s="27">
        <v>282</v>
      </c>
      <c r="B81" s="60"/>
      <c r="C81" s="60"/>
      <c r="D81" s="60"/>
      <c r="F81" s="27">
        <v>612</v>
      </c>
      <c r="G81" s="67">
        <v>2.3369999999999998E-2</v>
      </c>
      <c r="H81" s="67">
        <v>0.17712</v>
      </c>
      <c r="I81" s="67">
        <v>1.0819444444444444E-3</v>
      </c>
      <c r="K81" s="27">
        <v>612</v>
      </c>
      <c r="L81" s="67">
        <v>0.51338000000000006</v>
      </c>
      <c r="M81" s="67">
        <v>4.1629000000000006E-2</v>
      </c>
      <c r="N81" s="67">
        <v>1.0784715025906736E-3</v>
      </c>
      <c r="P81">
        <v>612</v>
      </c>
      <c r="Q81">
        <v>0.36936000000000008</v>
      </c>
      <c r="R81">
        <v>2.6352E-2</v>
      </c>
      <c r="S81">
        <v>7.1345029239766072E-2</v>
      </c>
    </row>
    <row r="82" spans="1:19" x14ac:dyDescent="0.3">
      <c r="F82" s="27">
        <v>614</v>
      </c>
      <c r="G82" s="67">
        <v>1.1856E-2</v>
      </c>
      <c r="H82" s="67">
        <v>0.28044000000000002</v>
      </c>
      <c r="I82" s="67">
        <v>4.8195121951219509E-4</v>
      </c>
      <c r="K82" s="27">
        <v>614</v>
      </c>
      <c r="L82" s="67">
        <v>0.99059999999999993</v>
      </c>
      <c r="M82" s="67">
        <v>0.12558</v>
      </c>
      <c r="N82" s="67">
        <v>2.4720472440944883E-3</v>
      </c>
      <c r="P82">
        <v>614</v>
      </c>
      <c r="Q82">
        <v>0.40590000000000004</v>
      </c>
      <c r="R82">
        <v>9.2399999999999999E-3</v>
      </c>
      <c r="S82">
        <v>2.2764227642276421E-2</v>
      </c>
    </row>
    <row r="83" spans="1:19" x14ac:dyDescent="0.3">
      <c r="A83" s="27">
        <v>248</v>
      </c>
      <c r="B83" s="67">
        <v>1.8094999999999999</v>
      </c>
      <c r="C83" s="67">
        <v>0.32571</v>
      </c>
      <c r="D83" s="67">
        <v>5.9219999999999995E-2</v>
      </c>
      <c r="F83" s="27">
        <v>248</v>
      </c>
      <c r="G83" s="67">
        <v>0.129</v>
      </c>
      <c r="H83" s="67">
        <v>1.0836000000000001</v>
      </c>
      <c r="I83" s="67">
        <v>7.6785714285714278E-3</v>
      </c>
      <c r="K83" s="27">
        <v>248</v>
      </c>
      <c r="L83" s="86"/>
      <c r="M83" s="86"/>
      <c r="N83" s="86"/>
      <c r="P83">
        <v>248</v>
      </c>
      <c r="Q83">
        <v>1.6804099999999997</v>
      </c>
      <c r="R83">
        <v>0.21473000000000003</v>
      </c>
      <c r="S83">
        <v>0.12778429073856978</v>
      </c>
    </row>
    <row r="84" spans="1:19" x14ac:dyDescent="0.3">
      <c r="A84" s="27">
        <v>274</v>
      </c>
      <c r="B84" s="67">
        <v>1.1716</v>
      </c>
      <c r="C84" s="67">
        <v>0.37975999999999999</v>
      </c>
      <c r="D84" s="67">
        <v>0.13095172413793102</v>
      </c>
      <c r="F84" s="27">
        <v>274</v>
      </c>
      <c r="G84" s="67">
        <v>0.21923199999999998</v>
      </c>
      <c r="H84" s="67">
        <v>1.5337400000000003</v>
      </c>
      <c r="I84" s="67">
        <v>6.3179250720461089E-3</v>
      </c>
      <c r="K84" s="27">
        <v>274</v>
      </c>
      <c r="L84" s="67">
        <v>0.76024000000000003</v>
      </c>
      <c r="M84" s="67">
        <v>0.16580800000000001</v>
      </c>
      <c r="N84" s="67">
        <v>7.5026244343891404E-3</v>
      </c>
      <c r="P84">
        <v>274</v>
      </c>
      <c r="Q84">
        <v>0.75048000000000004</v>
      </c>
      <c r="R84">
        <v>0.13864800000000002</v>
      </c>
      <c r="S84">
        <v>0.18474576271186444</v>
      </c>
    </row>
    <row r="85" spans="1:19" x14ac:dyDescent="0.3">
      <c r="A85" s="27">
        <v>269</v>
      </c>
      <c r="B85" s="67">
        <v>1.55124</v>
      </c>
      <c r="C85" s="67">
        <v>0.50964000000000009</v>
      </c>
      <c r="D85" s="67">
        <v>0.12221582733812951</v>
      </c>
      <c r="F85" s="27">
        <v>269</v>
      </c>
      <c r="G85" s="67">
        <v>0.19028399999999998</v>
      </c>
      <c r="H85" s="67">
        <v>1.4968199999999998</v>
      </c>
      <c r="I85" s="67">
        <v>7.7038056680161946E-3</v>
      </c>
      <c r="K85" s="27">
        <v>269</v>
      </c>
      <c r="L85" s="67">
        <v>2.0249800000000002</v>
      </c>
      <c r="M85" s="67">
        <v>0.37286000000000002</v>
      </c>
      <c r="N85" s="67">
        <v>3.7930824008138353E-2</v>
      </c>
      <c r="P85">
        <v>269</v>
      </c>
    </row>
    <row r="86" spans="1:19" x14ac:dyDescent="0.3">
      <c r="A86" s="27">
        <v>280</v>
      </c>
      <c r="B86" s="67">
        <v>2.1164000000000001</v>
      </c>
      <c r="C86" s="67">
        <v>0.68067999999999995</v>
      </c>
      <c r="D86" s="67">
        <v>9.1983783783783787E-2</v>
      </c>
      <c r="F86" s="27">
        <v>669</v>
      </c>
      <c r="G86" s="67">
        <v>2.6774999999999997E-2</v>
      </c>
      <c r="H86" s="67">
        <v>0.33574999999999994</v>
      </c>
      <c r="I86" s="67">
        <v>6.7784810126582276E-4</v>
      </c>
      <c r="K86" s="27">
        <v>669</v>
      </c>
      <c r="L86" s="67">
        <v>0.48424999999999996</v>
      </c>
      <c r="M86" s="67">
        <v>0.10355500000000001</v>
      </c>
      <c r="N86" s="67">
        <v>3.1863076923076923E-3</v>
      </c>
      <c r="P86">
        <v>669</v>
      </c>
      <c r="Q86">
        <v>0.16739999999999999</v>
      </c>
      <c r="R86">
        <v>2.4304000000000003E-2</v>
      </c>
      <c r="S86">
        <v>0.14518518518518519</v>
      </c>
    </row>
    <row r="87" spans="1:19" x14ac:dyDescent="0.3">
      <c r="A87" s="27">
        <v>300</v>
      </c>
      <c r="B87" s="67">
        <v>1.1721699999999999</v>
      </c>
      <c r="C87" s="67">
        <v>0.68649000000000004</v>
      </c>
      <c r="D87" s="67">
        <v>0.27350199203187253</v>
      </c>
      <c r="F87" s="27">
        <v>300</v>
      </c>
      <c r="G87" s="67">
        <v>0.13832</v>
      </c>
      <c r="H87" s="67">
        <v>1.6432000000000002</v>
      </c>
      <c r="I87" s="67">
        <v>8.7544303797468352E-3</v>
      </c>
      <c r="K87" s="27">
        <v>300</v>
      </c>
      <c r="L87" s="67">
        <v>2.9849999999999999</v>
      </c>
      <c r="M87" s="67">
        <v>0.44177999999999995</v>
      </c>
      <c r="N87" s="67">
        <v>2.9452000000000002E-2</v>
      </c>
      <c r="P87">
        <v>300</v>
      </c>
      <c r="Q87">
        <v>1.4175</v>
      </c>
      <c r="R87">
        <v>0.17324999999999999</v>
      </c>
      <c r="S87">
        <v>0.12222222222222222</v>
      </c>
    </row>
    <row r="88" spans="1:19" x14ac:dyDescent="0.3">
      <c r="A88" s="27">
        <v>316</v>
      </c>
      <c r="B88" s="67">
        <v>2.7376</v>
      </c>
      <c r="C88" s="67">
        <v>3.2096000000000005</v>
      </c>
      <c r="D88" s="67">
        <v>0.27668965517241378</v>
      </c>
      <c r="F88" s="27">
        <v>316</v>
      </c>
      <c r="G88" s="67">
        <v>7.0029999999999995E-2</v>
      </c>
      <c r="H88" s="67">
        <v>1.1711399999999998</v>
      </c>
      <c r="I88" s="67">
        <v>1.7819338422391858E-3</v>
      </c>
      <c r="K88" s="27">
        <v>316</v>
      </c>
      <c r="L88" s="67">
        <v>1.28</v>
      </c>
      <c r="M88" s="67">
        <v>0.38900000000000001</v>
      </c>
      <c r="N88" s="67">
        <v>3.0390625000000001E-2</v>
      </c>
      <c r="P88">
        <v>316</v>
      </c>
      <c r="Q88">
        <v>0.61403999999999992</v>
      </c>
      <c r="R88">
        <v>4.6783999999999999E-2</v>
      </c>
      <c r="S88">
        <v>7.6190476190476197E-2</v>
      </c>
    </row>
    <row r="89" spans="1:19" x14ac:dyDescent="0.3">
      <c r="A89" s="27">
        <v>308</v>
      </c>
      <c r="B89" s="67">
        <v>1.87</v>
      </c>
      <c r="C89" s="67">
        <v>0.34600000000000003</v>
      </c>
      <c r="D89" s="67">
        <v>1.8502673796791446E-2</v>
      </c>
      <c r="F89" s="27">
        <v>722</v>
      </c>
      <c r="G89" s="67">
        <v>1.2266999999999998E-2</v>
      </c>
      <c r="H89" s="67">
        <v>0.22532999999999997</v>
      </c>
      <c r="I89" s="67">
        <v>4.7362934362934361E-4</v>
      </c>
      <c r="K89" s="27">
        <v>722</v>
      </c>
      <c r="L89" s="67">
        <v>0.72850999999999999</v>
      </c>
      <c r="M89" s="67">
        <v>0.14764100000000002</v>
      </c>
      <c r="N89" s="67">
        <v>5.6137262357414449E-3</v>
      </c>
      <c r="P89">
        <v>722</v>
      </c>
      <c r="Q89">
        <v>0.46976000000000001</v>
      </c>
      <c r="R89">
        <v>9.4686000000000006E-2</v>
      </c>
      <c r="S89">
        <v>0.20156250000000001</v>
      </c>
    </row>
    <row r="90" spans="1:19" x14ac:dyDescent="0.3">
      <c r="A90" s="27">
        <v>304</v>
      </c>
      <c r="B90" s="67">
        <v>4.8803999999999998</v>
      </c>
      <c r="C90" s="67">
        <v>0.54780000000000006</v>
      </c>
      <c r="D90" s="67">
        <v>3.726530612244898E-2</v>
      </c>
      <c r="F90" s="27">
        <v>304</v>
      </c>
      <c r="G90" s="67">
        <v>9.2064000000000007E-2</v>
      </c>
      <c r="H90" s="67">
        <v>1.2667200000000001</v>
      </c>
      <c r="I90" s="67">
        <v>2.4420159151193632E-3</v>
      </c>
      <c r="K90" s="27">
        <v>304</v>
      </c>
      <c r="L90" s="67">
        <v>2.4653200000000002</v>
      </c>
      <c r="M90" s="67">
        <v>0.35635600000000006</v>
      </c>
      <c r="N90" s="67">
        <v>8.2681206496519714E-3</v>
      </c>
      <c r="P90">
        <v>304</v>
      </c>
      <c r="Q90">
        <v>0.90888000000000002</v>
      </c>
      <c r="R90">
        <v>5.7887000000000001E-2</v>
      </c>
      <c r="S90">
        <v>6.3690476190476186E-2</v>
      </c>
    </row>
    <row r="91" spans="1:19" x14ac:dyDescent="0.3">
      <c r="A91" s="27">
        <v>317</v>
      </c>
      <c r="B91" s="60"/>
      <c r="C91" s="60"/>
      <c r="D91" s="60"/>
      <c r="F91" s="27">
        <v>315</v>
      </c>
      <c r="G91" s="67">
        <v>0</v>
      </c>
      <c r="H91" s="67">
        <v>2.3166000000000003E-2</v>
      </c>
      <c r="I91" s="67">
        <v>0</v>
      </c>
      <c r="K91" s="27">
        <v>315</v>
      </c>
      <c r="L91" s="67">
        <v>0.40064</v>
      </c>
      <c r="M91" s="67">
        <v>4.8895999999999995E-2</v>
      </c>
      <c r="N91" s="67">
        <v>1.5621725239616613E-3</v>
      </c>
      <c r="P91">
        <v>315</v>
      </c>
      <c r="Q91">
        <v>0.20188000000000003</v>
      </c>
      <c r="R91">
        <v>8.3429999999999997E-3</v>
      </c>
      <c r="S91">
        <v>4.1326530612244887E-2</v>
      </c>
    </row>
    <row r="92" spans="1:19" x14ac:dyDescent="0.3">
      <c r="A92" s="27">
        <v>287</v>
      </c>
      <c r="B92" s="60"/>
      <c r="C92" s="60"/>
      <c r="D92" s="60"/>
      <c r="F92" s="27">
        <v>676</v>
      </c>
      <c r="G92" s="67">
        <v>5.3040000000000006E-3</v>
      </c>
      <c r="H92" s="67">
        <v>5.3040000000000004E-2</v>
      </c>
      <c r="I92" s="67">
        <v>1.7000000000000001E-4</v>
      </c>
      <c r="K92" s="27">
        <v>676</v>
      </c>
      <c r="L92" s="67">
        <v>0.26268000000000002</v>
      </c>
      <c r="M92" s="67">
        <v>7.7219999999999997E-2</v>
      </c>
      <c r="N92" s="67">
        <v>3.8804020100502512E-3</v>
      </c>
      <c r="P92">
        <v>676</v>
      </c>
    </row>
    <row r="93" spans="1:19" x14ac:dyDescent="0.3">
      <c r="A93" s="27">
        <v>315</v>
      </c>
      <c r="B93" s="67">
        <v>0.23058000000000003</v>
      </c>
      <c r="C93" s="67">
        <v>7.2900000000000006E-2</v>
      </c>
      <c r="D93" s="67">
        <v>1.7072599531615922E-3</v>
      </c>
      <c r="F93" s="27">
        <v>287</v>
      </c>
      <c r="G93" s="67">
        <v>0.26207999999999998</v>
      </c>
      <c r="H93" s="67">
        <v>1.4469000000000001</v>
      </c>
      <c r="I93" s="67">
        <v>9.8898113207547163E-3</v>
      </c>
      <c r="K93" s="27">
        <v>287</v>
      </c>
      <c r="L93" s="86"/>
      <c r="M93" s="86"/>
      <c r="N93" s="86"/>
      <c r="P93">
        <v>287</v>
      </c>
      <c r="Q93">
        <v>1.5903999999999998</v>
      </c>
      <c r="R93">
        <v>0.41159999999999997</v>
      </c>
      <c r="S93">
        <v>0.25880281690140844</v>
      </c>
    </row>
    <row r="94" spans="1:19" x14ac:dyDescent="0.3">
      <c r="A94" s="27">
        <v>676</v>
      </c>
      <c r="B94" s="67">
        <v>0.14129999999999998</v>
      </c>
      <c r="C94" s="67">
        <v>1.9710000000000002E-2</v>
      </c>
      <c r="D94" s="67">
        <v>6.2770700636942682E-4</v>
      </c>
      <c r="F94" s="27">
        <v>280</v>
      </c>
      <c r="G94" s="86"/>
      <c r="H94" s="86"/>
      <c r="I94" s="86"/>
      <c r="K94" s="27">
        <v>280</v>
      </c>
      <c r="L94" s="67">
        <v>1.5371199999999998</v>
      </c>
      <c r="M94" s="67">
        <v>0.20322499999999999</v>
      </c>
      <c r="N94" s="67">
        <v>9.7704326923076928E-3</v>
      </c>
      <c r="P94">
        <v>280</v>
      </c>
      <c r="Q94">
        <v>1.6523999999999999</v>
      </c>
      <c r="R94">
        <v>0.11423999999999999</v>
      </c>
      <c r="S94">
        <v>6.913580246913581E-2</v>
      </c>
    </row>
    <row r="95" spans="1:19" x14ac:dyDescent="0.3">
      <c r="A95" s="27">
        <v>604</v>
      </c>
      <c r="B95" s="67">
        <v>0.10332000000000001</v>
      </c>
      <c r="C95" s="67">
        <v>1.8983999999999997E-2</v>
      </c>
      <c r="D95" s="67">
        <v>1.5434146341463412E-3</v>
      </c>
      <c r="F95" s="27">
        <v>282</v>
      </c>
      <c r="G95" s="86"/>
      <c r="H95" s="86"/>
      <c r="I95" s="86"/>
    </row>
    <row r="96" spans="1:19" x14ac:dyDescent="0.3">
      <c r="A96" s="27">
        <v>612</v>
      </c>
      <c r="B96" s="67">
        <v>6.2780000000000002E-2</v>
      </c>
      <c r="C96" s="67">
        <v>2.0951000000000001E-2</v>
      </c>
      <c r="D96" s="67">
        <v>2.4361627906976744E-3</v>
      </c>
      <c r="P96">
        <v>308</v>
      </c>
      <c r="Q96">
        <v>0.62039999999999995</v>
      </c>
      <c r="R96">
        <v>0.19364000000000001</v>
      </c>
      <c r="S96">
        <v>0.31212121212121213</v>
      </c>
    </row>
    <row r="97" spans="1:19" x14ac:dyDescent="0.3">
      <c r="A97" s="27">
        <v>614</v>
      </c>
      <c r="B97" s="67">
        <v>0.14839999999999998</v>
      </c>
      <c r="C97" s="67">
        <v>2.1139999999999999E-2</v>
      </c>
      <c r="D97" s="67">
        <v>1.994339622641509E-3</v>
      </c>
      <c r="F97" s="27">
        <v>308</v>
      </c>
      <c r="G97" s="67">
        <v>0.30938599999999999</v>
      </c>
      <c r="H97" s="67">
        <v>2.00326</v>
      </c>
      <c r="I97" s="67">
        <v>8.8649283667621773E-3</v>
      </c>
      <c r="K97" s="27">
        <v>282</v>
      </c>
      <c r="L97" s="67">
        <v>1.1870799999999999</v>
      </c>
      <c r="M97" s="67">
        <v>0.84016000000000002</v>
      </c>
      <c r="N97" s="67">
        <v>1.6702982107355865E-2</v>
      </c>
      <c r="P97">
        <v>282</v>
      </c>
    </row>
    <row r="98" spans="1:19" x14ac:dyDescent="0.3">
      <c r="A98" s="27">
        <v>669</v>
      </c>
      <c r="B98" s="67">
        <v>0.1278</v>
      </c>
      <c r="C98" s="67">
        <v>1.7235E-2</v>
      </c>
      <c r="D98" s="67">
        <v>6.0686619718309869E-4</v>
      </c>
      <c r="K98" s="9"/>
      <c r="L98" s="67"/>
      <c r="M98" s="67"/>
      <c r="N98" s="67"/>
    </row>
    <row r="99" spans="1:19" x14ac:dyDescent="0.3">
      <c r="A99" s="7"/>
      <c r="B99" s="67"/>
      <c r="C99" s="67"/>
      <c r="D99" s="67"/>
      <c r="K99" s="27">
        <v>308</v>
      </c>
      <c r="L99" s="67">
        <v>1.3926500000000002</v>
      </c>
      <c r="M99" s="67">
        <v>0.70518000000000003</v>
      </c>
      <c r="N99" s="67">
        <v>4.0761849710982664E-2</v>
      </c>
    </row>
    <row r="100" spans="1:19" x14ac:dyDescent="0.3">
      <c r="A100" s="27">
        <v>277</v>
      </c>
      <c r="B100" s="86"/>
      <c r="C100" s="86"/>
      <c r="D100" s="86"/>
      <c r="F100" s="27">
        <v>277</v>
      </c>
      <c r="G100" s="67">
        <v>0.19949999999999998</v>
      </c>
      <c r="H100" s="67">
        <v>0.79799999999999993</v>
      </c>
      <c r="I100" s="67">
        <v>4.7499999999999999E-3</v>
      </c>
      <c r="K100" s="27">
        <v>277</v>
      </c>
      <c r="L100" s="86"/>
      <c r="M100" s="86"/>
      <c r="N100" s="86"/>
      <c r="P100">
        <v>277</v>
      </c>
    </row>
    <row r="101" spans="1:19" x14ac:dyDescent="0.3">
      <c r="A101" s="7"/>
      <c r="B101" s="67"/>
      <c r="C101" s="67"/>
      <c r="D101" s="67"/>
      <c r="K101" s="22"/>
      <c r="L101" s="67"/>
      <c r="M101" s="67"/>
      <c r="N101" s="67"/>
    </row>
    <row r="102" spans="1:19" x14ac:dyDescent="0.3">
      <c r="A102" s="2"/>
      <c r="B102" s="69"/>
      <c r="C102" s="69"/>
      <c r="D102" s="69"/>
      <c r="F102" s="2"/>
      <c r="G102" s="69"/>
      <c r="H102" s="69"/>
      <c r="I102" s="69"/>
      <c r="K102" s="2"/>
      <c r="L102" s="69"/>
      <c r="M102" s="69"/>
      <c r="N102" s="69"/>
    </row>
    <row r="103" spans="1:19" x14ac:dyDescent="0.3">
      <c r="A103" s="22"/>
      <c r="B103" s="67"/>
      <c r="C103" s="67"/>
      <c r="D103" s="67"/>
      <c r="F103" s="22"/>
      <c r="G103" s="67"/>
      <c r="H103" s="67"/>
      <c r="I103" s="67"/>
      <c r="K103" s="22"/>
      <c r="L103" s="67"/>
      <c r="M103" s="67"/>
      <c r="N103" s="67"/>
    </row>
    <row r="104" spans="1:19" x14ac:dyDescent="0.3">
      <c r="A104" s="33">
        <v>491</v>
      </c>
      <c r="B104" s="67">
        <v>0.26792699999999997</v>
      </c>
      <c r="C104" s="67">
        <v>1.1233200000000001</v>
      </c>
      <c r="D104" s="67">
        <v>0.31822096317280457</v>
      </c>
      <c r="F104" s="33">
        <v>491</v>
      </c>
      <c r="G104" s="67">
        <v>0.40157999999999994</v>
      </c>
      <c r="H104" s="67">
        <v>2.3667999999999996</v>
      </c>
      <c r="I104" s="67">
        <v>1.6458196721311474E-2</v>
      </c>
      <c r="K104" s="33">
        <v>491</v>
      </c>
      <c r="L104" s="67">
        <v>1.3969100000000001</v>
      </c>
      <c r="M104" s="67">
        <v>0.83386100000000019</v>
      </c>
      <c r="N104" s="67">
        <v>5.1157116564417182E-2</v>
      </c>
      <c r="P104">
        <v>491</v>
      </c>
      <c r="Q104">
        <v>1.7556</v>
      </c>
      <c r="R104">
        <v>1.7251999999999998</v>
      </c>
      <c r="S104">
        <v>0.9826839826839826</v>
      </c>
    </row>
    <row r="105" spans="1:19" x14ac:dyDescent="0.3">
      <c r="A105" s="33">
        <v>528</v>
      </c>
      <c r="B105" s="67">
        <v>8.3287999999999987E-2</v>
      </c>
      <c r="C105" s="67">
        <v>0.89032</v>
      </c>
      <c r="D105" s="67">
        <v>0.76751724137931032</v>
      </c>
      <c r="F105" s="33">
        <v>528</v>
      </c>
      <c r="G105" s="67">
        <v>1.0546500000000001</v>
      </c>
      <c r="H105" s="67">
        <v>0.26069999999999999</v>
      </c>
      <c r="I105" s="67">
        <v>0.15979545454545457</v>
      </c>
      <c r="K105" s="33">
        <v>528</v>
      </c>
      <c r="L105" s="67">
        <v>0.17897100000000002</v>
      </c>
      <c r="M105" s="67">
        <v>0.77306999999999992</v>
      </c>
      <c r="N105" s="67">
        <v>0.15247928994082838</v>
      </c>
      <c r="P105">
        <v>528</v>
      </c>
      <c r="Q105">
        <v>0.36802399999999996</v>
      </c>
      <c r="R105">
        <v>2.4344000000000001</v>
      </c>
      <c r="S105">
        <v>6.6147859922179002</v>
      </c>
    </row>
    <row r="106" spans="1:19" x14ac:dyDescent="0.3">
      <c r="A106" s="33">
        <v>542</v>
      </c>
      <c r="B106" s="67">
        <v>0.10075000000000001</v>
      </c>
      <c r="C106" s="67">
        <v>0.85149999999999992</v>
      </c>
      <c r="D106" s="67">
        <v>0.54935483870967738</v>
      </c>
      <c r="F106" s="33">
        <v>542</v>
      </c>
      <c r="G106" s="67">
        <v>0.42642000000000002</v>
      </c>
      <c r="H106" s="67">
        <v>0.39702599999999999</v>
      </c>
      <c r="I106" s="67">
        <v>4.4465067778936385E-2</v>
      </c>
      <c r="K106" s="33">
        <v>542</v>
      </c>
      <c r="L106" s="67">
        <v>0.48127999999999999</v>
      </c>
      <c r="M106" s="67">
        <v>0.38195200000000001</v>
      </c>
      <c r="N106" s="67">
        <v>4.0633191489361703E-2</v>
      </c>
      <c r="P106">
        <v>542</v>
      </c>
    </row>
    <row r="107" spans="1:19" x14ac:dyDescent="0.3">
      <c r="A107" s="33">
        <v>504</v>
      </c>
      <c r="B107" s="67">
        <v>0.35305799999999998</v>
      </c>
      <c r="C107" s="67">
        <v>1.8973199999999997</v>
      </c>
      <c r="D107" s="67">
        <v>0.52557340720221601</v>
      </c>
      <c r="F107" s="33">
        <v>504</v>
      </c>
      <c r="G107" s="67">
        <v>0.9770899999999999</v>
      </c>
      <c r="H107" s="67">
        <v>0.48609000000000002</v>
      </c>
      <c r="I107" s="67">
        <v>9.8695959595959587E-2</v>
      </c>
      <c r="K107" s="33">
        <v>504</v>
      </c>
      <c r="L107" s="67">
        <v>0.31724000000000002</v>
      </c>
      <c r="M107" s="67">
        <v>0.55132000000000003</v>
      </c>
      <c r="N107" s="67">
        <v>5.3526213592233002E-2</v>
      </c>
      <c r="P107">
        <v>504</v>
      </c>
      <c r="Q107">
        <v>0.74199999999999999</v>
      </c>
      <c r="R107">
        <v>1.6695</v>
      </c>
      <c r="S107">
        <v>2.25</v>
      </c>
    </row>
    <row r="108" spans="1:19" x14ac:dyDescent="0.3">
      <c r="A108" s="33">
        <v>559</v>
      </c>
      <c r="B108" s="67">
        <v>0.58940199999999998</v>
      </c>
      <c r="C108" s="67">
        <v>1.0643</v>
      </c>
      <c r="D108" s="67">
        <v>0.13254047322540474</v>
      </c>
      <c r="F108" s="33">
        <v>559</v>
      </c>
      <c r="G108" s="67">
        <v>2.6946799999999995</v>
      </c>
      <c r="H108" s="67">
        <v>0.50425199999999992</v>
      </c>
      <c r="I108" s="67">
        <v>0.35643915343915344</v>
      </c>
      <c r="K108" s="33">
        <v>559</v>
      </c>
      <c r="L108" s="67">
        <v>0.88327600000000006</v>
      </c>
      <c r="M108" s="67">
        <v>1.41988</v>
      </c>
      <c r="N108" s="67">
        <v>0.14821294363256787</v>
      </c>
      <c r="P108">
        <v>559</v>
      </c>
      <c r="Q108">
        <v>0.31720599999999999</v>
      </c>
      <c r="R108">
        <v>0.65670000000000006</v>
      </c>
      <c r="S108">
        <v>2.0702634880803013</v>
      </c>
    </row>
    <row r="109" spans="1:19" x14ac:dyDescent="0.3">
      <c r="A109" s="33">
        <v>1868</v>
      </c>
      <c r="B109" s="67">
        <v>0.47334000000000004</v>
      </c>
      <c r="C109" s="67">
        <v>9.6725999999999993E-2</v>
      </c>
      <c r="D109" s="67">
        <v>7.0091304347826089E-3</v>
      </c>
      <c r="F109" s="33">
        <v>1868</v>
      </c>
      <c r="G109" s="67">
        <v>0.34720000000000001</v>
      </c>
      <c r="H109" s="67">
        <v>0.85870000000000002</v>
      </c>
      <c r="I109" s="67">
        <v>6.2671480144404334E-3</v>
      </c>
      <c r="K109" s="33">
        <v>1868</v>
      </c>
      <c r="L109" s="67">
        <v>1.56006</v>
      </c>
      <c r="M109" s="67">
        <v>0.17205600000000001</v>
      </c>
      <c r="N109" s="67">
        <v>3.5402469135802465E-3</v>
      </c>
      <c r="P109">
        <v>1868</v>
      </c>
    </row>
    <row r="110" spans="1:19" x14ac:dyDescent="0.3">
      <c r="A110" s="33">
        <v>1832</v>
      </c>
      <c r="B110" s="67">
        <v>0.72</v>
      </c>
      <c r="C110" s="67">
        <v>0.19800000000000001</v>
      </c>
      <c r="D110" s="67">
        <v>1.3749999999999998E-2</v>
      </c>
      <c r="F110" s="33">
        <v>1832</v>
      </c>
      <c r="G110" s="67">
        <v>8.3160000000000005E-3</v>
      </c>
      <c r="H110" s="67">
        <v>0.58463999999999994</v>
      </c>
      <c r="I110" s="67">
        <v>3.5844827586206901E-4</v>
      </c>
      <c r="K110" s="33">
        <v>1832</v>
      </c>
      <c r="L110" s="67">
        <v>1.27095</v>
      </c>
      <c r="M110" s="67">
        <v>0.45571</v>
      </c>
      <c r="N110" s="67">
        <v>8.2109909909909903E-3</v>
      </c>
      <c r="P110">
        <v>1832</v>
      </c>
      <c r="Q110">
        <v>1.4732500000000002</v>
      </c>
      <c r="R110">
        <v>0.41914999999999997</v>
      </c>
      <c r="S110">
        <v>0.28450704225352108</v>
      </c>
    </row>
    <row r="111" spans="1:19" x14ac:dyDescent="0.3">
      <c r="A111" s="33">
        <v>1835</v>
      </c>
      <c r="B111" s="86"/>
      <c r="C111" s="86"/>
      <c r="D111" s="86"/>
      <c r="F111" s="33">
        <v>1835</v>
      </c>
      <c r="G111" s="67">
        <v>3.7422000000000004E-2</v>
      </c>
      <c r="H111" s="67">
        <v>0.77436000000000005</v>
      </c>
      <c r="I111" s="67">
        <v>7.8288702928870299E-4</v>
      </c>
      <c r="K111" s="33">
        <v>1835</v>
      </c>
      <c r="L111" s="67">
        <v>4.42598</v>
      </c>
      <c r="M111" s="67">
        <v>1.4175200000000001</v>
      </c>
      <c r="N111" s="67">
        <v>2.414855195911414E-2</v>
      </c>
      <c r="P111">
        <v>1835</v>
      </c>
      <c r="Q111">
        <v>1.08016</v>
      </c>
      <c r="R111">
        <v>0.14310400000000001</v>
      </c>
      <c r="S111">
        <v>0.13248407643312102</v>
      </c>
    </row>
    <row r="112" spans="1:19" x14ac:dyDescent="0.3">
      <c r="A112" s="33">
        <v>1871</v>
      </c>
      <c r="B112" s="67">
        <v>1.1222000000000001</v>
      </c>
      <c r="C112" s="67">
        <v>0.46064500000000003</v>
      </c>
      <c r="D112" s="67">
        <v>3.7148790322580644E-2</v>
      </c>
      <c r="F112" s="33">
        <v>1871</v>
      </c>
      <c r="G112" s="67">
        <v>0.16899</v>
      </c>
      <c r="H112" s="67">
        <v>0.58557000000000015</v>
      </c>
      <c r="I112" s="67">
        <v>3.7805369127516773E-3</v>
      </c>
      <c r="K112" s="33">
        <v>1871</v>
      </c>
      <c r="L112" s="67">
        <v>0.83979000000000004</v>
      </c>
      <c r="M112" s="67">
        <v>6.1920000000000003E-2</v>
      </c>
      <c r="N112" s="67">
        <v>2.8534562211981569E-3</v>
      </c>
      <c r="P112">
        <v>1871</v>
      </c>
      <c r="Q112">
        <v>1.1760699999999999</v>
      </c>
      <c r="R112">
        <v>0.234101</v>
      </c>
      <c r="S112">
        <v>0.19905362776025237</v>
      </c>
    </row>
    <row r="113" spans="1:19" x14ac:dyDescent="0.3">
      <c r="A113" s="33">
        <v>1829</v>
      </c>
      <c r="B113" s="67">
        <v>0.67347999999999997</v>
      </c>
      <c r="C113" s="67">
        <v>0.490508</v>
      </c>
      <c r="D113" s="67">
        <v>4.3407787610619468E-2</v>
      </c>
      <c r="F113" s="33">
        <v>1829</v>
      </c>
      <c r="G113" s="67">
        <v>0.11303199999999998</v>
      </c>
      <c r="H113" s="67">
        <v>1.0706800000000001</v>
      </c>
      <c r="I113" s="67">
        <v>2.9981962864721484E-3</v>
      </c>
      <c r="K113" s="33">
        <v>1829</v>
      </c>
      <c r="L113" s="67">
        <v>1.6918799999999998</v>
      </c>
      <c r="M113" s="67">
        <v>0.42227999999999999</v>
      </c>
      <c r="N113" s="67">
        <v>6.8887438825448611E-3</v>
      </c>
      <c r="P113">
        <v>1829</v>
      </c>
    </row>
    <row r="114" spans="1:19" x14ac:dyDescent="0.3">
      <c r="A114" s="33">
        <v>515</v>
      </c>
      <c r="B114" s="67">
        <v>0.26792699999999997</v>
      </c>
      <c r="C114" s="67">
        <v>1.1233200000000001</v>
      </c>
      <c r="D114" s="67">
        <v>0.31822096317280457</v>
      </c>
      <c r="F114" s="33">
        <v>515</v>
      </c>
      <c r="G114" s="67">
        <v>0.57152000000000003</v>
      </c>
      <c r="H114" s="67">
        <v>0.96672000000000002</v>
      </c>
      <c r="I114" s="67">
        <v>3.594465408805031E-2</v>
      </c>
      <c r="K114" s="33">
        <v>515</v>
      </c>
      <c r="L114" s="67">
        <v>0.92462999999999995</v>
      </c>
      <c r="M114" s="67">
        <v>1.07226</v>
      </c>
      <c r="N114" s="67">
        <v>9.0105882352941188E-2</v>
      </c>
      <c r="P114">
        <v>515</v>
      </c>
      <c r="Q114">
        <v>0.664825</v>
      </c>
      <c r="R114">
        <v>0.89175000000000015</v>
      </c>
      <c r="S114">
        <v>1.3413304252998912</v>
      </c>
    </row>
    <row r="115" spans="1:19" x14ac:dyDescent="0.3">
      <c r="A115" s="33">
        <v>560</v>
      </c>
      <c r="B115" s="67">
        <v>0.22379000000000002</v>
      </c>
      <c r="C115" s="67">
        <v>3.5420000000000003</v>
      </c>
      <c r="D115" s="67">
        <v>2.5482014388489214</v>
      </c>
      <c r="F115" s="33">
        <v>560</v>
      </c>
      <c r="G115" s="67">
        <v>1.93154</v>
      </c>
      <c r="H115" s="67">
        <v>0.44961599999999996</v>
      </c>
      <c r="I115" s="67">
        <v>0.27752011494252871</v>
      </c>
      <c r="K115" s="33">
        <v>560</v>
      </c>
      <c r="L115" s="67">
        <v>0.50749999999999995</v>
      </c>
      <c r="M115" s="67">
        <v>1.5007499999999998</v>
      </c>
      <c r="N115" s="67">
        <v>0.21439285714285714</v>
      </c>
      <c r="P115">
        <v>560</v>
      </c>
      <c r="Q115">
        <v>0.48734399999999994</v>
      </c>
      <c r="R115">
        <v>1.90848</v>
      </c>
      <c r="S115">
        <v>3.9160839160839163</v>
      </c>
    </row>
    <row r="116" spans="1:19" x14ac:dyDescent="0.3">
      <c r="A116" s="33">
        <v>545</v>
      </c>
      <c r="B116" s="67">
        <v>0.265065</v>
      </c>
      <c r="C116" s="67">
        <v>0.94388999999999978</v>
      </c>
      <c r="D116" s="67">
        <v>0.15347804878048776</v>
      </c>
      <c r="F116" s="33">
        <v>1836</v>
      </c>
      <c r="G116" s="67">
        <v>5.8520000000000004E-3</v>
      </c>
      <c r="H116" s="67">
        <v>0.13528000000000001</v>
      </c>
      <c r="I116" s="67">
        <v>3.287640449438202E-4</v>
      </c>
      <c r="K116" s="33">
        <v>1836</v>
      </c>
      <c r="L116" s="67">
        <v>0.45297999999999994</v>
      </c>
      <c r="M116" s="67">
        <v>0.21085900000000002</v>
      </c>
      <c r="N116" s="67">
        <v>1.4849225352112678E-2</v>
      </c>
      <c r="P116">
        <v>1836</v>
      </c>
      <c r="Q116">
        <v>0.35160000000000002</v>
      </c>
      <c r="R116">
        <v>7.5594000000000008E-2</v>
      </c>
      <c r="S116">
        <v>0.215</v>
      </c>
    </row>
    <row r="117" spans="1:19" x14ac:dyDescent="0.3">
      <c r="A117" s="33">
        <v>519</v>
      </c>
      <c r="B117" s="67">
        <v>7.3800000000000004E-2</v>
      </c>
      <c r="C117" s="67">
        <v>0.53299999999999992</v>
      </c>
      <c r="D117" s="67">
        <v>0.2961111111111111</v>
      </c>
      <c r="F117" s="33">
        <v>519</v>
      </c>
      <c r="G117" s="67">
        <v>1.9370000000000003</v>
      </c>
      <c r="H117" s="67">
        <v>0.48685</v>
      </c>
      <c r="I117" s="67">
        <v>0.25861148197596795</v>
      </c>
      <c r="K117" s="33">
        <v>519</v>
      </c>
      <c r="L117" s="67">
        <v>0.53100000000000003</v>
      </c>
      <c r="M117" s="67">
        <v>0.48497999999999997</v>
      </c>
      <c r="N117" s="67">
        <v>3.2332E-2</v>
      </c>
      <c r="P117">
        <v>519</v>
      </c>
      <c r="Q117">
        <v>0.33108000000000004</v>
      </c>
      <c r="R117">
        <v>0.90024000000000004</v>
      </c>
      <c r="S117">
        <v>2.7191011235955056</v>
      </c>
    </row>
    <row r="118" spans="1:19" x14ac:dyDescent="0.3">
      <c r="A118" s="33">
        <v>574</v>
      </c>
      <c r="B118" s="67">
        <v>0.50050000000000006</v>
      </c>
      <c r="C118" s="67">
        <v>2.2749999999999999</v>
      </c>
      <c r="D118" s="67">
        <v>0.59090909090909083</v>
      </c>
      <c r="F118" s="33">
        <v>574</v>
      </c>
      <c r="G118" s="67">
        <v>1.5284500000000001</v>
      </c>
      <c r="H118" s="67">
        <v>1.0520499999999999</v>
      </c>
      <c r="I118" s="67">
        <v>5.7677358490566037E-2</v>
      </c>
      <c r="K118" s="33">
        <v>574</v>
      </c>
      <c r="L118" s="67">
        <v>0.39369399999999999</v>
      </c>
      <c r="M118" s="67">
        <v>0.50812999999999997</v>
      </c>
      <c r="N118" s="67">
        <v>5.5111713665943592E-2</v>
      </c>
      <c r="P118">
        <v>574</v>
      </c>
      <c r="Q118">
        <v>0.50568000000000002</v>
      </c>
      <c r="R118">
        <v>0.61919999999999997</v>
      </c>
      <c r="S118">
        <v>1.2244897959183672</v>
      </c>
    </row>
    <row r="119" spans="1:19" x14ac:dyDescent="0.3">
      <c r="A119" s="33">
        <v>568</v>
      </c>
      <c r="B119" s="67">
        <v>0.109872</v>
      </c>
      <c r="C119" s="67">
        <v>0.71231999999999995</v>
      </c>
      <c r="D119" s="67">
        <v>0.2178348623853211</v>
      </c>
      <c r="F119" s="33">
        <v>568</v>
      </c>
      <c r="G119" s="67">
        <v>1.7325900000000001</v>
      </c>
      <c r="H119" s="67">
        <v>0.495535</v>
      </c>
      <c r="I119" s="67">
        <v>0.24929352517985609</v>
      </c>
      <c r="K119" s="33">
        <v>568</v>
      </c>
      <c r="L119" s="67">
        <v>0.49137999999999998</v>
      </c>
      <c r="M119" s="67">
        <v>0.43229000000000001</v>
      </c>
      <c r="N119" s="67">
        <v>2.7360126582278477E-2</v>
      </c>
      <c r="P119">
        <v>568</v>
      </c>
      <c r="Q119">
        <v>0.43498500000000001</v>
      </c>
      <c r="R119">
        <v>1.3512299999999999</v>
      </c>
      <c r="S119">
        <v>3.1063829787234041</v>
      </c>
    </row>
    <row r="120" spans="1:19" x14ac:dyDescent="0.3">
      <c r="A120" s="33">
        <v>570</v>
      </c>
      <c r="B120" s="67">
        <v>0.17457999999999999</v>
      </c>
      <c r="C120" s="67">
        <v>0.99931999999999999</v>
      </c>
      <c r="D120" s="67">
        <v>0.34459310344827587</v>
      </c>
      <c r="F120" s="33">
        <v>570</v>
      </c>
      <c r="G120" s="67">
        <v>2.1160000000000001</v>
      </c>
      <c r="H120" s="67">
        <v>1.7756000000000001</v>
      </c>
      <c r="I120" s="67">
        <v>0.10963730569948187</v>
      </c>
      <c r="K120" s="33">
        <v>570</v>
      </c>
      <c r="L120" s="67">
        <v>0.64328000000000007</v>
      </c>
      <c r="M120" s="67">
        <v>0.24699199999999999</v>
      </c>
      <c r="N120" s="67">
        <v>1.320812834224599E-2</v>
      </c>
      <c r="P120">
        <v>570</v>
      </c>
      <c r="Q120">
        <v>0.42640500000000003</v>
      </c>
      <c r="R120">
        <v>0.77654999999999996</v>
      </c>
      <c r="S120">
        <v>1.8211559432933477</v>
      </c>
    </row>
    <row r="121" spans="1:19" x14ac:dyDescent="0.3">
      <c r="A121" s="33">
        <v>1802</v>
      </c>
      <c r="B121" s="67">
        <v>0.89154</v>
      </c>
      <c r="C121" s="67">
        <v>0.10249199999999999</v>
      </c>
      <c r="D121" s="67">
        <v>8.0702362204724404E-3</v>
      </c>
      <c r="F121" s="33">
        <v>1802</v>
      </c>
      <c r="G121" s="67">
        <v>0.15289200000000003</v>
      </c>
      <c r="H121" s="67">
        <v>1.2722400000000003</v>
      </c>
      <c r="I121" s="67">
        <v>4.4705263157894734E-3</v>
      </c>
      <c r="K121" s="33">
        <v>1802</v>
      </c>
      <c r="L121" s="67">
        <v>0.87287000000000003</v>
      </c>
      <c r="M121" s="67">
        <v>8.1346000000000002E-2</v>
      </c>
      <c r="N121" s="67">
        <v>4.2589528795811517E-3</v>
      </c>
      <c r="P121">
        <v>1802</v>
      </c>
      <c r="Q121">
        <v>0.80057</v>
      </c>
      <c r="R121">
        <v>7.5748999999999997E-2</v>
      </c>
      <c r="S121">
        <v>9.4618834080717487E-2</v>
      </c>
    </row>
    <row r="122" spans="1:19" x14ac:dyDescent="0.3">
      <c r="A122" s="33">
        <v>1535</v>
      </c>
      <c r="B122" s="67">
        <v>0.238288</v>
      </c>
      <c r="C122" s="67">
        <v>0.10345600000000001</v>
      </c>
      <c r="D122" s="67">
        <v>3.6817081850533812E-2</v>
      </c>
      <c r="F122" s="33">
        <v>1535</v>
      </c>
      <c r="G122" s="67">
        <v>0.44850000000000001</v>
      </c>
      <c r="H122" s="67">
        <v>2.1942000000000004</v>
      </c>
      <c r="I122" s="67">
        <v>2.8207547169811317E-2</v>
      </c>
      <c r="K122" s="33">
        <v>1535</v>
      </c>
      <c r="L122" s="67">
        <v>0.36654000000000003</v>
      </c>
      <c r="M122" s="67">
        <v>0.21180599999999999</v>
      </c>
      <c r="N122" s="67">
        <v>1.4215167785234897E-2</v>
      </c>
      <c r="P122">
        <v>1535</v>
      </c>
      <c r="Q122">
        <v>1.3665599999999998</v>
      </c>
      <c r="R122">
        <v>4.2631999999999996E-2</v>
      </c>
      <c r="S122">
        <v>3.11965811965812E-2</v>
      </c>
    </row>
    <row r="123" spans="1:19" x14ac:dyDescent="0.3">
      <c r="A123" s="33">
        <v>1827</v>
      </c>
      <c r="B123" s="60"/>
      <c r="C123" s="60"/>
      <c r="D123" s="60"/>
      <c r="F123" s="33">
        <v>1827</v>
      </c>
      <c r="G123" s="67">
        <v>6.3990000000000005E-2</v>
      </c>
      <c r="H123" s="67">
        <v>0.75195000000000012</v>
      </c>
      <c r="I123" s="67">
        <v>1.1488330341113105E-3</v>
      </c>
      <c r="K123" s="33">
        <v>1827</v>
      </c>
      <c r="L123" s="67">
        <v>2.7241999999999997</v>
      </c>
      <c r="M123" s="67">
        <v>0.42353600000000002</v>
      </c>
      <c r="N123" s="67">
        <v>7.991245283018868E-3</v>
      </c>
      <c r="P123">
        <v>1827</v>
      </c>
      <c r="Q123">
        <v>1.4416</v>
      </c>
      <c r="R123">
        <v>0.18428</v>
      </c>
      <c r="S123">
        <v>0.12783018867924528</v>
      </c>
    </row>
    <row r="124" spans="1:19" x14ac:dyDescent="0.3">
      <c r="A124" s="33">
        <v>1826</v>
      </c>
      <c r="B124" s="67">
        <v>1.2927199999999999</v>
      </c>
      <c r="C124" s="67">
        <v>0.49267999999999995</v>
      </c>
      <c r="D124" s="67">
        <v>1.7226573426573424E-2</v>
      </c>
      <c r="F124" s="33">
        <v>1826</v>
      </c>
      <c r="G124" s="67">
        <v>0.57600000000000007</v>
      </c>
      <c r="H124" s="67">
        <v>2.8288000000000006</v>
      </c>
      <c r="I124" s="67">
        <v>2.6063348416289593E-2</v>
      </c>
      <c r="K124" s="33">
        <v>1826</v>
      </c>
      <c r="L124" s="67">
        <v>2.1879</v>
      </c>
      <c r="M124" s="67">
        <v>0.29483999999999999</v>
      </c>
      <c r="N124" s="67">
        <v>1.5766844919786097E-2</v>
      </c>
      <c r="P124">
        <v>1826</v>
      </c>
      <c r="Q124">
        <v>2.02224</v>
      </c>
      <c r="R124">
        <v>0.59748000000000001</v>
      </c>
      <c r="S124">
        <v>0.29545454545454547</v>
      </c>
    </row>
    <row r="125" spans="1:19" x14ac:dyDescent="0.3">
      <c r="A125" s="33">
        <v>1870</v>
      </c>
      <c r="B125" s="60"/>
      <c r="C125" s="60"/>
      <c r="D125" s="60"/>
      <c r="F125" s="33">
        <v>1870</v>
      </c>
      <c r="G125" s="67">
        <v>5.518E-2</v>
      </c>
      <c r="H125" s="67">
        <v>2.4119000000000002</v>
      </c>
      <c r="I125" s="67">
        <v>1.0180811808118081E-3</v>
      </c>
      <c r="K125" s="33">
        <v>1870</v>
      </c>
      <c r="L125" s="67">
        <v>2.1941000000000002</v>
      </c>
      <c r="M125" s="67">
        <v>0.52910000000000001</v>
      </c>
      <c r="N125" s="67">
        <v>8.9224283305227668E-3</v>
      </c>
      <c r="P125">
        <v>1870</v>
      </c>
      <c r="Q125">
        <v>1.2224699999999999</v>
      </c>
      <c r="R125">
        <v>0.30634</v>
      </c>
      <c r="S125">
        <v>0.25059101654846339</v>
      </c>
    </row>
    <row r="126" spans="1:19" x14ac:dyDescent="0.3">
      <c r="A126" s="33">
        <v>562</v>
      </c>
      <c r="B126" s="86"/>
      <c r="C126" s="86"/>
      <c r="D126" s="86"/>
      <c r="F126" s="33">
        <v>546</v>
      </c>
      <c r="G126" s="67">
        <v>0.77671999999999997</v>
      </c>
      <c r="H126" s="67">
        <v>0.23505999999999999</v>
      </c>
      <c r="I126" s="67">
        <v>9.6486956521739137E-2</v>
      </c>
      <c r="K126" s="33">
        <v>546</v>
      </c>
      <c r="L126" s="62"/>
      <c r="M126" s="62"/>
      <c r="N126" s="62"/>
      <c r="P126">
        <v>546</v>
      </c>
    </row>
    <row r="127" spans="1:19" x14ac:dyDescent="0.3">
      <c r="A127" s="33">
        <v>1534</v>
      </c>
      <c r="B127" s="67">
        <v>0.35914200000000002</v>
      </c>
      <c r="C127" s="67">
        <v>0.15945100000000001</v>
      </c>
      <c r="D127" s="67">
        <v>2.2332072829131654E-2</v>
      </c>
      <c r="F127" s="33">
        <v>562</v>
      </c>
      <c r="G127" s="67">
        <v>0.78245999999999993</v>
      </c>
      <c r="H127" s="67">
        <v>0.48023999999999994</v>
      </c>
      <c r="I127" s="67">
        <v>6.7453448275862055E-2</v>
      </c>
      <c r="K127" s="33">
        <v>562</v>
      </c>
      <c r="L127" s="67">
        <v>1.3186500000000001</v>
      </c>
      <c r="M127" s="67">
        <v>1.3559000000000001</v>
      </c>
      <c r="N127" s="67">
        <v>7.6604519774011309E-2</v>
      </c>
      <c r="P127">
        <v>562</v>
      </c>
      <c r="Q127">
        <v>0.29908800000000002</v>
      </c>
      <c r="R127">
        <v>0.93665999999999994</v>
      </c>
      <c r="S127">
        <v>3.1317204301075265</v>
      </c>
    </row>
    <row r="128" spans="1:19" x14ac:dyDescent="0.3">
      <c r="A128" s="33">
        <v>1540</v>
      </c>
      <c r="B128" s="67">
        <v>0.72390600000000005</v>
      </c>
      <c r="C128" s="67">
        <v>6.8154000000000006E-2</v>
      </c>
      <c r="D128" s="67">
        <v>8.6709923664122154E-3</v>
      </c>
      <c r="F128" s="33">
        <v>1537</v>
      </c>
      <c r="G128" s="67">
        <v>8.702E-2</v>
      </c>
      <c r="H128" s="67">
        <v>0.86259999999999992</v>
      </c>
      <c r="I128" s="67">
        <v>3.8334801762114541E-3</v>
      </c>
      <c r="K128" s="33">
        <v>1537</v>
      </c>
      <c r="L128" s="67">
        <v>0.52415999999999996</v>
      </c>
      <c r="M128" s="67">
        <v>0.13727999999999999</v>
      </c>
      <c r="N128" s="67">
        <v>1.0895238095238095E-2</v>
      </c>
      <c r="P128">
        <v>1537</v>
      </c>
      <c r="Q128">
        <v>0.35258</v>
      </c>
      <c r="R128">
        <v>1.5606000000000002E-2</v>
      </c>
      <c r="S128">
        <v>4.4262295081967218E-2</v>
      </c>
    </row>
    <row r="129" spans="1:19" x14ac:dyDescent="0.3">
      <c r="A129" s="33">
        <v>1806</v>
      </c>
      <c r="B129" s="60"/>
      <c r="C129" s="60"/>
      <c r="D129" s="60"/>
      <c r="F129" s="33">
        <v>1540</v>
      </c>
      <c r="G129" s="67">
        <v>0.27434399999999998</v>
      </c>
      <c r="H129" s="67">
        <v>1.4654399999999999</v>
      </c>
      <c r="I129" s="67">
        <v>1.5950232558139536E-2</v>
      </c>
      <c r="K129" s="33">
        <v>1540</v>
      </c>
      <c r="L129" s="67">
        <v>0.79632000000000003</v>
      </c>
      <c r="M129" s="67">
        <v>0.26417600000000002</v>
      </c>
      <c r="N129" s="67">
        <v>2.0966349206349207E-2</v>
      </c>
      <c r="P129">
        <v>1540</v>
      </c>
      <c r="Q129">
        <v>0.80459999999999998</v>
      </c>
      <c r="R129">
        <v>4.172E-2</v>
      </c>
      <c r="S129">
        <v>5.185185185185185E-2</v>
      </c>
    </row>
    <row r="130" spans="1:19" x14ac:dyDescent="0.3">
      <c r="A130" s="33">
        <v>1811</v>
      </c>
      <c r="B130" s="67">
        <v>1.2648999999999999</v>
      </c>
      <c r="C130" s="67">
        <v>0.16957999999999998</v>
      </c>
      <c r="D130" s="67">
        <v>9.3175824175824179E-3</v>
      </c>
      <c r="F130" s="33">
        <v>1806</v>
      </c>
      <c r="G130" s="67">
        <v>0.19755</v>
      </c>
      <c r="H130" s="67">
        <v>1.7998999999999998</v>
      </c>
      <c r="I130" s="67">
        <v>4.8182926829268289E-3</v>
      </c>
      <c r="K130" s="33">
        <v>1806</v>
      </c>
      <c r="L130" s="67">
        <v>1.1765000000000001</v>
      </c>
      <c r="M130" s="67">
        <v>0.24017499999999997</v>
      </c>
      <c r="N130" s="67">
        <v>6.6346685082872914E-3</v>
      </c>
      <c r="P130">
        <v>1806</v>
      </c>
      <c r="Q130">
        <v>1.35582</v>
      </c>
      <c r="R130">
        <v>5.2088000000000002E-2</v>
      </c>
      <c r="S130">
        <v>3.84180790960452E-2</v>
      </c>
    </row>
    <row r="131" spans="1:19" x14ac:dyDescent="0.3">
      <c r="A131" s="33">
        <v>1866</v>
      </c>
      <c r="B131" s="67">
        <v>2.5564</v>
      </c>
      <c r="C131" s="67">
        <v>1.3244</v>
      </c>
      <c r="D131" s="67">
        <v>3.9891566265060234E-2</v>
      </c>
      <c r="F131" s="33">
        <v>1811</v>
      </c>
      <c r="G131" s="67">
        <v>0.11220000000000001</v>
      </c>
      <c r="H131" s="67">
        <v>0.81950000000000001</v>
      </c>
      <c r="I131" s="67">
        <v>3.7651006711409397E-3</v>
      </c>
      <c r="K131" s="33">
        <v>1811</v>
      </c>
      <c r="L131" s="67">
        <v>0.7365600000000001</v>
      </c>
      <c r="M131" s="67">
        <v>0.20385600000000004</v>
      </c>
      <c r="N131" s="67">
        <v>1.0295757575757576E-2</v>
      </c>
      <c r="P131">
        <v>1811</v>
      </c>
      <c r="Q131">
        <v>0.58157999999999999</v>
      </c>
      <c r="R131">
        <v>5.2772999999999994E-2</v>
      </c>
      <c r="S131">
        <v>9.0740740740740733E-2</v>
      </c>
    </row>
    <row r="132" spans="1:19" x14ac:dyDescent="0.3">
      <c r="A132" s="33">
        <v>1836</v>
      </c>
      <c r="B132" s="67">
        <v>1.1052299999999999</v>
      </c>
      <c r="C132" s="67">
        <v>0.53067000000000009</v>
      </c>
      <c r="D132" s="67">
        <v>1.9157761732851986E-2</v>
      </c>
      <c r="F132" s="33">
        <v>1816</v>
      </c>
      <c r="G132" s="67">
        <v>0.30888000000000004</v>
      </c>
      <c r="H132" s="67">
        <v>1.2533400000000001</v>
      </c>
      <c r="I132" s="67">
        <v>7.3194312796208538E-3</v>
      </c>
      <c r="K132" s="33">
        <v>1816</v>
      </c>
      <c r="L132" s="67">
        <v>1.9631499999999997</v>
      </c>
      <c r="M132" s="67">
        <v>0.49699999999999994</v>
      </c>
      <c r="N132" s="67">
        <v>8.9873417721518991E-3</v>
      </c>
      <c r="P132">
        <v>1816</v>
      </c>
      <c r="Q132">
        <v>0.70735000000000003</v>
      </c>
      <c r="R132">
        <v>0.20575499999999999</v>
      </c>
      <c r="S132">
        <v>0.29088145896656531</v>
      </c>
    </row>
    <row r="133" spans="1:19" x14ac:dyDescent="0.3">
      <c r="A133" s="9"/>
      <c r="B133" s="9"/>
      <c r="C133" s="9"/>
      <c r="D133" s="9"/>
      <c r="F133" s="33">
        <v>545</v>
      </c>
      <c r="G133" s="86"/>
      <c r="H133" s="86"/>
      <c r="I133" s="86"/>
      <c r="K133" s="33">
        <v>545</v>
      </c>
      <c r="L133" s="67">
        <v>0.34476000000000001</v>
      </c>
      <c r="M133" s="67">
        <v>0.25414999999999999</v>
      </c>
      <c r="N133" s="67">
        <v>1.6291666666666666E-2</v>
      </c>
      <c r="P133">
        <v>545</v>
      </c>
      <c r="Q133">
        <v>0.19333599999999998</v>
      </c>
      <c r="R133">
        <v>0.61853999999999998</v>
      </c>
      <c r="S133">
        <v>3.1993006993006996</v>
      </c>
    </row>
    <row r="134" spans="1:19" x14ac:dyDescent="0.3">
      <c r="A134" s="9"/>
      <c r="B134" s="9"/>
      <c r="C134" s="9"/>
      <c r="D134" s="9"/>
      <c r="F134" s="9"/>
      <c r="G134" s="67"/>
      <c r="H134" s="67"/>
      <c r="I134" s="67"/>
      <c r="K134" s="9"/>
      <c r="L134" s="67"/>
      <c r="M134" s="67"/>
      <c r="N134" s="67"/>
    </row>
    <row r="135" spans="1:19" x14ac:dyDescent="0.3">
      <c r="A135" s="9"/>
      <c r="B135" s="9"/>
      <c r="C135" s="9"/>
      <c r="D135" s="9"/>
      <c r="F135" s="9"/>
      <c r="G135" s="67"/>
      <c r="H135" s="67"/>
      <c r="I135" s="67"/>
      <c r="K135" s="9"/>
      <c r="L135" s="67"/>
      <c r="M135" s="67"/>
      <c r="N135" s="67"/>
    </row>
  </sheetData>
  <conditionalFormatting sqref="A29:A51">
    <cfRule type="duplicateValues" dxfId="91" priority="43"/>
  </conditionalFormatting>
  <conditionalFormatting sqref="A52">
    <cfRule type="duplicateValues" dxfId="90" priority="41"/>
  </conditionalFormatting>
  <conditionalFormatting sqref="A53">
    <cfRule type="duplicateValues" dxfId="89" priority="42"/>
  </conditionalFormatting>
  <conditionalFormatting sqref="A54">
    <cfRule type="duplicateValues" dxfId="88" priority="40"/>
  </conditionalFormatting>
  <conditionalFormatting sqref="A55">
    <cfRule type="duplicateValues" dxfId="87" priority="39"/>
  </conditionalFormatting>
  <conditionalFormatting sqref="A56">
    <cfRule type="duplicateValues" dxfId="86" priority="38"/>
  </conditionalFormatting>
  <conditionalFormatting sqref="A57">
    <cfRule type="duplicateValues" dxfId="85" priority="37"/>
  </conditionalFormatting>
  <conditionalFormatting sqref="A58">
    <cfRule type="duplicateValues" dxfId="84" priority="36"/>
  </conditionalFormatting>
  <conditionalFormatting sqref="A59">
    <cfRule type="duplicateValues" dxfId="83" priority="35"/>
  </conditionalFormatting>
  <conditionalFormatting sqref="A60">
    <cfRule type="duplicateValues" dxfId="82" priority="34"/>
  </conditionalFormatting>
  <conditionalFormatting sqref="A61:A66">
    <cfRule type="duplicateValues" dxfId="81" priority="44"/>
  </conditionalFormatting>
  <conditionalFormatting sqref="A69:A81 A83:A98 A100">
    <cfRule type="duplicateValues" dxfId="80" priority="32"/>
  </conditionalFormatting>
  <conditionalFormatting sqref="A104:A132">
    <cfRule type="duplicateValues" dxfId="79" priority="33"/>
  </conditionalFormatting>
  <conditionalFormatting sqref="F29:F51">
    <cfRule type="duplicateValues" dxfId="78" priority="31"/>
  </conditionalFormatting>
  <conditionalFormatting sqref="F52 F54">
    <cfRule type="duplicateValues" dxfId="77" priority="29"/>
  </conditionalFormatting>
  <conditionalFormatting sqref="F53">
    <cfRule type="duplicateValues" dxfId="76" priority="30"/>
  </conditionalFormatting>
  <conditionalFormatting sqref="F55">
    <cfRule type="duplicateValues" dxfId="75" priority="28"/>
  </conditionalFormatting>
  <conditionalFormatting sqref="F56">
    <cfRule type="duplicateValues" dxfId="74" priority="27"/>
  </conditionalFormatting>
  <conditionalFormatting sqref="F57">
    <cfRule type="duplicateValues" dxfId="73" priority="26"/>
  </conditionalFormatting>
  <conditionalFormatting sqref="F58">
    <cfRule type="duplicateValues" dxfId="72" priority="25"/>
  </conditionalFormatting>
  <conditionalFormatting sqref="F59">
    <cfRule type="duplicateValues" dxfId="71" priority="24"/>
  </conditionalFormatting>
  <conditionalFormatting sqref="F60">
    <cfRule type="duplicateValues" dxfId="70" priority="23"/>
  </conditionalFormatting>
  <conditionalFormatting sqref="F69:F90">
    <cfRule type="duplicateValues" dxfId="69" priority="20"/>
  </conditionalFormatting>
  <conditionalFormatting sqref="F91">
    <cfRule type="duplicateValues" dxfId="68" priority="19"/>
  </conditionalFormatting>
  <conditionalFormatting sqref="F92">
    <cfRule type="duplicateValues" dxfId="67" priority="18"/>
  </conditionalFormatting>
  <conditionalFormatting sqref="F100">
    <cfRule type="duplicateValues" dxfId="66" priority="16"/>
  </conditionalFormatting>
  <conditionalFormatting sqref="F94">
    <cfRule type="duplicateValues" dxfId="65" priority="15"/>
  </conditionalFormatting>
  <conditionalFormatting sqref="F95">
    <cfRule type="duplicateValues" dxfId="64" priority="14"/>
  </conditionalFormatting>
  <conditionalFormatting sqref="F93">
    <cfRule type="duplicateValues" dxfId="63" priority="13"/>
  </conditionalFormatting>
  <conditionalFormatting sqref="F97">
    <cfRule type="duplicateValues" dxfId="62" priority="17"/>
  </conditionalFormatting>
  <conditionalFormatting sqref="F104:F132">
    <cfRule type="duplicateValues" dxfId="61" priority="22"/>
  </conditionalFormatting>
  <conditionalFormatting sqref="F133">
    <cfRule type="duplicateValues" dxfId="60" priority="21"/>
  </conditionalFormatting>
  <conditionalFormatting sqref="K29:K51">
    <cfRule type="duplicateValues" dxfId="59" priority="12"/>
  </conditionalFormatting>
  <conditionalFormatting sqref="K52 K54">
    <cfRule type="duplicateValues" dxfId="58" priority="10"/>
  </conditionalFormatting>
  <conditionalFormatting sqref="K53">
    <cfRule type="duplicateValues" dxfId="57" priority="11"/>
  </conditionalFormatting>
  <conditionalFormatting sqref="K55">
    <cfRule type="duplicateValues" dxfId="56" priority="9"/>
  </conditionalFormatting>
  <conditionalFormatting sqref="K56">
    <cfRule type="duplicateValues" dxfId="55" priority="8"/>
  </conditionalFormatting>
  <conditionalFormatting sqref="K57">
    <cfRule type="duplicateValues" dxfId="54" priority="7"/>
  </conditionalFormatting>
  <conditionalFormatting sqref="K58">
    <cfRule type="duplicateValues" dxfId="53" priority="6"/>
  </conditionalFormatting>
  <conditionalFormatting sqref="K59">
    <cfRule type="duplicateValues" dxfId="52" priority="5"/>
  </conditionalFormatting>
  <conditionalFormatting sqref="K60">
    <cfRule type="duplicateValues" dxfId="51" priority="4"/>
  </conditionalFormatting>
  <conditionalFormatting sqref="K99">
    <cfRule type="duplicateValues" dxfId="50" priority="1"/>
  </conditionalFormatting>
  <conditionalFormatting sqref="K104:K133">
    <cfRule type="duplicateValues" dxfId="49" priority="3"/>
  </conditionalFormatting>
  <conditionalFormatting sqref="K100 K97 K69:K94">
    <cfRule type="duplicateValues" dxfId="48" priority="39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0E86-4AD0-4F0B-BF78-CB41D70CD662}">
  <dimension ref="A1:Q122"/>
  <sheetViews>
    <sheetView topLeftCell="A81" zoomScale="80" zoomScaleNormal="80" workbookViewId="0">
      <selection activeCell="B119" sqref="B119:Q119"/>
    </sheetView>
  </sheetViews>
  <sheetFormatPr defaultRowHeight="14.4" x14ac:dyDescent="0.3"/>
  <sheetData>
    <row r="1" spans="1:17" x14ac:dyDescent="0.3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</row>
    <row r="2" spans="1:17" x14ac:dyDescent="0.3">
      <c r="A2" s="7">
        <v>401</v>
      </c>
      <c r="B2">
        <v>2.3699999999999997</v>
      </c>
      <c r="C2">
        <v>5.2139999999999999E-3</v>
      </c>
      <c r="D2">
        <v>2.1329999999999995E-2</v>
      </c>
      <c r="E2">
        <v>9.2666999999999985E-2</v>
      </c>
      <c r="F2">
        <v>2.7</v>
      </c>
      <c r="G2">
        <v>1.2149999999999999E-3</v>
      </c>
      <c r="H2">
        <v>1.1340000000000002E-3</v>
      </c>
      <c r="I2">
        <v>0.15822000000000003</v>
      </c>
      <c r="J2">
        <v>7.17</v>
      </c>
      <c r="K2">
        <v>1.9359000000000001E-2</v>
      </c>
      <c r="L2">
        <v>3.2265000000000002E-2</v>
      </c>
      <c r="M2">
        <v>0.11687099999999999</v>
      </c>
      <c r="N2">
        <v>3.23</v>
      </c>
      <c r="O2">
        <v>1.0013000000000001E-2</v>
      </c>
      <c r="P2">
        <v>8.3979999999999992E-3</v>
      </c>
      <c r="Q2">
        <v>8.5595000000000004E-2</v>
      </c>
    </row>
    <row r="3" spans="1:17" x14ac:dyDescent="0.3">
      <c r="A3" s="7">
        <v>410</v>
      </c>
      <c r="B3">
        <v>5.0200000000000005</v>
      </c>
      <c r="C3">
        <v>1.255E-2</v>
      </c>
      <c r="D3">
        <v>6.1244000000000007E-2</v>
      </c>
      <c r="E3">
        <v>8.2830000000000001E-2</v>
      </c>
      <c r="F3">
        <v>3.35</v>
      </c>
      <c r="G3">
        <v>1.0385E-2</v>
      </c>
      <c r="H3">
        <v>1.072E-2</v>
      </c>
      <c r="I3">
        <v>8.5760000000000003E-2</v>
      </c>
      <c r="J3">
        <v>8.42</v>
      </c>
      <c r="K3">
        <v>5.4730000000000001E-2</v>
      </c>
      <c r="L3">
        <v>3.789E-2</v>
      </c>
      <c r="M3">
        <v>0.21471000000000001</v>
      </c>
      <c r="N3">
        <v>1.4</v>
      </c>
      <c r="O3">
        <v>1.2319999999999999E-2</v>
      </c>
      <c r="P3">
        <v>3.9619999999999995E-2</v>
      </c>
      <c r="Q3">
        <v>6.5659999999999996E-2</v>
      </c>
    </row>
    <row r="4" spans="1:17" x14ac:dyDescent="0.3">
      <c r="A4" s="7">
        <v>411</v>
      </c>
      <c r="B4">
        <v>2.88</v>
      </c>
      <c r="C4">
        <v>9.5040000000000003E-3</v>
      </c>
      <c r="D4">
        <v>6.6816E-2</v>
      </c>
      <c r="E4">
        <v>7.1423999999999987E-2</v>
      </c>
      <c r="F4">
        <v>1.9400000000000002</v>
      </c>
      <c r="G4">
        <v>2.3280000000000002E-3</v>
      </c>
      <c r="H4">
        <v>2.7160000000000005E-3</v>
      </c>
      <c r="I4">
        <v>0.11834</v>
      </c>
      <c r="J4">
        <v>3</v>
      </c>
      <c r="K4">
        <v>1.7399999999999999E-2</v>
      </c>
      <c r="L4">
        <v>2.9699999999999997E-2</v>
      </c>
      <c r="M4">
        <v>7.6499999999999999E-2</v>
      </c>
      <c r="N4">
        <v>3.3400000000000003</v>
      </c>
      <c r="O4">
        <v>1.7034000000000004E-2</v>
      </c>
      <c r="P4">
        <v>1.4696000000000002E-2</v>
      </c>
      <c r="Q4">
        <v>8.5169999999999996E-2</v>
      </c>
    </row>
    <row r="5" spans="1:17" x14ac:dyDescent="0.3">
      <c r="A5" s="7">
        <v>434</v>
      </c>
      <c r="B5">
        <v>5.17</v>
      </c>
      <c r="C5">
        <v>1.7578E-2</v>
      </c>
      <c r="D5">
        <v>4.6530000000000002E-2</v>
      </c>
      <c r="E5">
        <v>0.12149499999999999</v>
      </c>
      <c r="F5">
        <v>2.46</v>
      </c>
      <c r="G5">
        <v>8.4870000000000001E-2</v>
      </c>
      <c r="H5">
        <v>1.7957999999999998E-2</v>
      </c>
      <c r="J5">
        <v>5.59</v>
      </c>
      <c r="K5">
        <v>6.8197999999999995E-2</v>
      </c>
      <c r="L5">
        <v>1.7328999999999997E-2</v>
      </c>
      <c r="M5">
        <v>0.35161099999999995</v>
      </c>
      <c r="N5">
        <v>5.5</v>
      </c>
      <c r="O5">
        <v>3.1349999999999996E-2</v>
      </c>
      <c r="P5">
        <v>1.485E-2</v>
      </c>
      <c r="Q5">
        <v>0.33769999999999994</v>
      </c>
    </row>
    <row r="6" spans="1:17" x14ac:dyDescent="0.3">
      <c r="A6" s="7">
        <v>439</v>
      </c>
      <c r="B6">
        <v>0.76</v>
      </c>
      <c r="C6">
        <v>8.8920000000000006E-3</v>
      </c>
      <c r="D6">
        <v>4.104E-2</v>
      </c>
      <c r="F6">
        <v>1.31</v>
      </c>
      <c r="G6">
        <v>2.9344000000000005E-2</v>
      </c>
      <c r="H6">
        <v>1.4279000000000002E-2</v>
      </c>
      <c r="I6">
        <v>0.19257000000000002</v>
      </c>
      <c r="J6">
        <v>6.48</v>
      </c>
      <c r="K6">
        <v>0.15292800000000001</v>
      </c>
      <c r="L6">
        <v>7.1928000000000006E-2</v>
      </c>
      <c r="M6">
        <v>0.53395199999999998</v>
      </c>
      <c r="N6">
        <v>2.89</v>
      </c>
      <c r="O6">
        <v>4.9708000000000002E-2</v>
      </c>
      <c r="P6">
        <v>3.0923000000000003E-2</v>
      </c>
      <c r="Q6">
        <v>0.224553</v>
      </c>
    </row>
    <row r="7" spans="1:17" x14ac:dyDescent="0.3">
      <c r="A7" s="7">
        <v>445</v>
      </c>
      <c r="B7">
        <v>4.99</v>
      </c>
      <c r="C7">
        <v>9.980000000000001E-3</v>
      </c>
      <c r="D7">
        <v>3.2933999999999998E-2</v>
      </c>
      <c r="E7">
        <v>0.17015900000000003</v>
      </c>
      <c r="F7">
        <v>3.88</v>
      </c>
      <c r="G7">
        <v>7.3720000000000001E-3</v>
      </c>
      <c r="H7">
        <v>7.7600000000000004E-3</v>
      </c>
      <c r="I7">
        <v>0.32863599999999998</v>
      </c>
      <c r="J7">
        <v>8.81</v>
      </c>
      <c r="K7">
        <v>4.7574000000000005E-2</v>
      </c>
      <c r="L7">
        <v>2.6430000000000002E-2</v>
      </c>
      <c r="M7">
        <v>0.49600300000000003</v>
      </c>
      <c r="N7">
        <v>5.0999999999999996</v>
      </c>
      <c r="O7">
        <v>9.1799999999999989E-3</v>
      </c>
      <c r="P7">
        <v>8.1599999999999989E-3</v>
      </c>
      <c r="Q7">
        <v>9.5879999999999993E-2</v>
      </c>
    </row>
    <row r="8" spans="1:17" x14ac:dyDescent="0.3">
      <c r="A8" s="7">
        <v>446</v>
      </c>
      <c r="B8">
        <v>4.92</v>
      </c>
      <c r="C8">
        <v>6.5928E-2</v>
      </c>
      <c r="D8">
        <v>0.10824</v>
      </c>
      <c r="E8">
        <v>0.29126400000000002</v>
      </c>
      <c r="F8">
        <v>3.63</v>
      </c>
      <c r="G8">
        <v>7.2236999999999996E-2</v>
      </c>
      <c r="H8">
        <v>1.8149999999999999E-2</v>
      </c>
      <c r="I8">
        <v>0.33178200000000002</v>
      </c>
      <c r="J8">
        <v>8.14</v>
      </c>
      <c r="K8">
        <v>0.16605600000000004</v>
      </c>
      <c r="L8">
        <v>3.5816000000000001E-2</v>
      </c>
      <c r="M8">
        <v>0.73097200000000018</v>
      </c>
      <c r="N8">
        <v>3.7199999999999998</v>
      </c>
      <c r="O8">
        <v>0.10267199999999999</v>
      </c>
      <c r="P8">
        <v>2.6039999999999997E-2</v>
      </c>
      <c r="Q8">
        <v>0.33628799999999992</v>
      </c>
    </row>
    <row r="9" spans="1:17" x14ac:dyDescent="0.3">
      <c r="A9" s="7">
        <v>450</v>
      </c>
      <c r="B9">
        <v>3.6999999999999997</v>
      </c>
      <c r="C9">
        <v>1.5910000000000001E-2</v>
      </c>
      <c r="D9">
        <v>0.21201</v>
      </c>
      <c r="E9">
        <v>4.2000000000000003E-2</v>
      </c>
      <c r="F9">
        <v>3.18</v>
      </c>
      <c r="G9">
        <v>2.0988000000000003E-2</v>
      </c>
      <c r="H9">
        <v>1.1129999999999999E-2</v>
      </c>
      <c r="I9">
        <v>0.17935199999999998</v>
      </c>
      <c r="J9">
        <v>5.13</v>
      </c>
      <c r="K9">
        <v>2.4110999999999997E-2</v>
      </c>
      <c r="L9">
        <v>3.8988000000000002E-2</v>
      </c>
      <c r="M9">
        <v>0.28676699999999999</v>
      </c>
      <c r="N9">
        <v>3.77</v>
      </c>
      <c r="O9">
        <v>3.1291000000000001E-3</v>
      </c>
      <c r="P9">
        <v>3.7699999999999999E-3</v>
      </c>
      <c r="Q9">
        <v>0.103298</v>
      </c>
    </row>
    <row r="10" spans="1:17" x14ac:dyDescent="0.3">
      <c r="A10" s="7">
        <v>481</v>
      </c>
      <c r="B10">
        <v>0.73000000000000009</v>
      </c>
      <c r="F10">
        <v>0.51</v>
      </c>
      <c r="N10">
        <v>0.20900000000000002</v>
      </c>
    </row>
    <row r="11" spans="1:17" x14ac:dyDescent="0.3">
      <c r="A11" s="7">
        <v>483</v>
      </c>
      <c r="B11">
        <v>2.61</v>
      </c>
      <c r="C11">
        <v>9.134999999999999E-3</v>
      </c>
      <c r="D11">
        <v>6.9426000000000002E-2</v>
      </c>
      <c r="E11">
        <v>9.0045E-2</v>
      </c>
      <c r="F11">
        <v>0.25</v>
      </c>
    </row>
    <row r="12" spans="1:17" x14ac:dyDescent="0.3">
      <c r="A12" s="7">
        <v>415</v>
      </c>
      <c r="B12">
        <v>3.5</v>
      </c>
      <c r="C12">
        <v>5.6000000000000008E-3</v>
      </c>
      <c r="D12">
        <v>6.6149999999999987E-2</v>
      </c>
      <c r="E12">
        <v>0.12542999999999999</v>
      </c>
      <c r="F12">
        <v>2.7600000000000002</v>
      </c>
      <c r="G12">
        <v>2.3736E-3</v>
      </c>
      <c r="H12">
        <v>4.6920000000000009E-3</v>
      </c>
      <c r="I12">
        <v>0.115368</v>
      </c>
      <c r="J12">
        <v>8.41</v>
      </c>
      <c r="K12">
        <v>6.3075000000000006E-3</v>
      </c>
      <c r="L12">
        <v>3.7844999999999997E-2</v>
      </c>
      <c r="M12">
        <v>0.123627</v>
      </c>
      <c r="N12">
        <v>3.5100000000000002</v>
      </c>
      <c r="O12">
        <v>6.6690000000000004E-3</v>
      </c>
      <c r="P12">
        <v>1.8252000000000001E-2</v>
      </c>
      <c r="Q12">
        <v>0.18673200000000001</v>
      </c>
    </row>
    <row r="13" spans="1:17" ht="27.6" x14ac:dyDescent="0.3">
      <c r="A13" s="7">
        <v>1854</v>
      </c>
      <c r="B13">
        <v>10.39</v>
      </c>
      <c r="C13">
        <v>0.40313200000000005</v>
      </c>
      <c r="D13">
        <v>0.24832100000000004</v>
      </c>
      <c r="E13">
        <v>0.68885700000000005</v>
      </c>
      <c r="F13">
        <v>10.36</v>
      </c>
      <c r="G13">
        <v>9.4275999999999999E-2</v>
      </c>
      <c r="H13">
        <v>6.3195999999999988E-2</v>
      </c>
      <c r="I13">
        <v>0.81118799999999991</v>
      </c>
      <c r="J13">
        <v>10.87</v>
      </c>
      <c r="K13">
        <v>0.10869999999999999</v>
      </c>
      <c r="L13">
        <v>7.2828999999999991E-2</v>
      </c>
      <c r="M13">
        <v>0.66198299999999988</v>
      </c>
      <c r="N13">
        <v>6.8100000000000005</v>
      </c>
      <c r="O13">
        <v>5.9247000000000008E-2</v>
      </c>
      <c r="P13">
        <v>4.2222000000000003E-2</v>
      </c>
      <c r="Q13">
        <v>0.43515900000000002</v>
      </c>
    </row>
    <row r="14" spans="1:17" ht="27.6" x14ac:dyDescent="0.3">
      <c r="A14" s="7">
        <v>1874</v>
      </c>
      <c r="B14">
        <v>11.8</v>
      </c>
      <c r="C14">
        <v>0.15222000000000002</v>
      </c>
      <c r="D14">
        <v>6.8440000000000001E-2</v>
      </c>
      <c r="J14">
        <v>7.8999999999999995</v>
      </c>
      <c r="K14">
        <v>7.5049999999999992E-2</v>
      </c>
      <c r="L14">
        <v>4.5029999999999994E-2</v>
      </c>
      <c r="M14">
        <v>0.71652999999999989</v>
      </c>
      <c r="N14">
        <v>5.28</v>
      </c>
      <c r="O14">
        <v>4.9104000000000002E-2</v>
      </c>
      <c r="P14">
        <v>3.0623999999999998E-2</v>
      </c>
      <c r="Q14">
        <v>0.81840000000000002</v>
      </c>
    </row>
    <row r="15" spans="1:17" ht="27.6" x14ac:dyDescent="0.3">
      <c r="A15" s="7">
        <v>1877</v>
      </c>
      <c r="B15">
        <v>6.15</v>
      </c>
      <c r="C15">
        <v>0.10147500000000001</v>
      </c>
      <c r="D15">
        <v>0.11254500000000002</v>
      </c>
      <c r="E15">
        <v>0.32718000000000003</v>
      </c>
      <c r="F15">
        <v>9.620000000000001</v>
      </c>
      <c r="G15">
        <v>7.7922000000000005E-2</v>
      </c>
      <c r="H15">
        <v>4.2328000000000005E-2</v>
      </c>
      <c r="I15">
        <v>1.1640200000000001</v>
      </c>
      <c r="J15">
        <v>9.49</v>
      </c>
      <c r="K15">
        <v>6.9276999999999991E-2</v>
      </c>
      <c r="L15">
        <v>3.6062000000000004E-2</v>
      </c>
      <c r="M15">
        <v>1.0059399999999998</v>
      </c>
      <c r="N15">
        <v>8.86</v>
      </c>
      <c r="O15">
        <v>3.6325999999999997E-2</v>
      </c>
      <c r="P15">
        <v>2.215E-2</v>
      </c>
      <c r="Q15">
        <v>1.11636</v>
      </c>
    </row>
    <row r="16" spans="1:17" ht="27.6" x14ac:dyDescent="0.3">
      <c r="A16" s="7">
        <v>1881</v>
      </c>
      <c r="B16">
        <v>1.21</v>
      </c>
      <c r="C16">
        <v>5.0093999999999993E-2</v>
      </c>
      <c r="D16">
        <v>7.586699999999999E-2</v>
      </c>
      <c r="E16">
        <v>9.1597000000000012E-2</v>
      </c>
      <c r="F16">
        <v>9.58</v>
      </c>
      <c r="G16">
        <v>4.3110000000000002E-2</v>
      </c>
      <c r="H16">
        <v>3.832E-2</v>
      </c>
      <c r="I16">
        <v>0.70987800000000012</v>
      </c>
      <c r="J16">
        <v>6.45</v>
      </c>
      <c r="K16">
        <v>3.0960000000000001E-2</v>
      </c>
      <c r="L16">
        <v>1.677E-2</v>
      </c>
      <c r="M16">
        <v>0.230265</v>
      </c>
      <c r="N16">
        <v>4.3599999999999994</v>
      </c>
      <c r="O16">
        <v>3.0955999999999994E-2</v>
      </c>
      <c r="P16">
        <v>1.9183999999999996E-2</v>
      </c>
      <c r="Q16">
        <v>0.64527999999999996</v>
      </c>
    </row>
    <row r="17" spans="1:17" ht="27.6" x14ac:dyDescent="0.3">
      <c r="A17" s="7">
        <v>1885</v>
      </c>
      <c r="B17">
        <v>8.0300000000000011</v>
      </c>
      <c r="C17">
        <v>0.54202500000000009</v>
      </c>
      <c r="D17">
        <v>0.59823500000000007</v>
      </c>
      <c r="E17">
        <v>0.32280599999999998</v>
      </c>
      <c r="F17">
        <v>0.72</v>
      </c>
      <c r="G17">
        <v>3.1031999999999997E-2</v>
      </c>
      <c r="H17">
        <v>1.7135999999999998E-2</v>
      </c>
      <c r="I17">
        <v>7.9199999999999993E-2</v>
      </c>
      <c r="J17">
        <v>6.9600000000000009</v>
      </c>
      <c r="K17">
        <v>6.0552000000000009E-2</v>
      </c>
      <c r="L17">
        <v>5.2896000000000012E-2</v>
      </c>
      <c r="M17">
        <v>0.31041600000000003</v>
      </c>
      <c r="N17">
        <v>7.5</v>
      </c>
      <c r="O17">
        <v>9.0749999999999997E-2</v>
      </c>
      <c r="P17">
        <v>6.6000000000000003E-2</v>
      </c>
      <c r="Q17">
        <v>0.40875</v>
      </c>
    </row>
    <row r="18" spans="1:17" ht="27.6" x14ac:dyDescent="0.3">
      <c r="A18" s="7">
        <v>1886</v>
      </c>
      <c r="B18">
        <v>12.84</v>
      </c>
      <c r="C18">
        <v>0.74600399999999989</v>
      </c>
      <c r="D18">
        <v>0.94117200000000001</v>
      </c>
      <c r="F18">
        <v>12.8</v>
      </c>
      <c r="G18">
        <v>7.0400000000000004E-2</v>
      </c>
      <c r="H18">
        <v>1.6640000000000002E-2</v>
      </c>
      <c r="J18">
        <v>10</v>
      </c>
      <c r="K18">
        <v>7.2999999999999995E-2</v>
      </c>
      <c r="L18">
        <v>6.6000000000000003E-2</v>
      </c>
      <c r="M18">
        <v>0.52</v>
      </c>
      <c r="N18">
        <v>4.62</v>
      </c>
      <c r="O18">
        <v>3.4188000000000003E-2</v>
      </c>
      <c r="P18">
        <v>3.1877999999999997E-2</v>
      </c>
      <c r="Q18">
        <v>0.66528000000000009</v>
      </c>
    </row>
    <row r="19" spans="1:17" ht="27.6" x14ac:dyDescent="0.3">
      <c r="A19" s="7">
        <v>1899</v>
      </c>
      <c r="B19">
        <v>6.4399999999999995</v>
      </c>
      <c r="C19">
        <v>7.2128000000000012E-2</v>
      </c>
      <c r="D19">
        <v>6.3112000000000001E-2</v>
      </c>
      <c r="E19">
        <v>0.22797599999999998</v>
      </c>
      <c r="F19">
        <v>5.55</v>
      </c>
      <c r="G19">
        <v>8.657999999999999E-2</v>
      </c>
      <c r="H19">
        <v>4.4954999999999995E-2</v>
      </c>
      <c r="I19">
        <v>0.90465000000000007</v>
      </c>
      <c r="J19">
        <v>8.82</v>
      </c>
      <c r="K19">
        <v>0.10936799999999999</v>
      </c>
      <c r="L19">
        <v>8.2026000000000002E-2</v>
      </c>
      <c r="M19">
        <v>0.56712600000000002</v>
      </c>
      <c r="N19">
        <v>6.2</v>
      </c>
      <c r="O19">
        <v>0.12151999999999999</v>
      </c>
      <c r="P19">
        <v>7.3160000000000003E-2</v>
      </c>
      <c r="Q19">
        <v>0.50343999999999989</v>
      </c>
    </row>
    <row r="20" spans="1:17" ht="27.6" x14ac:dyDescent="0.3">
      <c r="A20" s="7">
        <v>1900</v>
      </c>
      <c r="B20">
        <v>8.86</v>
      </c>
      <c r="C20">
        <v>0.32781999999999994</v>
      </c>
      <c r="D20">
        <v>0.31895999999999997</v>
      </c>
      <c r="E20">
        <v>0.56083799999999995</v>
      </c>
      <c r="F20">
        <v>8.3099999999999987</v>
      </c>
      <c r="G20">
        <v>0.13129799999999997</v>
      </c>
      <c r="H20">
        <v>7.5620999999999994E-2</v>
      </c>
      <c r="I20">
        <v>0.92240999999999984</v>
      </c>
      <c r="J20">
        <v>9.82</v>
      </c>
      <c r="K20">
        <v>7.4632000000000004E-2</v>
      </c>
      <c r="L20">
        <v>5.9901999999999997E-2</v>
      </c>
      <c r="M20">
        <v>1.05074</v>
      </c>
      <c r="N20">
        <v>9.1999999999999993</v>
      </c>
      <c r="O20">
        <v>8.924E-2</v>
      </c>
      <c r="P20">
        <v>5.7959999999999991E-2</v>
      </c>
      <c r="Q20">
        <v>1.2879999999999998</v>
      </c>
    </row>
    <row r="21" spans="1:17" x14ac:dyDescent="0.3">
      <c r="A21" s="7">
        <v>433</v>
      </c>
      <c r="B21">
        <v>3.55</v>
      </c>
      <c r="C21">
        <v>0.14377499999999999</v>
      </c>
      <c r="D21">
        <v>0.31595000000000001</v>
      </c>
      <c r="E21">
        <v>0.183535</v>
      </c>
      <c r="F21">
        <v>4.4700000000000006</v>
      </c>
      <c r="G21">
        <v>2.2350000000000002E-2</v>
      </c>
      <c r="H21">
        <v>6.5709000000000004E-2</v>
      </c>
      <c r="I21">
        <v>0.113985</v>
      </c>
      <c r="J21">
        <v>4.26</v>
      </c>
      <c r="K21">
        <v>1.6188000000000001E-2</v>
      </c>
      <c r="L21">
        <v>8.4347999999999992E-2</v>
      </c>
      <c r="M21">
        <v>4.4303999999999996E-2</v>
      </c>
      <c r="N21">
        <v>3.1399999999999997</v>
      </c>
      <c r="O21">
        <v>1.7583999999999999E-2</v>
      </c>
      <c r="P21">
        <v>4.7727999999999993E-2</v>
      </c>
      <c r="Q21">
        <v>6.0601999999999989E-2</v>
      </c>
    </row>
    <row r="22" spans="1:17" x14ac:dyDescent="0.3">
      <c r="A22" s="7">
        <v>500</v>
      </c>
      <c r="B22">
        <v>2.35</v>
      </c>
      <c r="C22">
        <v>6.1100000000000008E-3</v>
      </c>
      <c r="D22">
        <v>7.8255000000000005E-2</v>
      </c>
      <c r="E22">
        <v>1.5275E-2</v>
      </c>
      <c r="F22">
        <v>4.05</v>
      </c>
      <c r="G22">
        <v>7.2900000000000006E-2</v>
      </c>
      <c r="H22">
        <v>0.168075</v>
      </c>
      <c r="I22">
        <v>0.15309</v>
      </c>
      <c r="J22">
        <v>2.13</v>
      </c>
      <c r="K22">
        <v>7.6679999999999995E-3</v>
      </c>
      <c r="L22">
        <v>4.1747999999999993E-2</v>
      </c>
      <c r="M22">
        <v>3.4079999999999999E-2</v>
      </c>
      <c r="N22">
        <v>3.21</v>
      </c>
      <c r="O22">
        <v>2.4717000000000003E-2</v>
      </c>
      <c r="P22">
        <v>9.2448000000000002E-2</v>
      </c>
      <c r="Q22">
        <v>7.7681999999999987E-2</v>
      </c>
    </row>
    <row r="23" spans="1:17" ht="27.6" x14ac:dyDescent="0.3">
      <c r="A23" s="7">
        <v>1875</v>
      </c>
      <c r="F23">
        <v>12.850000000000001</v>
      </c>
      <c r="G23">
        <v>9.8945000000000005E-2</v>
      </c>
      <c r="H23">
        <v>4.8830000000000012E-2</v>
      </c>
      <c r="I23">
        <v>1.4520500000000001</v>
      </c>
      <c r="J23">
        <v>6.9399999999999995</v>
      </c>
      <c r="K23">
        <v>3.5393999999999995E-2</v>
      </c>
      <c r="L23">
        <v>3.7475999999999995E-2</v>
      </c>
      <c r="M23">
        <v>0.49135199999999996</v>
      </c>
      <c r="N23">
        <v>7.72</v>
      </c>
      <c r="O23">
        <v>6.6391999999999993E-2</v>
      </c>
      <c r="P23">
        <v>3.3195999999999996E-2</v>
      </c>
      <c r="Q23">
        <v>0.57977199999999995</v>
      </c>
    </row>
    <row r="24" spans="1:17" ht="27.6" x14ac:dyDescent="0.3">
      <c r="A24" s="7">
        <v>1894</v>
      </c>
    </row>
    <row r="25" spans="1:17" x14ac:dyDescent="0.3">
      <c r="A25" s="7">
        <v>448</v>
      </c>
    </row>
    <row r="26" spans="1:17" x14ac:dyDescent="0.3">
      <c r="A26" s="7">
        <v>476</v>
      </c>
    </row>
    <row r="27" spans="1:17" x14ac:dyDescent="0.3">
      <c r="A27" s="22">
        <v>470</v>
      </c>
    </row>
    <row r="28" spans="1:17" x14ac:dyDescent="0.3">
      <c r="A28" s="22">
        <v>578</v>
      </c>
      <c r="B28">
        <v>4.59</v>
      </c>
      <c r="C28">
        <v>0.19002599999999997</v>
      </c>
      <c r="D28">
        <v>3.4424999999999998E-3</v>
      </c>
      <c r="E28">
        <v>3.4470899999999993</v>
      </c>
      <c r="F28">
        <v>5.64</v>
      </c>
      <c r="G28">
        <v>0.103212</v>
      </c>
      <c r="H28">
        <v>3.0455999999999999E-3</v>
      </c>
      <c r="I28">
        <v>4.4725199999999994</v>
      </c>
      <c r="J28">
        <v>6.72</v>
      </c>
      <c r="K28">
        <v>4.3680000000000004E-2</v>
      </c>
      <c r="L28">
        <v>0</v>
      </c>
      <c r="M28">
        <v>5.2483199999999997</v>
      </c>
    </row>
    <row r="29" spans="1:17" x14ac:dyDescent="0.3">
      <c r="A29" s="22">
        <v>495</v>
      </c>
      <c r="B29">
        <v>8.2199999999999989</v>
      </c>
      <c r="C29">
        <v>0.11918999999999999</v>
      </c>
      <c r="D29">
        <v>1.1508000000000001E-2</v>
      </c>
      <c r="E29">
        <v>6.1156800000000002</v>
      </c>
      <c r="F29">
        <v>10.42</v>
      </c>
      <c r="G29">
        <v>5.0015999999999998E-2</v>
      </c>
      <c r="H29">
        <v>2.0839999999999999E-3</v>
      </c>
      <c r="I29">
        <v>8.6486000000000001</v>
      </c>
      <c r="J29">
        <v>21.2</v>
      </c>
      <c r="K29">
        <v>0.21411999999999998</v>
      </c>
      <c r="L29">
        <v>4.8760000000000001E-3</v>
      </c>
      <c r="M29">
        <v>16.1968</v>
      </c>
      <c r="N29">
        <v>9.1199999999999992</v>
      </c>
      <c r="O29">
        <v>0.121296</v>
      </c>
      <c r="P29">
        <v>2.5535999999999996E-3</v>
      </c>
      <c r="Q29">
        <v>7.2047999999999988</v>
      </c>
    </row>
    <row r="30" spans="1:17" x14ac:dyDescent="0.3">
      <c r="A30" s="22">
        <v>493</v>
      </c>
      <c r="B30">
        <v>3.2300000000000004</v>
      </c>
      <c r="C30">
        <v>0.35853000000000002</v>
      </c>
      <c r="D30">
        <v>1.1628000000000001E-2</v>
      </c>
      <c r="E30">
        <v>2.6259900000000003</v>
      </c>
      <c r="F30">
        <v>1</v>
      </c>
      <c r="J30">
        <v>13.6</v>
      </c>
      <c r="K30">
        <v>0.67320000000000002</v>
      </c>
      <c r="L30">
        <v>1.3464E-2</v>
      </c>
      <c r="M30">
        <v>11.519200000000001</v>
      </c>
      <c r="N30">
        <v>0.92999999999999994</v>
      </c>
      <c r="O30">
        <v>3.3387E-2</v>
      </c>
      <c r="P30">
        <v>2.0459999999999996E-3</v>
      </c>
      <c r="Q30">
        <v>0.80444999999999989</v>
      </c>
    </row>
    <row r="31" spans="1:17" x14ac:dyDescent="0.3">
      <c r="A31" s="22">
        <v>452</v>
      </c>
      <c r="B31">
        <v>0.52</v>
      </c>
      <c r="F31">
        <v>1.9699999999999998</v>
      </c>
      <c r="G31">
        <v>3.8217999999999995E-2</v>
      </c>
      <c r="H31">
        <v>2.5609999999999999E-3</v>
      </c>
      <c r="I31">
        <v>1.1288099999999999</v>
      </c>
      <c r="J31">
        <v>16.600000000000001</v>
      </c>
      <c r="K31">
        <v>1.1072200000000001</v>
      </c>
      <c r="L31">
        <v>0</v>
      </c>
      <c r="M31">
        <v>11.304600000000001</v>
      </c>
      <c r="N31">
        <v>0.74</v>
      </c>
      <c r="O31">
        <v>0.10656</v>
      </c>
      <c r="P31">
        <v>2.294E-3</v>
      </c>
      <c r="Q31">
        <v>0.52170000000000005</v>
      </c>
    </row>
    <row r="32" spans="1:17" x14ac:dyDescent="0.3">
      <c r="A32" s="22">
        <v>464</v>
      </c>
      <c r="B32">
        <v>0.48</v>
      </c>
      <c r="D32">
        <v>1.5840000000000001E-3</v>
      </c>
      <c r="E32">
        <v>0.31247999999999998</v>
      </c>
      <c r="F32">
        <v>1.67</v>
      </c>
      <c r="G32">
        <v>7.8490000000000001E-3</v>
      </c>
      <c r="H32">
        <v>0</v>
      </c>
      <c r="I32">
        <v>1.53139</v>
      </c>
      <c r="J32">
        <v>12.7</v>
      </c>
      <c r="K32">
        <v>0.87629999999999997</v>
      </c>
      <c r="L32">
        <v>0</v>
      </c>
      <c r="M32">
        <v>10.972799999999999</v>
      </c>
      <c r="N32">
        <v>0.79</v>
      </c>
      <c r="O32">
        <v>9.6379999999999993E-2</v>
      </c>
      <c r="P32">
        <v>2.2120000000000004E-3</v>
      </c>
      <c r="Q32">
        <v>0.63278999999999996</v>
      </c>
    </row>
    <row r="33" spans="1:17" x14ac:dyDescent="0.3">
      <c r="A33" s="22">
        <v>490</v>
      </c>
      <c r="B33">
        <v>3.92</v>
      </c>
      <c r="C33">
        <v>0.33516000000000007</v>
      </c>
      <c r="D33">
        <v>1.4504E-2</v>
      </c>
      <c r="E33">
        <v>2.9478399999999998</v>
      </c>
      <c r="F33">
        <v>1.6199999999999999</v>
      </c>
      <c r="J33">
        <v>4.51</v>
      </c>
      <c r="N33">
        <v>4</v>
      </c>
      <c r="O33">
        <v>9.0399999999999994E-2</v>
      </c>
      <c r="P33">
        <v>0</v>
      </c>
      <c r="Q33">
        <v>2.964</v>
      </c>
    </row>
    <row r="34" spans="1:17" x14ac:dyDescent="0.3">
      <c r="A34" s="22">
        <v>550</v>
      </c>
      <c r="B34">
        <v>3.96</v>
      </c>
      <c r="C34">
        <v>0.28591199999999994</v>
      </c>
      <c r="D34">
        <v>8.3160000000000005E-3</v>
      </c>
      <c r="E34">
        <v>3.2590799999999995</v>
      </c>
      <c r="F34">
        <v>8.17</v>
      </c>
      <c r="G34">
        <v>2.5327000000000002E-2</v>
      </c>
      <c r="H34">
        <v>9.8039999999999998E-4</v>
      </c>
      <c r="I34">
        <v>6.8954800000000001</v>
      </c>
      <c r="J34">
        <v>5.38</v>
      </c>
      <c r="N34">
        <v>6.0299999999999994</v>
      </c>
      <c r="O34">
        <v>5.2460999999999994E-2</v>
      </c>
      <c r="P34">
        <v>7.8389999999999992E-4</v>
      </c>
      <c r="Q34">
        <v>4.8420899999999998</v>
      </c>
    </row>
    <row r="35" spans="1:17" x14ac:dyDescent="0.3">
      <c r="A35" s="22">
        <v>485</v>
      </c>
      <c r="B35">
        <v>5.77</v>
      </c>
      <c r="C35">
        <v>0.12636299999999998</v>
      </c>
      <c r="D35">
        <v>8.6549999999999995E-3</v>
      </c>
      <c r="E35">
        <v>4.2928800000000003</v>
      </c>
      <c r="F35">
        <v>19.060000000000002</v>
      </c>
      <c r="G35">
        <v>3.4307999999999998E-2</v>
      </c>
      <c r="H35">
        <v>0</v>
      </c>
      <c r="I35">
        <v>16.258180000000003</v>
      </c>
      <c r="J35">
        <v>11</v>
      </c>
      <c r="K35">
        <v>0.11990000000000001</v>
      </c>
      <c r="L35">
        <v>7.2600000000000012E-2</v>
      </c>
      <c r="M35">
        <v>7.6559999999999988</v>
      </c>
      <c r="N35">
        <v>2.76</v>
      </c>
      <c r="O35">
        <v>7.5899999999999995E-2</v>
      </c>
      <c r="P35">
        <v>0</v>
      </c>
      <c r="Q35">
        <v>1.9871999999999996</v>
      </c>
    </row>
    <row r="36" spans="1:17" x14ac:dyDescent="0.3">
      <c r="A36" s="22">
        <v>577</v>
      </c>
      <c r="B36">
        <v>0.58799999999999997</v>
      </c>
      <c r="C36">
        <v>4.7686800000000001E-2</v>
      </c>
      <c r="D36">
        <v>3.4339199999999993E-2</v>
      </c>
      <c r="E36">
        <v>0.20638799999999999</v>
      </c>
      <c r="F36">
        <v>0.48799999999999999</v>
      </c>
      <c r="G36">
        <v>4.9776000000000001E-2</v>
      </c>
      <c r="H36">
        <v>1.40544E-2</v>
      </c>
      <c r="I36">
        <v>0.35184799999999994</v>
      </c>
      <c r="J36">
        <v>28.2</v>
      </c>
      <c r="K36">
        <v>1.9852799999999999</v>
      </c>
      <c r="L36">
        <v>0.37788000000000005</v>
      </c>
      <c r="M36">
        <v>15.368999999999998</v>
      </c>
      <c r="N36">
        <v>0.75</v>
      </c>
      <c r="O36">
        <v>0.15675</v>
      </c>
      <c r="P36">
        <v>0.03</v>
      </c>
      <c r="Q36">
        <v>0.33224999999999993</v>
      </c>
    </row>
    <row r="37" spans="1:17" x14ac:dyDescent="0.3">
      <c r="A37" s="22">
        <v>473</v>
      </c>
      <c r="B37">
        <v>1.74</v>
      </c>
      <c r="C37">
        <v>0.17573999999999998</v>
      </c>
      <c r="D37">
        <v>5.0460000000000005E-2</v>
      </c>
      <c r="E37">
        <v>0.96048</v>
      </c>
      <c r="F37">
        <v>1.1200000000000001</v>
      </c>
      <c r="G37">
        <v>6.5967999999999999E-2</v>
      </c>
      <c r="H37">
        <v>8.8480000000000017E-3</v>
      </c>
      <c r="I37">
        <v>0.89040000000000008</v>
      </c>
      <c r="J37">
        <v>14.2</v>
      </c>
      <c r="N37">
        <v>1.8499999999999999</v>
      </c>
      <c r="O37">
        <v>0.17538000000000001</v>
      </c>
      <c r="P37">
        <v>6.4749999999999999E-3</v>
      </c>
      <c r="Q37">
        <v>1.3949</v>
      </c>
    </row>
    <row r="38" spans="1:17" x14ac:dyDescent="0.3">
      <c r="A38" s="22">
        <v>469</v>
      </c>
      <c r="B38">
        <v>0.91999999999999993</v>
      </c>
      <c r="C38">
        <v>0.12328</v>
      </c>
      <c r="D38">
        <v>8.9515999999999984E-2</v>
      </c>
      <c r="E38">
        <v>0.44619999999999999</v>
      </c>
      <c r="F38">
        <v>0.48399999999999999</v>
      </c>
      <c r="G38">
        <v>0.10212400000000001</v>
      </c>
      <c r="H38">
        <v>6.5339999999999999E-3</v>
      </c>
      <c r="I38">
        <v>0.29330400000000001</v>
      </c>
      <c r="N38">
        <v>1.79</v>
      </c>
      <c r="O38">
        <v>2.5776E-2</v>
      </c>
      <c r="P38">
        <v>2.6850000000000003E-3</v>
      </c>
      <c r="Q38">
        <v>1.2834300000000001</v>
      </c>
    </row>
    <row r="39" spans="1:17" x14ac:dyDescent="0.3">
      <c r="A39" s="22">
        <v>575</v>
      </c>
      <c r="B39">
        <v>0.87000000000000011</v>
      </c>
      <c r="C39">
        <v>0.13485000000000003</v>
      </c>
      <c r="E39">
        <v>0.17052000000000003</v>
      </c>
      <c r="F39">
        <v>0.72</v>
      </c>
      <c r="G39">
        <v>8.7839999999999988E-2</v>
      </c>
      <c r="H39">
        <v>3.3695999999999997E-2</v>
      </c>
      <c r="I39">
        <v>0.41327999999999998</v>
      </c>
      <c r="J39">
        <v>21</v>
      </c>
      <c r="K39">
        <v>3.0030000000000001</v>
      </c>
      <c r="L39">
        <v>0.4158</v>
      </c>
      <c r="M39">
        <v>7.1610000000000005</v>
      </c>
      <c r="N39">
        <v>0.78</v>
      </c>
      <c r="O39">
        <v>0.10452</v>
      </c>
      <c r="P39">
        <v>2.5272000000000003E-2</v>
      </c>
      <c r="Q39">
        <v>0.37908000000000003</v>
      </c>
    </row>
    <row r="40" spans="1:17" x14ac:dyDescent="0.3">
      <c r="A40" s="22">
        <v>424</v>
      </c>
    </row>
    <row r="41" spans="1:17" x14ac:dyDescent="0.3">
      <c r="A41" s="22">
        <v>418</v>
      </c>
      <c r="B41">
        <v>0.48</v>
      </c>
      <c r="C41">
        <v>4.4111999999999998E-2</v>
      </c>
      <c r="D41">
        <v>1.3343999999999998E-2</v>
      </c>
      <c r="E41">
        <v>9.1680000000000011E-2</v>
      </c>
      <c r="F41">
        <v>0.14699999999999999</v>
      </c>
      <c r="G41">
        <v>6.0269999999999994E-3</v>
      </c>
      <c r="H41">
        <v>2.7195000000000001E-3</v>
      </c>
      <c r="I41">
        <v>4.2923999999999997E-2</v>
      </c>
      <c r="J41">
        <v>0.37</v>
      </c>
      <c r="K41">
        <v>2.9489000000000001E-2</v>
      </c>
      <c r="L41">
        <v>1.0545000000000001E-2</v>
      </c>
      <c r="M41">
        <v>9.1020000000000004E-2</v>
      </c>
      <c r="N41">
        <v>0.36399999999999999</v>
      </c>
      <c r="O41">
        <v>4.0039999999999992E-2</v>
      </c>
      <c r="P41">
        <v>1.5906800000000002E-2</v>
      </c>
      <c r="Q41">
        <v>0.13322400000000001</v>
      </c>
    </row>
    <row r="42" spans="1:17" x14ac:dyDescent="0.3">
      <c r="A42" s="22">
        <v>423</v>
      </c>
      <c r="B42">
        <v>0.33999999999999997</v>
      </c>
      <c r="C42">
        <v>4.4879999999999996E-2</v>
      </c>
      <c r="D42">
        <v>2.5023999999999998E-2</v>
      </c>
      <c r="E42">
        <v>7.5479999999999992E-2</v>
      </c>
      <c r="F42">
        <v>0.192</v>
      </c>
      <c r="J42">
        <v>0.217</v>
      </c>
      <c r="N42">
        <v>0.2</v>
      </c>
    </row>
    <row r="43" spans="1:17" x14ac:dyDescent="0.3">
      <c r="A43" s="22">
        <v>430</v>
      </c>
      <c r="B43">
        <v>0.53</v>
      </c>
      <c r="C43">
        <v>6.837E-2</v>
      </c>
      <c r="D43">
        <v>4.5368000000000006E-2</v>
      </c>
      <c r="E43">
        <v>0.18391000000000002</v>
      </c>
      <c r="F43">
        <v>0.62</v>
      </c>
      <c r="G43">
        <v>0.15127999999999997</v>
      </c>
      <c r="H43">
        <v>3.0442E-2</v>
      </c>
      <c r="I43">
        <v>0.20274</v>
      </c>
      <c r="J43">
        <v>0.39</v>
      </c>
      <c r="K43">
        <v>6.5129999999999993E-2</v>
      </c>
      <c r="L43">
        <v>2.3283000000000002E-2</v>
      </c>
      <c r="M43">
        <v>9.7110000000000002E-2</v>
      </c>
      <c r="N43">
        <v>0.51</v>
      </c>
      <c r="O43">
        <v>0.11577</v>
      </c>
      <c r="P43">
        <v>2.2286999999999998E-2</v>
      </c>
    </row>
    <row r="44" spans="1:17" x14ac:dyDescent="0.3">
      <c r="A44" s="22">
        <v>492</v>
      </c>
      <c r="B44">
        <v>0.4</v>
      </c>
      <c r="C44">
        <v>2.0240000000000001E-2</v>
      </c>
      <c r="D44">
        <v>1.3920000000000002E-2</v>
      </c>
      <c r="E44">
        <v>9.3200000000000005E-2</v>
      </c>
      <c r="F44">
        <v>0.27900000000000003</v>
      </c>
      <c r="J44">
        <v>0.62</v>
      </c>
      <c r="N44">
        <v>0.24</v>
      </c>
    </row>
    <row r="45" spans="1:17" x14ac:dyDescent="0.3">
      <c r="A45" s="22">
        <v>458</v>
      </c>
      <c r="B45">
        <v>0.65</v>
      </c>
      <c r="C45">
        <v>8.7750000000000009E-2</v>
      </c>
      <c r="D45">
        <v>5.8955E-2</v>
      </c>
      <c r="E45">
        <v>0.22359999999999999</v>
      </c>
      <c r="F45">
        <v>0.45</v>
      </c>
      <c r="G45">
        <v>0.12509999999999999</v>
      </c>
      <c r="H45">
        <v>1.6154999999999999E-2</v>
      </c>
      <c r="I45">
        <v>0.13905000000000001</v>
      </c>
      <c r="J45">
        <v>0.33199999999999996</v>
      </c>
      <c r="K45">
        <v>3.3531999999999992E-2</v>
      </c>
      <c r="L45">
        <v>8.2335999999999989E-3</v>
      </c>
      <c r="M45">
        <v>0.14043599999999998</v>
      </c>
      <c r="N45">
        <v>0.36000000000000004</v>
      </c>
      <c r="O45">
        <v>7.5600000000000001E-2</v>
      </c>
      <c r="P45">
        <v>1.0800000000000001E-2</v>
      </c>
      <c r="Q45">
        <v>0.15048</v>
      </c>
    </row>
    <row r="46" spans="1:17" x14ac:dyDescent="0.3">
      <c r="A46" s="22">
        <v>486</v>
      </c>
      <c r="B46">
        <v>0.4</v>
      </c>
      <c r="C46">
        <v>4.7200000000000006E-2</v>
      </c>
      <c r="D46">
        <v>3.508E-2</v>
      </c>
      <c r="E46">
        <v>0.13919999999999999</v>
      </c>
      <c r="F46">
        <v>1.86</v>
      </c>
      <c r="G46">
        <v>0.46872000000000003</v>
      </c>
      <c r="H46">
        <v>3.7758E-2</v>
      </c>
      <c r="I46">
        <v>0.90024000000000004</v>
      </c>
      <c r="J46">
        <v>0.44</v>
      </c>
      <c r="K46">
        <v>4.2152000000000002E-2</v>
      </c>
      <c r="L46">
        <v>2.1604000000000002E-2</v>
      </c>
      <c r="M46">
        <v>0.14431999999999998</v>
      </c>
      <c r="N46">
        <v>1.1340000000000001</v>
      </c>
      <c r="O46">
        <v>0.19278000000000003</v>
      </c>
      <c r="P46">
        <v>3.6628200000000007E-2</v>
      </c>
      <c r="Q46">
        <v>0.73710000000000009</v>
      </c>
    </row>
    <row r="47" spans="1:17" x14ac:dyDescent="0.3">
      <c r="A47" s="22">
        <v>449</v>
      </c>
      <c r="F47">
        <v>1.2999999999999998</v>
      </c>
      <c r="G47">
        <v>0.38479999999999998</v>
      </c>
      <c r="I47">
        <v>0.41209999999999991</v>
      </c>
      <c r="J47">
        <v>17.54</v>
      </c>
      <c r="K47">
        <v>1.5926319999999998</v>
      </c>
      <c r="N47">
        <v>0.89200000000000002</v>
      </c>
      <c r="Q47">
        <v>0.342528</v>
      </c>
    </row>
    <row r="48" spans="1:17" x14ac:dyDescent="0.3">
      <c r="A48" s="22">
        <v>431</v>
      </c>
      <c r="B48">
        <v>0.54</v>
      </c>
      <c r="F48">
        <v>0.53</v>
      </c>
      <c r="G48">
        <v>0.12667</v>
      </c>
      <c r="H48">
        <v>1.6642000000000001E-2</v>
      </c>
      <c r="I48">
        <v>0.16377</v>
      </c>
      <c r="J48">
        <v>0.44999999999999996</v>
      </c>
      <c r="N48">
        <v>0.64</v>
      </c>
      <c r="P48">
        <v>4.2816E-2</v>
      </c>
    </row>
    <row r="49" spans="1:17" x14ac:dyDescent="0.3">
      <c r="A49" s="22">
        <v>453</v>
      </c>
    </row>
    <row r="50" spans="1:17" x14ac:dyDescent="0.3">
      <c r="A50" s="22">
        <v>576</v>
      </c>
      <c r="B50">
        <v>2.31</v>
      </c>
      <c r="D50">
        <v>0.227073</v>
      </c>
      <c r="E50">
        <v>0.49851999999999996</v>
      </c>
      <c r="F50">
        <v>0.19</v>
      </c>
      <c r="G50">
        <v>7.7899999999999996E-4</v>
      </c>
      <c r="H50">
        <v>5.0540000000000003E-3</v>
      </c>
      <c r="I50">
        <v>1.786E-4</v>
      </c>
      <c r="J50">
        <v>0.65</v>
      </c>
      <c r="K50">
        <v>0.17874999999999999</v>
      </c>
      <c r="L50">
        <v>8.1250000000000003E-2</v>
      </c>
      <c r="M50">
        <v>0.30095</v>
      </c>
      <c r="N50">
        <v>1.28</v>
      </c>
      <c r="O50">
        <v>0.19583999999999999</v>
      </c>
      <c r="P50">
        <v>9.2672000000000004E-2</v>
      </c>
      <c r="Q50">
        <v>0.68608000000000002</v>
      </c>
    </row>
    <row r="51" spans="1:17" x14ac:dyDescent="0.3">
      <c r="A51" s="22">
        <v>601</v>
      </c>
    </row>
    <row r="52" spans="1:17" x14ac:dyDescent="0.3">
      <c r="A52" s="22">
        <v>689</v>
      </c>
    </row>
    <row r="53" spans="1:17" x14ac:dyDescent="0.3">
      <c r="A53" s="22">
        <v>816</v>
      </c>
    </row>
    <row r="54" spans="1:17" x14ac:dyDescent="0.3">
      <c r="A54" s="22">
        <v>826</v>
      </c>
    </row>
    <row r="55" spans="1:17" x14ac:dyDescent="0.3">
      <c r="A55" s="22">
        <v>834</v>
      </c>
    </row>
    <row r="56" spans="1:17" x14ac:dyDescent="0.3">
      <c r="A56" s="22">
        <v>835</v>
      </c>
    </row>
    <row r="57" spans="1:17" x14ac:dyDescent="0.3">
      <c r="A57" s="22">
        <v>843</v>
      </c>
    </row>
    <row r="58" spans="1:17" x14ac:dyDescent="0.3">
      <c r="A58" s="22">
        <v>855</v>
      </c>
    </row>
    <row r="59" spans="1:17" x14ac:dyDescent="0.3">
      <c r="A59" s="27">
        <v>283</v>
      </c>
      <c r="B59">
        <v>23.11</v>
      </c>
      <c r="C59">
        <v>0.96137600000000001</v>
      </c>
      <c r="D59">
        <v>2.4496599999999997</v>
      </c>
      <c r="E59">
        <v>8.4120399999999993</v>
      </c>
      <c r="F59">
        <v>23</v>
      </c>
      <c r="J59">
        <v>26.1</v>
      </c>
      <c r="K59">
        <v>0.79605000000000004</v>
      </c>
      <c r="L59">
        <v>2.0958299999999999</v>
      </c>
      <c r="M59">
        <v>8.952300000000001</v>
      </c>
      <c r="N59">
        <v>23.93</v>
      </c>
      <c r="O59">
        <v>0.99548800000000004</v>
      </c>
      <c r="P59">
        <v>1.4932320000000001</v>
      </c>
      <c r="Q59">
        <v>12.85041</v>
      </c>
    </row>
    <row r="60" spans="1:17" x14ac:dyDescent="0.3">
      <c r="A60" s="27">
        <v>247</v>
      </c>
      <c r="B60">
        <v>14.129999999999999</v>
      </c>
      <c r="C60">
        <v>0.44792099999999996</v>
      </c>
      <c r="D60">
        <v>1.1360519999999998</v>
      </c>
      <c r="E60">
        <v>7.3758600000000003</v>
      </c>
      <c r="F60">
        <v>10.08</v>
      </c>
      <c r="G60">
        <v>0.48988800000000005</v>
      </c>
      <c r="H60">
        <v>2.6308800000000003</v>
      </c>
      <c r="I60">
        <v>5.2416</v>
      </c>
      <c r="J60">
        <v>18.600000000000001</v>
      </c>
      <c r="K60">
        <v>0.57288000000000006</v>
      </c>
      <c r="L60">
        <v>1.7372400000000001</v>
      </c>
      <c r="M60">
        <v>6.3798000000000004</v>
      </c>
      <c r="N60">
        <v>27.6</v>
      </c>
      <c r="O60">
        <v>1.0902000000000001</v>
      </c>
      <c r="P60">
        <v>0.84731999999999996</v>
      </c>
      <c r="Q60">
        <v>12.696000000000002</v>
      </c>
    </row>
    <row r="61" spans="1:17" x14ac:dyDescent="0.3">
      <c r="A61" s="27">
        <v>267</v>
      </c>
      <c r="B61">
        <v>2.94</v>
      </c>
      <c r="C61">
        <v>1.4994E-2</v>
      </c>
      <c r="D61">
        <v>0.13435800000000001</v>
      </c>
      <c r="E61">
        <v>2.3755199999999999</v>
      </c>
      <c r="F61">
        <v>5.04</v>
      </c>
      <c r="G61">
        <v>3.3767999999999999E-2</v>
      </c>
      <c r="H61">
        <v>4.4856E-2</v>
      </c>
      <c r="I61">
        <v>3.8656800000000002</v>
      </c>
      <c r="J61">
        <v>29.3</v>
      </c>
      <c r="K61">
        <v>7.911E-2</v>
      </c>
      <c r="L61">
        <v>0.23733000000000001</v>
      </c>
      <c r="N61">
        <v>2.94</v>
      </c>
      <c r="O61">
        <v>0.10348800000000001</v>
      </c>
      <c r="P61">
        <v>7.8497999999999998E-2</v>
      </c>
      <c r="Q61">
        <v>2.0815199999999998</v>
      </c>
    </row>
    <row r="62" spans="1:17" x14ac:dyDescent="0.3">
      <c r="A62" s="27">
        <v>268</v>
      </c>
      <c r="B62">
        <v>25.849999999999998</v>
      </c>
      <c r="C62">
        <v>8.0134999999999984E-2</v>
      </c>
      <c r="D62">
        <v>0.48856499999999997</v>
      </c>
      <c r="F62">
        <v>2.4500000000000002</v>
      </c>
      <c r="G62">
        <v>0.11931500000000002</v>
      </c>
      <c r="H62">
        <v>5.0715000000000003E-2</v>
      </c>
      <c r="I62">
        <v>1.6366000000000001</v>
      </c>
      <c r="J62">
        <v>15.8</v>
      </c>
      <c r="K62">
        <v>5.0560000000000001E-2</v>
      </c>
      <c r="L62">
        <v>0.32390000000000002</v>
      </c>
      <c r="M62">
        <v>4.9296000000000006</v>
      </c>
      <c r="N62">
        <v>4.2</v>
      </c>
      <c r="O62">
        <v>0.15036000000000002</v>
      </c>
      <c r="P62">
        <v>0.14154000000000003</v>
      </c>
      <c r="Q62">
        <v>2.6795999999999998</v>
      </c>
    </row>
    <row r="63" spans="1:17" x14ac:dyDescent="0.3">
      <c r="A63" s="27">
        <v>282</v>
      </c>
      <c r="B63">
        <v>32.799999999999997</v>
      </c>
      <c r="F63">
        <v>6.0600000000000005</v>
      </c>
      <c r="J63">
        <v>25.1</v>
      </c>
      <c r="N63">
        <v>3.91</v>
      </c>
      <c r="O63">
        <v>0.21074899999999999</v>
      </c>
      <c r="P63">
        <v>0.15522700000000003</v>
      </c>
      <c r="Q63">
        <v>1.5249000000000001</v>
      </c>
    </row>
    <row r="64" spans="1:17" x14ac:dyDescent="0.3">
      <c r="A64" s="27">
        <v>231</v>
      </c>
      <c r="B64">
        <v>6.96</v>
      </c>
      <c r="C64">
        <v>3.8280000000000002E-2</v>
      </c>
      <c r="D64">
        <v>0.27213599999999999</v>
      </c>
      <c r="E64">
        <v>5.8324799999999994</v>
      </c>
      <c r="F64">
        <v>2.4899999999999998</v>
      </c>
      <c r="G64">
        <v>8.3663999999999988E-2</v>
      </c>
      <c r="H64">
        <v>3.5357999999999994E-2</v>
      </c>
      <c r="I64">
        <v>1.8027600000000001</v>
      </c>
      <c r="J64">
        <v>28.4</v>
      </c>
      <c r="K64">
        <v>0.45724000000000004</v>
      </c>
      <c r="L64">
        <v>0.32659999999999995</v>
      </c>
      <c r="N64">
        <v>2.08</v>
      </c>
      <c r="O64">
        <v>0.120848</v>
      </c>
      <c r="P64">
        <v>6.0528000000000005E-2</v>
      </c>
      <c r="Q64">
        <v>1.32704</v>
      </c>
    </row>
    <row r="65" spans="1:17" x14ac:dyDescent="0.3">
      <c r="A65" s="27">
        <v>274</v>
      </c>
      <c r="B65">
        <v>15.54</v>
      </c>
      <c r="C65">
        <v>1.48407</v>
      </c>
      <c r="D65">
        <v>2.0202</v>
      </c>
      <c r="E65">
        <v>9.0131999999999994</v>
      </c>
      <c r="F65">
        <v>24.799999999999997</v>
      </c>
      <c r="G65">
        <v>0.91511999999999982</v>
      </c>
      <c r="H65">
        <v>1.34416</v>
      </c>
      <c r="I65">
        <v>12.399999999999999</v>
      </c>
      <c r="J65">
        <v>26.1</v>
      </c>
      <c r="K65">
        <v>1.00224</v>
      </c>
      <c r="L65">
        <v>1.3023899999999999</v>
      </c>
      <c r="M65">
        <v>9.6831000000000014</v>
      </c>
      <c r="N65">
        <v>25.22</v>
      </c>
      <c r="O65">
        <v>1.1248119999999999</v>
      </c>
      <c r="P65">
        <v>1.7956639999999999</v>
      </c>
      <c r="Q65">
        <v>10.869819999999999</v>
      </c>
    </row>
    <row r="66" spans="1:17" x14ac:dyDescent="0.3">
      <c r="A66" s="27">
        <v>269</v>
      </c>
      <c r="B66">
        <v>33.94</v>
      </c>
      <c r="C66">
        <v>5.0231200000000005</v>
      </c>
      <c r="D66">
        <v>2.7253819999999997</v>
      </c>
      <c r="E66">
        <v>18.73488</v>
      </c>
      <c r="F66">
        <v>38.07</v>
      </c>
      <c r="G66">
        <v>1.5494490000000001</v>
      </c>
      <c r="H66">
        <v>1.3857480000000002</v>
      </c>
      <c r="I66">
        <v>26.72514</v>
      </c>
      <c r="J66">
        <v>18.600000000000001</v>
      </c>
      <c r="K66">
        <v>0.63240000000000007</v>
      </c>
      <c r="L66">
        <v>1.9530000000000001</v>
      </c>
      <c r="M66">
        <v>4.8360000000000003</v>
      </c>
      <c r="N66">
        <v>21</v>
      </c>
      <c r="O66">
        <v>0.76859999999999995</v>
      </c>
      <c r="P66">
        <v>2.4990000000000001</v>
      </c>
      <c r="Q66">
        <v>9.5760000000000005</v>
      </c>
    </row>
    <row r="67" spans="1:17" x14ac:dyDescent="0.3">
      <c r="A67" s="27">
        <v>303</v>
      </c>
      <c r="B67">
        <v>9.65</v>
      </c>
      <c r="C67">
        <v>0.34740000000000004</v>
      </c>
      <c r="D67">
        <v>1.2930999999999999</v>
      </c>
      <c r="E67">
        <v>5.0566000000000004</v>
      </c>
      <c r="F67">
        <v>10.42</v>
      </c>
      <c r="G67">
        <v>1.1253599999999999</v>
      </c>
      <c r="H67">
        <v>0.64083000000000001</v>
      </c>
      <c r="I67">
        <v>2.8863400000000001</v>
      </c>
      <c r="J67">
        <v>20.5</v>
      </c>
      <c r="K67">
        <v>0.52890000000000004</v>
      </c>
      <c r="L67">
        <v>0.36285000000000006</v>
      </c>
      <c r="M67">
        <v>4.5715000000000003</v>
      </c>
      <c r="N67">
        <v>8.93</v>
      </c>
      <c r="O67">
        <v>0.8867489999999999</v>
      </c>
      <c r="P67">
        <v>0.46793200000000001</v>
      </c>
      <c r="Q67">
        <v>3.1165699999999998</v>
      </c>
    </row>
    <row r="68" spans="1:17" x14ac:dyDescent="0.3">
      <c r="A68" s="27">
        <v>280</v>
      </c>
    </row>
    <row r="69" spans="1:17" x14ac:dyDescent="0.3">
      <c r="A69" s="27">
        <v>277</v>
      </c>
      <c r="B69">
        <v>19.940000000000001</v>
      </c>
      <c r="C69">
        <v>5.5832000000000007E-2</v>
      </c>
      <c r="D69">
        <v>0.31106400000000006</v>
      </c>
      <c r="F69">
        <v>4.25</v>
      </c>
      <c r="J69">
        <v>13.1</v>
      </c>
      <c r="K69">
        <v>0.37597000000000003</v>
      </c>
      <c r="L69">
        <v>0.16899</v>
      </c>
      <c r="N69">
        <v>4.4799999999999995</v>
      </c>
      <c r="O69">
        <v>6.809599999999999E-2</v>
      </c>
      <c r="P69">
        <v>4.7039999999999998E-2</v>
      </c>
      <c r="Q69">
        <v>2.4998399999999994</v>
      </c>
    </row>
    <row r="70" spans="1:17" x14ac:dyDescent="0.3">
      <c r="A70" s="27">
        <v>248</v>
      </c>
      <c r="B70">
        <v>26.5</v>
      </c>
      <c r="C70">
        <v>1.9662999999999999</v>
      </c>
      <c r="D70">
        <v>2.1597500000000003</v>
      </c>
      <c r="E70">
        <v>10.970999999999998</v>
      </c>
      <c r="F70">
        <v>23.1</v>
      </c>
      <c r="G70">
        <v>1.6377899999999999</v>
      </c>
      <c r="H70">
        <v>1.1919600000000001</v>
      </c>
      <c r="I70">
        <v>11.0649</v>
      </c>
      <c r="J70">
        <v>26.7</v>
      </c>
      <c r="K70">
        <v>0.69420000000000004</v>
      </c>
      <c r="L70">
        <v>1.82361</v>
      </c>
      <c r="M70">
        <v>7.8497999999999992</v>
      </c>
      <c r="N70">
        <v>14.740000000000002</v>
      </c>
      <c r="O70">
        <v>0.41714200000000007</v>
      </c>
      <c r="P70">
        <v>1.7393200000000004</v>
      </c>
      <c r="Q70">
        <v>7.1046800000000019</v>
      </c>
    </row>
    <row r="71" spans="1:17" x14ac:dyDescent="0.3">
      <c r="A71" s="27">
        <v>300</v>
      </c>
      <c r="B71">
        <v>30.480000000000004</v>
      </c>
      <c r="C71">
        <v>3.4137600000000003</v>
      </c>
      <c r="D71">
        <v>2.7462480000000005</v>
      </c>
      <c r="E71">
        <v>15.880080000000003</v>
      </c>
      <c r="F71">
        <v>25.75</v>
      </c>
      <c r="G71">
        <v>0.71584999999999999</v>
      </c>
      <c r="H71">
        <v>1.5681749999999999</v>
      </c>
      <c r="I71">
        <v>15.115250000000001</v>
      </c>
      <c r="J71">
        <v>24.8</v>
      </c>
      <c r="K71">
        <v>0.51088</v>
      </c>
      <c r="L71">
        <v>4.8856000000000002</v>
      </c>
      <c r="M71">
        <v>6.3984000000000005</v>
      </c>
      <c r="N71">
        <v>15.64</v>
      </c>
      <c r="O71">
        <v>0.309672</v>
      </c>
      <c r="P71">
        <v>0.42540800000000006</v>
      </c>
      <c r="Q71">
        <v>8.6801999999999992</v>
      </c>
    </row>
    <row r="72" spans="1:17" x14ac:dyDescent="0.3">
      <c r="A72" s="27">
        <v>287</v>
      </c>
      <c r="B72">
        <v>9.58</v>
      </c>
      <c r="C72">
        <v>1.8872599999999999</v>
      </c>
      <c r="D72">
        <v>0.82962800000000003</v>
      </c>
      <c r="E72">
        <v>4.8666400000000003</v>
      </c>
      <c r="F72">
        <v>1.88</v>
      </c>
      <c r="G72">
        <v>0.15528799999999998</v>
      </c>
      <c r="H72">
        <v>8.2907999999999996E-2</v>
      </c>
      <c r="I72">
        <v>0.58091999999999988</v>
      </c>
      <c r="J72">
        <v>3.91</v>
      </c>
      <c r="K72">
        <v>0.20214699999999999</v>
      </c>
      <c r="L72">
        <v>0.243202</v>
      </c>
      <c r="M72">
        <v>0.60214000000000001</v>
      </c>
      <c r="N72">
        <v>3.45</v>
      </c>
      <c r="O72">
        <v>0.51060000000000005</v>
      </c>
      <c r="P72">
        <v>0.33603</v>
      </c>
      <c r="Q72">
        <v>0.65895000000000015</v>
      </c>
    </row>
    <row r="73" spans="1:17" x14ac:dyDescent="0.3">
      <c r="A73" s="27">
        <v>304</v>
      </c>
      <c r="B73">
        <v>11.29</v>
      </c>
      <c r="C73">
        <v>4.222459999999999</v>
      </c>
      <c r="D73">
        <v>2.0321999999999996</v>
      </c>
      <c r="E73">
        <v>1.9080099999999995</v>
      </c>
      <c r="F73">
        <v>6.59</v>
      </c>
      <c r="G73">
        <v>0.94896000000000003</v>
      </c>
      <c r="H73">
        <v>1.6870400000000001</v>
      </c>
      <c r="I73">
        <v>0.581897</v>
      </c>
      <c r="J73">
        <v>16.920000000000002</v>
      </c>
      <c r="K73">
        <v>1.5160320000000005</v>
      </c>
      <c r="L73">
        <v>9.5767200000000017</v>
      </c>
      <c r="M73">
        <v>0.37224000000000002</v>
      </c>
      <c r="N73">
        <v>9.84</v>
      </c>
      <c r="O73">
        <v>1.48584</v>
      </c>
      <c r="P73">
        <v>3.7588800000000004</v>
      </c>
      <c r="Q73">
        <v>0.67699200000000004</v>
      </c>
    </row>
    <row r="74" spans="1:17" x14ac:dyDescent="0.3">
      <c r="A74" s="27">
        <v>308</v>
      </c>
      <c r="F74">
        <v>12.370000000000001</v>
      </c>
      <c r="G74">
        <v>1.4843999999999999</v>
      </c>
      <c r="H74">
        <v>4.7253400000000001</v>
      </c>
      <c r="I74">
        <v>0.24740000000000001</v>
      </c>
      <c r="J74">
        <v>8.879999999999999</v>
      </c>
      <c r="K74">
        <v>1.2787199999999999</v>
      </c>
      <c r="L74">
        <v>4.6175999999999995</v>
      </c>
      <c r="M74">
        <v>0.236208</v>
      </c>
      <c r="N74">
        <v>11.9</v>
      </c>
      <c r="O74">
        <v>1.2971000000000001</v>
      </c>
      <c r="P74">
        <v>5.0575000000000001</v>
      </c>
      <c r="Q74">
        <v>0.50099000000000005</v>
      </c>
    </row>
    <row r="75" spans="1:17" x14ac:dyDescent="0.3">
      <c r="A75" s="27">
        <v>316</v>
      </c>
      <c r="B75">
        <v>10.600000000000001</v>
      </c>
      <c r="C75">
        <v>2.9786000000000006</v>
      </c>
      <c r="E75">
        <v>0.86072000000000004</v>
      </c>
      <c r="F75">
        <v>13.54</v>
      </c>
      <c r="G75">
        <v>4.0484599999999995</v>
      </c>
      <c r="H75">
        <v>4.2786399999999993</v>
      </c>
      <c r="I75">
        <v>1.192874</v>
      </c>
      <c r="J75">
        <v>14.07</v>
      </c>
      <c r="K75">
        <v>1.270521</v>
      </c>
      <c r="L75">
        <v>6.8520900000000005</v>
      </c>
      <c r="M75">
        <v>0.31516800000000006</v>
      </c>
      <c r="N75">
        <v>9.49</v>
      </c>
      <c r="O75">
        <v>2.2301500000000001</v>
      </c>
      <c r="P75">
        <v>3.3879299999999999</v>
      </c>
      <c r="Q75">
        <v>0.54377700000000007</v>
      </c>
    </row>
    <row r="76" spans="1:17" x14ac:dyDescent="0.3">
      <c r="A76" s="27">
        <v>317</v>
      </c>
      <c r="B76">
        <v>12.3</v>
      </c>
      <c r="C76">
        <v>3.1611000000000002</v>
      </c>
      <c r="E76">
        <v>0.79704000000000008</v>
      </c>
      <c r="J76">
        <v>8.39</v>
      </c>
      <c r="K76">
        <v>0.93968000000000007</v>
      </c>
      <c r="L76">
        <v>3.5573600000000001</v>
      </c>
      <c r="M76">
        <v>0.316303</v>
      </c>
      <c r="N76">
        <v>10.399999999999999</v>
      </c>
      <c r="O76">
        <v>2.0487999999999995</v>
      </c>
      <c r="P76">
        <v>3.5775999999999994</v>
      </c>
      <c r="Q76">
        <v>0.79871999999999987</v>
      </c>
    </row>
    <row r="77" spans="1:17" x14ac:dyDescent="0.3">
      <c r="A77" s="27">
        <v>677</v>
      </c>
      <c r="B77">
        <v>9.41</v>
      </c>
      <c r="D77">
        <v>0.84784099999999996</v>
      </c>
      <c r="E77">
        <v>2.1831199999999997</v>
      </c>
      <c r="F77">
        <v>6.6400000000000006</v>
      </c>
      <c r="G77">
        <v>0.72376000000000007</v>
      </c>
      <c r="H77">
        <v>1.5803200000000002</v>
      </c>
      <c r="I77">
        <v>0.54182400000000008</v>
      </c>
      <c r="J77">
        <v>11.38</v>
      </c>
      <c r="K77">
        <v>1.3428400000000003</v>
      </c>
      <c r="L77">
        <v>5.2689399999999997</v>
      </c>
      <c r="M77">
        <v>0.30498400000000003</v>
      </c>
      <c r="N77">
        <v>13</v>
      </c>
      <c r="P77">
        <v>5.4210000000000003</v>
      </c>
      <c r="Q77">
        <v>0.82810000000000006</v>
      </c>
    </row>
    <row r="78" spans="1:17" x14ac:dyDescent="0.3">
      <c r="A78" s="27">
        <v>713</v>
      </c>
      <c r="B78">
        <v>10.210000000000001</v>
      </c>
      <c r="C78">
        <v>3.0527899999999999</v>
      </c>
      <c r="E78">
        <v>0.74328800000000017</v>
      </c>
      <c r="F78">
        <v>15.620000000000001</v>
      </c>
      <c r="G78">
        <v>4.3111199999999998</v>
      </c>
      <c r="H78">
        <v>6.1699000000000002</v>
      </c>
      <c r="I78">
        <v>1.024672</v>
      </c>
      <c r="J78">
        <v>15.99</v>
      </c>
      <c r="K78">
        <v>2.5584000000000002</v>
      </c>
      <c r="L78">
        <v>8.0429699999999986</v>
      </c>
      <c r="M78">
        <v>0.68757000000000001</v>
      </c>
      <c r="N78">
        <v>2.58</v>
      </c>
      <c r="P78">
        <v>0.37668000000000001</v>
      </c>
      <c r="Q78">
        <v>0.38184000000000007</v>
      </c>
    </row>
    <row r="79" spans="1:17" x14ac:dyDescent="0.3">
      <c r="A79" s="27">
        <v>617</v>
      </c>
      <c r="B79">
        <v>6.2200000000000006</v>
      </c>
      <c r="C79">
        <v>0.44473000000000007</v>
      </c>
      <c r="E79">
        <v>0.47272000000000003</v>
      </c>
      <c r="F79">
        <v>7.4</v>
      </c>
      <c r="G79">
        <v>0.79920000000000013</v>
      </c>
      <c r="H79">
        <v>1.7908000000000002</v>
      </c>
      <c r="I79">
        <v>0.37962000000000001</v>
      </c>
      <c r="J79">
        <v>3.92</v>
      </c>
      <c r="K79">
        <v>0.16189599999999998</v>
      </c>
      <c r="L79">
        <v>1.0387999999999999</v>
      </c>
      <c r="M79">
        <v>0.15523199999999998</v>
      </c>
      <c r="N79">
        <v>7.9399999999999995</v>
      </c>
      <c r="O79">
        <v>0.71380600000000005</v>
      </c>
      <c r="P79">
        <v>2.1358599999999996</v>
      </c>
      <c r="Q79">
        <v>0.74080199999999996</v>
      </c>
    </row>
    <row r="80" spans="1:17" x14ac:dyDescent="0.3">
      <c r="A80" s="27">
        <v>674</v>
      </c>
      <c r="B80">
        <v>4.67</v>
      </c>
      <c r="C80">
        <v>1.5084099999999998</v>
      </c>
      <c r="D80">
        <v>0.56040000000000001</v>
      </c>
      <c r="E80">
        <v>0.8732899999999999</v>
      </c>
      <c r="F80">
        <v>9.91</v>
      </c>
      <c r="G80">
        <v>2.73516</v>
      </c>
      <c r="H80">
        <v>2.2594799999999999</v>
      </c>
      <c r="I80">
        <v>1.1594699999999998</v>
      </c>
      <c r="J80">
        <v>9.83</v>
      </c>
      <c r="K80">
        <v>1.5531400000000002</v>
      </c>
      <c r="L80">
        <v>3.4896499999999997</v>
      </c>
      <c r="M80">
        <v>0.57308899999999996</v>
      </c>
      <c r="N80">
        <v>9.23</v>
      </c>
      <c r="O80">
        <v>1.9844500000000003</v>
      </c>
      <c r="P80">
        <v>2.4736400000000001</v>
      </c>
      <c r="Q80">
        <v>0.57410600000000001</v>
      </c>
    </row>
    <row r="81" spans="1:17" x14ac:dyDescent="0.3">
      <c r="A81" s="27">
        <v>289</v>
      </c>
      <c r="B81">
        <v>19.850000000000001</v>
      </c>
      <c r="C81">
        <v>6.7291499999999997</v>
      </c>
      <c r="D81">
        <v>0.86546000000000012</v>
      </c>
      <c r="E81">
        <v>9.7860499999999995</v>
      </c>
    </row>
    <row r="82" spans="1:17" x14ac:dyDescent="0.3">
      <c r="A82" s="27">
        <v>614</v>
      </c>
    </row>
    <row r="83" spans="1:17" x14ac:dyDescent="0.3">
      <c r="A83" s="27">
        <v>722</v>
      </c>
      <c r="F83">
        <v>5.15</v>
      </c>
      <c r="G83">
        <v>0.54075000000000006</v>
      </c>
      <c r="H83">
        <v>1.0454500000000002</v>
      </c>
      <c r="I83">
        <v>1.1484500000000002</v>
      </c>
      <c r="J83">
        <v>5.9399999999999995</v>
      </c>
      <c r="K83">
        <v>1.1167199999999999</v>
      </c>
      <c r="L83">
        <v>2.32254</v>
      </c>
      <c r="M83">
        <v>0.38728799999999991</v>
      </c>
      <c r="N83">
        <v>4.12</v>
      </c>
      <c r="O83">
        <v>0.44908000000000003</v>
      </c>
      <c r="P83">
        <v>0.82400000000000007</v>
      </c>
      <c r="Q83">
        <v>0.92700000000000005</v>
      </c>
    </row>
    <row r="84" spans="1:17" x14ac:dyDescent="0.3">
      <c r="A84" s="27">
        <v>315</v>
      </c>
      <c r="F84">
        <v>1.1100000000000001</v>
      </c>
      <c r="G84">
        <v>0.48396000000000006</v>
      </c>
      <c r="H84">
        <v>0.22533</v>
      </c>
      <c r="I84">
        <v>0.26751000000000003</v>
      </c>
      <c r="J84">
        <v>1.51</v>
      </c>
      <c r="L84">
        <v>0.73385999999999996</v>
      </c>
      <c r="M84">
        <v>8.0784999999999996E-2</v>
      </c>
      <c r="N84">
        <v>1.47</v>
      </c>
      <c r="O84">
        <v>0.65855999999999992</v>
      </c>
      <c r="P84">
        <v>0.47480999999999995</v>
      </c>
      <c r="Q84">
        <v>6.2181000000000007E-2</v>
      </c>
    </row>
    <row r="85" spans="1:17" x14ac:dyDescent="0.3">
      <c r="A85" s="27">
        <v>604</v>
      </c>
      <c r="F85">
        <v>1.43</v>
      </c>
      <c r="G85">
        <v>0.40183000000000002</v>
      </c>
      <c r="H85">
        <v>0.61776000000000009</v>
      </c>
      <c r="I85">
        <v>7.1785999999999989E-2</v>
      </c>
      <c r="J85">
        <v>0.88</v>
      </c>
      <c r="K85">
        <v>0.1188</v>
      </c>
      <c r="L85">
        <v>0.374</v>
      </c>
      <c r="M85">
        <v>6.1600000000000002E-2</v>
      </c>
      <c r="N85">
        <v>0.88</v>
      </c>
      <c r="O85">
        <v>0.11264000000000002</v>
      </c>
      <c r="P85">
        <v>0.28423999999999994</v>
      </c>
      <c r="Q85">
        <v>6.7496E-2</v>
      </c>
    </row>
    <row r="86" spans="1:17" x14ac:dyDescent="0.3">
      <c r="A86" s="27">
        <v>612</v>
      </c>
      <c r="F86">
        <v>1.23</v>
      </c>
      <c r="G86">
        <v>0.48216000000000003</v>
      </c>
      <c r="H86">
        <v>0.44402999999999998</v>
      </c>
      <c r="I86">
        <v>0.10959300000000001</v>
      </c>
      <c r="J86">
        <v>0.83</v>
      </c>
      <c r="K86">
        <v>0.13445999999999997</v>
      </c>
      <c r="L86">
        <v>0.32203999999999994</v>
      </c>
      <c r="M86">
        <v>5.9261999999999995E-2</v>
      </c>
      <c r="N86">
        <v>1.47</v>
      </c>
      <c r="O86">
        <v>0.42630000000000001</v>
      </c>
      <c r="P86">
        <v>0.51744000000000001</v>
      </c>
      <c r="Q86">
        <v>0.142149</v>
      </c>
    </row>
    <row r="87" spans="1:17" x14ac:dyDescent="0.3">
      <c r="A87" s="27">
        <v>669</v>
      </c>
      <c r="F87">
        <v>1.23</v>
      </c>
      <c r="G87">
        <v>0.32594999999999996</v>
      </c>
      <c r="H87">
        <v>0.35792999999999997</v>
      </c>
      <c r="I87">
        <v>9.8768999999999996E-2</v>
      </c>
      <c r="J87">
        <v>1.39</v>
      </c>
      <c r="K87">
        <v>0.21267</v>
      </c>
      <c r="L87">
        <v>0.69360999999999995</v>
      </c>
      <c r="M87">
        <v>8.3122000000000001E-2</v>
      </c>
      <c r="N87">
        <v>1.23</v>
      </c>
      <c r="O87">
        <v>0.18695999999999999</v>
      </c>
      <c r="P87">
        <v>0.54735</v>
      </c>
      <c r="Q87">
        <v>5.2275000000000002E-2</v>
      </c>
    </row>
    <row r="88" spans="1:17" x14ac:dyDescent="0.3">
      <c r="A88" s="27">
        <v>676</v>
      </c>
      <c r="F88">
        <v>0.47</v>
      </c>
      <c r="G88">
        <v>0.11937999999999999</v>
      </c>
      <c r="H88">
        <v>5.5460000000000002E-2</v>
      </c>
      <c r="I88">
        <v>0.14757999999999999</v>
      </c>
      <c r="J88">
        <v>0.78</v>
      </c>
      <c r="K88">
        <v>0.11154000000000001</v>
      </c>
      <c r="L88">
        <v>0.20826</v>
      </c>
      <c r="M88">
        <v>0.18408000000000002</v>
      </c>
      <c r="N88">
        <v>0.61</v>
      </c>
      <c r="O88">
        <v>0.26229999999999998</v>
      </c>
      <c r="P88">
        <v>0.15006</v>
      </c>
      <c r="Q88">
        <v>0.10064999999999999</v>
      </c>
    </row>
    <row r="89" spans="1:17" x14ac:dyDescent="0.3">
      <c r="A89" s="7">
        <v>401</v>
      </c>
      <c r="B89">
        <v>2.3699999999999997</v>
      </c>
      <c r="C89">
        <v>0</v>
      </c>
      <c r="D89">
        <v>0</v>
      </c>
      <c r="E89">
        <v>0</v>
      </c>
      <c r="F89">
        <v>2.7</v>
      </c>
      <c r="G89">
        <v>0.9639000000000002</v>
      </c>
      <c r="H89">
        <v>0.83430000000000004</v>
      </c>
      <c r="I89">
        <v>0.29970000000000002</v>
      </c>
      <c r="J89">
        <v>7.8015502793296099</v>
      </c>
      <c r="K89">
        <v>1.4666914525139669</v>
      </c>
      <c r="L89">
        <v>3.0504061592178777</v>
      </c>
      <c r="M89">
        <v>0.50866107821229045</v>
      </c>
      <c r="N89">
        <v>3.23</v>
      </c>
      <c r="O89">
        <v>1.2338600000000002</v>
      </c>
      <c r="P89">
        <v>0.8301099999999999</v>
      </c>
      <c r="Q89">
        <v>0.42959000000000003</v>
      </c>
    </row>
    <row r="90" spans="1:17" x14ac:dyDescent="0.3">
      <c r="A90" s="7">
        <v>410</v>
      </c>
      <c r="B90">
        <v>5.0200000000000005</v>
      </c>
      <c r="C90">
        <v>0</v>
      </c>
      <c r="D90">
        <v>0</v>
      </c>
      <c r="E90">
        <v>0</v>
      </c>
      <c r="F90">
        <v>3.35</v>
      </c>
      <c r="G90">
        <v>0</v>
      </c>
      <c r="H90">
        <v>0</v>
      </c>
      <c r="I90">
        <v>0</v>
      </c>
      <c r="J90">
        <v>7.9501396648044702</v>
      </c>
      <c r="K90">
        <v>0</v>
      </c>
      <c r="L90">
        <v>0</v>
      </c>
      <c r="M90">
        <v>0</v>
      </c>
      <c r="N90">
        <v>1.4</v>
      </c>
      <c r="O90">
        <v>0</v>
      </c>
      <c r="P90">
        <v>0</v>
      </c>
      <c r="Q90">
        <v>0</v>
      </c>
    </row>
    <row r="91" spans="1:17" x14ac:dyDescent="0.3">
      <c r="A91" s="7">
        <v>411</v>
      </c>
      <c r="B91">
        <v>2.88</v>
      </c>
      <c r="C91">
        <v>0</v>
      </c>
      <c r="D91">
        <v>0</v>
      </c>
      <c r="E91">
        <v>0</v>
      </c>
      <c r="F91">
        <v>1.9400000000000002</v>
      </c>
      <c r="G91">
        <v>0</v>
      </c>
      <c r="H91">
        <v>0</v>
      </c>
      <c r="I91">
        <v>0</v>
      </c>
      <c r="J91">
        <v>8.0987290502793297</v>
      </c>
      <c r="K91">
        <v>0</v>
      </c>
      <c r="L91">
        <v>0</v>
      </c>
      <c r="M91">
        <v>0</v>
      </c>
      <c r="N91">
        <v>3.3400000000000003</v>
      </c>
      <c r="O91">
        <v>0</v>
      </c>
      <c r="P91">
        <v>0</v>
      </c>
      <c r="Q91">
        <v>0</v>
      </c>
    </row>
    <row r="92" spans="1:17" x14ac:dyDescent="0.3">
      <c r="A92" s="7">
        <v>434</v>
      </c>
      <c r="B92">
        <v>5.17</v>
      </c>
      <c r="C92">
        <v>0</v>
      </c>
      <c r="D92">
        <v>0</v>
      </c>
      <c r="E92">
        <v>0</v>
      </c>
      <c r="F92">
        <v>2.46</v>
      </c>
      <c r="G92">
        <v>0</v>
      </c>
      <c r="H92">
        <v>0</v>
      </c>
      <c r="J92">
        <v>8.2473184357542006</v>
      </c>
      <c r="K92">
        <v>0</v>
      </c>
      <c r="L92">
        <v>0</v>
      </c>
      <c r="M92">
        <v>0</v>
      </c>
      <c r="N92">
        <v>5.5</v>
      </c>
      <c r="O92">
        <v>0</v>
      </c>
      <c r="P92">
        <v>0</v>
      </c>
      <c r="Q92">
        <v>0</v>
      </c>
    </row>
    <row r="93" spans="1:17" x14ac:dyDescent="0.3">
      <c r="A93" s="7">
        <v>439</v>
      </c>
      <c r="B93">
        <v>0.76</v>
      </c>
      <c r="C93">
        <v>6.764E-3</v>
      </c>
      <c r="D93">
        <v>1.2920000000000002E-3</v>
      </c>
      <c r="F93">
        <v>1.31</v>
      </c>
      <c r="G93">
        <v>6.0260000000000001E-3</v>
      </c>
      <c r="H93">
        <v>1.5720000000000003E-4</v>
      </c>
      <c r="I93">
        <v>0.52400000000000002</v>
      </c>
      <c r="J93">
        <v>8.3959078212290592</v>
      </c>
      <c r="K93">
        <v>2.1829360335195554E-2</v>
      </c>
      <c r="L93">
        <v>4.785667458100564E-3</v>
      </c>
      <c r="M93">
        <v>3.5430731005586633</v>
      </c>
      <c r="N93">
        <v>2.89</v>
      </c>
      <c r="O93">
        <v>1.3004999999999999E-2</v>
      </c>
      <c r="P93">
        <v>1.1560000000000001E-3</v>
      </c>
      <c r="Q93">
        <v>1.3380699999999999</v>
      </c>
    </row>
    <row r="94" spans="1:17" x14ac:dyDescent="0.3">
      <c r="A94" s="7">
        <v>445</v>
      </c>
      <c r="B94">
        <v>4.99</v>
      </c>
      <c r="C94">
        <v>9.980000000000001E-3</v>
      </c>
      <c r="D94">
        <v>0</v>
      </c>
      <c r="E94">
        <v>7.54</v>
      </c>
      <c r="F94">
        <v>3.88</v>
      </c>
      <c r="G94">
        <v>1.1252E-2</v>
      </c>
      <c r="H94">
        <v>0</v>
      </c>
      <c r="I94">
        <v>2.0331199999999998</v>
      </c>
      <c r="J94">
        <v>8.5444972067039195</v>
      </c>
      <c r="K94">
        <v>7.0064877094972139E-2</v>
      </c>
      <c r="L94">
        <v>1.3671195530726273E-2</v>
      </c>
      <c r="M94">
        <v>3.2383644413407855</v>
      </c>
      <c r="N94">
        <v>5.0999999999999996</v>
      </c>
      <c r="O94">
        <v>3.3660000000000002E-2</v>
      </c>
      <c r="P94">
        <v>3.1619999999999999E-3</v>
      </c>
      <c r="Q94">
        <v>2.4428999999999998</v>
      </c>
    </row>
    <row r="95" spans="1:17" x14ac:dyDescent="0.3">
      <c r="A95" s="33">
        <v>542</v>
      </c>
      <c r="B95">
        <v>20.89</v>
      </c>
      <c r="C95">
        <v>7.9382000000000008E-2</v>
      </c>
      <c r="D95">
        <v>1.60853E-2</v>
      </c>
      <c r="E95">
        <v>8.1679900000000014</v>
      </c>
      <c r="F95">
        <v>19.989999999999998</v>
      </c>
      <c r="G95">
        <v>5.9969999999999989E-2</v>
      </c>
      <c r="H95">
        <v>0</v>
      </c>
      <c r="I95">
        <v>8.595699999999999</v>
      </c>
      <c r="J95">
        <v>28.8</v>
      </c>
      <c r="K95">
        <v>0.10368000000000001</v>
      </c>
      <c r="L95">
        <v>1.6416E-2</v>
      </c>
      <c r="M95">
        <v>13.046399999999998</v>
      </c>
      <c r="N95">
        <v>16.78</v>
      </c>
      <c r="O95">
        <v>0.11913800000000001</v>
      </c>
      <c r="P95">
        <v>7.8866000000000006E-3</v>
      </c>
      <c r="Q95">
        <v>8.1047399999999996</v>
      </c>
    </row>
    <row r="96" spans="1:17" x14ac:dyDescent="0.3">
      <c r="A96" s="33">
        <v>504</v>
      </c>
      <c r="B96">
        <v>11.75</v>
      </c>
      <c r="C96">
        <v>9.9874999999999992E-2</v>
      </c>
      <c r="D96">
        <v>2.8199999999999999E-2</v>
      </c>
      <c r="E96">
        <v>5.8044999999999991</v>
      </c>
      <c r="F96">
        <v>0.64</v>
      </c>
      <c r="G96">
        <v>5.0560000000000006E-3</v>
      </c>
      <c r="H96">
        <v>5.8239999999999995E-4</v>
      </c>
      <c r="I96">
        <v>0.31424000000000002</v>
      </c>
      <c r="J96">
        <v>19.399999999999999</v>
      </c>
      <c r="K96">
        <v>9.1179999999999983E-2</v>
      </c>
      <c r="L96">
        <v>8.7299999999999982E-3</v>
      </c>
      <c r="N96">
        <v>11.120000000000001</v>
      </c>
      <c r="O96">
        <v>7.3392000000000013E-2</v>
      </c>
      <c r="P96">
        <v>7.784000000000001E-3</v>
      </c>
      <c r="Q96">
        <v>3.8586400000000007</v>
      </c>
    </row>
    <row r="97" spans="1:17" x14ac:dyDescent="0.3">
      <c r="A97" s="33">
        <v>559</v>
      </c>
      <c r="B97">
        <v>10.440000000000001</v>
      </c>
      <c r="C97">
        <v>0.12736800000000001</v>
      </c>
      <c r="D97">
        <v>3.6540000000000003E-2</v>
      </c>
      <c r="E97">
        <v>3.3199200000000006</v>
      </c>
      <c r="F97">
        <v>10.130000000000001</v>
      </c>
      <c r="G97">
        <v>0.11345600000000003</v>
      </c>
      <c r="H97">
        <v>9.9274000000000012E-3</v>
      </c>
      <c r="I97">
        <v>4.3153800000000011</v>
      </c>
      <c r="J97">
        <v>19.7</v>
      </c>
      <c r="K97">
        <v>0.10047</v>
      </c>
      <c r="L97">
        <v>1.7335999999999997E-2</v>
      </c>
      <c r="M97">
        <v>7.2298999999999998</v>
      </c>
      <c r="N97">
        <v>13.49</v>
      </c>
      <c r="O97">
        <v>7.0148000000000002E-2</v>
      </c>
      <c r="P97">
        <v>1.3490000000000002E-2</v>
      </c>
      <c r="Q97">
        <v>5.88164</v>
      </c>
    </row>
    <row r="98" spans="1:17" x14ac:dyDescent="0.3">
      <c r="A98" s="33">
        <v>515</v>
      </c>
      <c r="B98">
        <v>10.23</v>
      </c>
      <c r="C98">
        <v>0.14935799999999999</v>
      </c>
      <c r="D98">
        <v>2.6598E-2</v>
      </c>
      <c r="E98">
        <v>4.1022300000000005</v>
      </c>
      <c r="F98">
        <v>12.06</v>
      </c>
      <c r="G98">
        <v>5.1858000000000001E-2</v>
      </c>
      <c r="H98">
        <v>2.4120000000000001E-3</v>
      </c>
      <c r="I98">
        <v>4.3416000000000006</v>
      </c>
      <c r="J98">
        <v>22.8</v>
      </c>
      <c r="K98">
        <v>0.14136000000000001</v>
      </c>
      <c r="L98">
        <v>1.6643999999999999E-2</v>
      </c>
      <c r="M98">
        <v>7.4556000000000004</v>
      </c>
      <c r="N98">
        <v>12.09</v>
      </c>
      <c r="O98">
        <v>7.8585000000000002E-2</v>
      </c>
      <c r="P98">
        <v>3.7479000000000002E-3</v>
      </c>
      <c r="Q98">
        <v>3.8325299999999998</v>
      </c>
    </row>
    <row r="99" spans="1:17" x14ac:dyDescent="0.3">
      <c r="A99" s="33">
        <v>1868</v>
      </c>
      <c r="B99">
        <v>2.13</v>
      </c>
      <c r="C99">
        <v>8.5413000000000003E-2</v>
      </c>
      <c r="D99">
        <v>8.9459999999999991E-3</v>
      </c>
      <c r="E99">
        <v>0.66669</v>
      </c>
      <c r="F99">
        <v>2.2999999999999998</v>
      </c>
      <c r="G99">
        <v>7.1300000000000001E-3</v>
      </c>
      <c r="H99">
        <v>2.0009999999999997E-3</v>
      </c>
      <c r="I99">
        <v>1.0304</v>
      </c>
      <c r="J99">
        <v>18.600000000000001</v>
      </c>
      <c r="K99">
        <v>0.74585999999999997</v>
      </c>
      <c r="L99">
        <v>8.184000000000001E-2</v>
      </c>
      <c r="M99">
        <v>6.2123999999999997</v>
      </c>
      <c r="N99">
        <v>2.46</v>
      </c>
      <c r="O99">
        <v>4.3541999999999997E-2</v>
      </c>
      <c r="P99">
        <v>4.4279999999999996E-3</v>
      </c>
      <c r="Q99">
        <v>0.91512000000000004</v>
      </c>
    </row>
    <row r="100" spans="1:17" x14ac:dyDescent="0.3">
      <c r="A100" s="33">
        <v>1835</v>
      </c>
      <c r="F100">
        <v>2.81</v>
      </c>
      <c r="G100">
        <v>1.8546E-2</v>
      </c>
      <c r="H100">
        <v>2.4727999999999998E-3</v>
      </c>
      <c r="I100">
        <v>1.4836799999999999</v>
      </c>
      <c r="N100">
        <v>1.38</v>
      </c>
      <c r="O100">
        <v>1.5731999999999996E-2</v>
      </c>
      <c r="P100">
        <v>2.0699999999999998E-3</v>
      </c>
      <c r="Q100">
        <v>0.57821999999999996</v>
      </c>
    </row>
    <row r="101" spans="1:17" x14ac:dyDescent="0.3">
      <c r="A101" s="33">
        <v>1871</v>
      </c>
      <c r="B101">
        <v>2.99</v>
      </c>
      <c r="C101">
        <v>5.9800000000000006E-2</v>
      </c>
      <c r="D101">
        <v>1.3156000000000001E-2</v>
      </c>
      <c r="E101">
        <v>1.3514800000000002</v>
      </c>
      <c r="F101">
        <v>3.75</v>
      </c>
      <c r="G101">
        <v>1.9875E-2</v>
      </c>
      <c r="H101">
        <v>0</v>
      </c>
      <c r="J101">
        <v>24</v>
      </c>
      <c r="K101">
        <v>0.98159999999999992</v>
      </c>
      <c r="L101">
        <v>0.24480000000000002</v>
      </c>
      <c r="M101">
        <v>7.5120000000000005</v>
      </c>
      <c r="N101">
        <v>0.92</v>
      </c>
      <c r="O101">
        <v>4.0663999999999999E-2</v>
      </c>
      <c r="P101">
        <v>2.392E-3</v>
      </c>
    </row>
    <row r="102" spans="1:17" x14ac:dyDescent="0.3">
      <c r="A102" s="33">
        <v>1832</v>
      </c>
      <c r="B102">
        <v>2.33</v>
      </c>
      <c r="C102">
        <v>9.8792000000000005E-2</v>
      </c>
      <c r="D102">
        <v>3.4949999999999998E-3</v>
      </c>
      <c r="E102">
        <v>0.87141999999999997</v>
      </c>
      <c r="F102">
        <v>5.96</v>
      </c>
      <c r="G102">
        <v>4.8871999999999999E-2</v>
      </c>
      <c r="H102">
        <v>1.3111999999999998E-3</v>
      </c>
      <c r="I102">
        <v>3.2243599999999999</v>
      </c>
      <c r="J102">
        <v>21.8</v>
      </c>
      <c r="K102">
        <v>0.16786000000000001</v>
      </c>
      <c r="L102">
        <v>5.886000000000001E-2</v>
      </c>
      <c r="M102">
        <v>5.4063999999999997</v>
      </c>
      <c r="N102">
        <v>3.23</v>
      </c>
      <c r="O102">
        <v>9.9483999999999989E-2</v>
      </c>
      <c r="P102">
        <v>2.4870999999999999E-3</v>
      </c>
    </row>
    <row r="103" spans="1:17" x14ac:dyDescent="0.3">
      <c r="A103" s="33">
        <v>1870</v>
      </c>
      <c r="B103">
        <v>4.8900000000000006</v>
      </c>
      <c r="C103">
        <v>4.8900000000000006E-2</v>
      </c>
      <c r="D103">
        <v>0</v>
      </c>
      <c r="E103">
        <v>2.5574700000000004</v>
      </c>
      <c r="F103">
        <v>5.3599999999999994</v>
      </c>
      <c r="G103">
        <v>1.6079999999999997E-2</v>
      </c>
      <c r="H103">
        <v>2.1439999999999996E-3</v>
      </c>
      <c r="I103">
        <v>1.0934399999999997</v>
      </c>
      <c r="J103">
        <v>29.4</v>
      </c>
      <c r="N103">
        <v>3.46</v>
      </c>
      <c r="O103">
        <v>4.1520000000000001E-2</v>
      </c>
      <c r="P103">
        <v>1.4186000000000001E-3</v>
      </c>
      <c r="Q103">
        <v>1.3909200000000002</v>
      </c>
    </row>
    <row r="104" spans="1:17" x14ac:dyDescent="0.3">
      <c r="A104" s="33">
        <v>491</v>
      </c>
      <c r="B104">
        <v>7.76</v>
      </c>
      <c r="C104">
        <v>0.110968</v>
      </c>
      <c r="D104">
        <v>7.8376000000000001E-2</v>
      </c>
      <c r="E104">
        <v>2.1495199999999999</v>
      </c>
      <c r="F104">
        <v>12.2</v>
      </c>
      <c r="G104">
        <v>0.16957999999999998</v>
      </c>
      <c r="H104">
        <v>7.5639999999999985E-2</v>
      </c>
      <c r="I104">
        <v>3.5136000000000003</v>
      </c>
      <c r="J104">
        <v>12.219999999999999</v>
      </c>
      <c r="K104">
        <v>0.23951199999999997</v>
      </c>
      <c r="L104">
        <v>9.8981999999999987E-2</v>
      </c>
      <c r="M104">
        <v>2.8228199999999997</v>
      </c>
      <c r="N104">
        <v>11.08</v>
      </c>
      <c r="O104">
        <v>0.13739200000000001</v>
      </c>
      <c r="P104">
        <v>6.6479999999999997E-2</v>
      </c>
      <c r="Q104">
        <v>3.5566800000000001</v>
      </c>
    </row>
    <row r="105" spans="1:17" x14ac:dyDescent="0.3">
      <c r="A105" s="33">
        <v>560</v>
      </c>
      <c r="B105">
        <v>12.04</v>
      </c>
      <c r="C105">
        <v>0.40695199999999992</v>
      </c>
      <c r="D105">
        <v>0.37203599999999992</v>
      </c>
      <c r="E105">
        <v>2.8294000000000001</v>
      </c>
      <c r="F105">
        <v>14.8</v>
      </c>
      <c r="G105">
        <v>0.39368000000000003</v>
      </c>
      <c r="H105">
        <v>0.17315999999999998</v>
      </c>
      <c r="I105">
        <v>3.2856000000000001</v>
      </c>
      <c r="J105">
        <v>14.09</v>
      </c>
      <c r="K105">
        <v>0.73268</v>
      </c>
      <c r="L105">
        <v>0.20289599999999999</v>
      </c>
      <c r="M105">
        <v>4.2410900000000007</v>
      </c>
      <c r="N105">
        <v>11.39</v>
      </c>
      <c r="O105">
        <v>0.15376500000000001</v>
      </c>
      <c r="P105">
        <v>0.10706599999999999</v>
      </c>
      <c r="Q105">
        <v>2.1185400000000003</v>
      </c>
    </row>
    <row r="106" spans="1:17" x14ac:dyDescent="0.3">
      <c r="A106" s="33">
        <v>545</v>
      </c>
      <c r="B106">
        <v>16.560000000000002</v>
      </c>
      <c r="C106">
        <v>0.72036</v>
      </c>
      <c r="D106">
        <v>0.39247200000000004</v>
      </c>
      <c r="E106">
        <v>5.3488800000000003</v>
      </c>
      <c r="F106">
        <v>20.18</v>
      </c>
      <c r="G106">
        <v>0.61952600000000002</v>
      </c>
      <c r="H106">
        <v>0.175566</v>
      </c>
      <c r="I106">
        <v>8.4352399999999985</v>
      </c>
      <c r="J106">
        <v>14.75</v>
      </c>
      <c r="K106">
        <v>0.23600000000000002</v>
      </c>
      <c r="L106">
        <v>0.10619999999999999</v>
      </c>
      <c r="M106">
        <v>3.0237500000000002</v>
      </c>
      <c r="N106">
        <v>11.899999999999999</v>
      </c>
      <c r="O106">
        <v>0.22014999999999996</v>
      </c>
      <c r="P106">
        <v>7.8539999999999999E-2</v>
      </c>
      <c r="Q106">
        <v>3.6175999999999995</v>
      </c>
    </row>
    <row r="107" spans="1:17" x14ac:dyDescent="0.3">
      <c r="A107" s="33">
        <v>519</v>
      </c>
      <c r="B107">
        <v>22.53</v>
      </c>
      <c r="C107">
        <v>1.315752</v>
      </c>
      <c r="D107">
        <v>0.36048000000000002</v>
      </c>
      <c r="E107">
        <v>9.9131999999999998</v>
      </c>
      <c r="F107">
        <v>17.09</v>
      </c>
      <c r="G107">
        <v>0.61694899999999997</v>
      </c>
      <c r="H107">
        <v>0.182863</v>
      </c>
      <c r="I107">
        <v>5.4858900000000004</v>
      </c>
      <c r="J107">
        <v>18.78</v>
      </c>
      <c r="K107">
        <v>0.46950000000000003</v>
      </c>
      <c r="L107">
        <v>0.10704599999999999</v>
      </c>
      <c r="M107">
        <v>6.0847199999999999</v>
      </c>
      <c r="N107">
        <v>16.350000000000001</v>
      </c>
      <c r="O107">
        <v>0.57225000000000004</v>
      </c>
      <c r="P107">
        <v>0.14388000000000001</v>
      </c>
      <c r="Q107">
        <v>6.2457000000000003</v>
      </c>
    </row>
    <row r="108" spans="1:17" x14ac:dyDescent="0.3">
      <c r="A108" s="33">
        <v>574</v>
      </c>
      <c r="B108">
        <v>17.190000000000001</v>
      </c>
      <c r="C108">
        <v>0.75807900000000006</v>
      </c>
      <c r="D108">
        <v>0.27504000000000006</v>
      </c>
      <c r="E108">
        <v>5.2945200000000003</v>
      </c>
      <c r="F108">
        <v>13.350000000000001</v>
      </c>
      <c r="G108">
        <v>0.39516000000000007</v>
      </c>
      <c r="H108">
        <v>8.4105000000000013E-2</v>
      </c>
      <c r="I108">
        <v>4.0050000000000008</v>
      </c>
      <c r="J108">
        <v>13.79</v>
      </c>
      <c r="K108">
        <v>0.6343399999999999</v>
      </c>
      <c r="L108">
        <v>7.4466000000000004E-2</v>
      </c>
      <c r="M108">
        <v>6.2054999999999998</v>
      </c>
      <c r="N108">
        <v>18.57</v>
      </c>
      <c r="O108">
        <v>0.74837100000000012</v>
      </c>
      <c r="P108">
        <v>0.116991</v>
      </c>
      <c r="Q108">
        <v>7.8551099999999998</v>
      </c>
    </row>
    <row r="109" spans="1:17" x14ac:dyDescent="0.3">
      <c r="A109" s="33">
        <v>1829</v>
      </c>
      <c r="B109">
        <v>3.71</v>
      </c>
      <c r="C109">
        <v>0.14951300000000001</v>
      </c>
      <c r="D109">
        <v>0.11575200000000001</v>
      </c>
      <c r="E109">
        <v>0.81899999999999995</v>
      </c>
      <c r="F109">
        <v>6.57</v>
      </c>
      <c r="G109">
        <v>0.24440400000000004</v>
      </c>
      <c r="H109">
        <v>7.9496999999999998E-2</v>
      </c>
      <c r="I109">
        <v>2.40462</v>
      </c>
      <c r="J109">
        <v>4.46</v>
      </c>
      <c r="K109">
        <v>8.2956000000000002E-2</v>
      </c>
      <c r="L109">
        <v>2.8544E-2</v>
      </c>
      <c r="M109">
        <v>1.0704</v>
      </c>
      <c r="N109">
        <v>3.21</v>
      </c>
      <c r="O109">
        <v>0.17269799999999999</v>
      </c>
      <c r="P109">
        <v>4.9434000000000006E-2</v>
      </c>
      <c r="Q109">
        <v>0.66768000000000005</v>
      </c>
    </row>
    <row r="110" spans="1:17" x14ac:dyDescent="0.3">
      <c r="A110" s="33">
        <v>1826</v>
      </c>
      <c r="B110">
        <v>3.34</v>
      </c>
      <c r="C110">
        <v>0.14862999999999998</v>
      </c>
      <c r="D110">
        <v>0.15096799999999999</v>
      </c>
      <c r="E110">
        <v>0.71810000000000007</v>
      </c>
      <c r="F110">
        <v>6.17</v>
      </c>
      <c r="G110">
        <v>5.0593999999999993E-2</v>
      </c>
      <c r="H110">
        <v>1.7276000000000003E-2</v>
      </c>
      <c r="I110">
        <v>2.9986200000000003</v>
      </c>
      <c r="J110">
        <v>2.65</v>
      </c>
      <c r="K110">
        <v>1.8814999999999998E-2</v>
      </c>
      <c r="L110">
        <v>1.3514999999999999E-2</v>
      </c>
      <c r="M110">
        <v>0.68370000000000009</v>
      </c>
      <c r="N110">
        <v>2.2800000000000002</v>
      </c>
      <c r="O110">
        <v>6.817200000000001E-2</v>
      </c>
      <c r="P110">
        <v>2.2572000000000002E-2</v>
      </c>
      <c r="Q110">
        <v>0.71592</v>
      </c>
    </row>
    <row r="111" spans="1:17" x14ac:dyDescent="0.3">
      <c r="A111" s="33">
        <v>1806</v>
      </c>
      <c r="B111">
        <v>1</v>
      </c>
      <c r="C111">
        <v>4.24E-2</v>
      </c>
      <c r="D111">
        <v>3.04E-2</v>
      </c>
      <c r="E111">
        <v>0.78700000000000003</v>
      </c>
      <c r="F111">
        <v>1.1300000000000001</v>
      </c>
      <c r="G111">
        <v>0.14351</v>
      </c>
      <c r="H111">
        <v>4.791200000000001E-2</v>
      </c>
      <c r="I111">
        <v>0.50059000000000009</v>
      </c>
      <c r="J111">
        <v>1.1299999999999999</v>
      </c>
      <c r="K111">
        <v>1.5819999999999997E-2</v>
      </c>
      <c r="L111">
        <v>2.7571999999999996E-2</v>
      </c>
      <c r="M111">
        <v>0.32317999999999997</v>
      </c>
      <c r="N111">
        <v>0.64</v>
      </c>
      <c r="O111">
        <v>6.4639999999999989E-2</v>
      </c>
      <c r="P111">
        <v>2.656E-2</v>
      </c>
      <c r="Q111">
        <v>0.25984000000000002</v>
      </c>
    </row>
    <row r="112" spans="1:17" x14ac:dyDescent="0.3">
      <c r="A112" s="33">
        <v>1827</v>
      </c>
      <c r="B112">
        <v>4.12</v>
      </c>
      <c r="C112">
        <v>0.14296400000000001</v>
      </c>
      <c r="D112">
        <v>0.1133</v>
      </c>
      <c r="E112">
        <v>1.1948000000000001</v>
      </c>
      <c r="F112">
        <v>5.75</v>
      </c>
      <c r="G112">
        <v>0.25587500000000002</v>
      </c>
      <c r="H112">
        <v>6.4399999999999999E-2</v>
      </c>
      <c r="I112">
        <v>3.2717499999999999</v>
      </c>
      <c r="J112">
        <v>4.9800000000000004</v>
      </c>
      <c r="K112">
        <v>7.2209999999999996E-2</v>
      </c>
      <c r="L112">
        <v>3.5358000000000001E-2</v>
      </c>
      <c r="M112">
        <v>1.5288599999999999</v>
      </c>
    </row>
    <row r="113" spans="1:17" x14ac:dyDescent="0.3">
      <c r="A113" s="33">
        <v>1535</v>
      </c>
      <c r="B113">
        <v>0.74</v>
      </c>
      <c r="C113">
        <v>7.9920000000000005E-2</v>
      </c>
      <c r="D113">
        <v>6.5638000000000002E-2</v>
      </c>
      <c r="E113">
        <v>0.35076000000000002</v>
      </c>
      <c r="F113">
        <v>2.4699999999999998</v>
      </c>
      <c r="I113">
        <v>1.0522199999999999</v>
      </c>
      <c r="J113">
        <v>0.7</v>
      </c>
      <c r="K113">
        <v>4.4940000000000001E-2</v>
      </c>
      <c r="L113">
        <v>2.0720000000000002E-2</v>
      </c>
      <c r="M113">
        <v>0.22469999999999998</v>
      </c>
      <c r="N113">
        <v>0.58000000000000007</v>
      </c>
      <c r="O113">
        <v>8.4100000000000008E-2</v>
      </c>
      <c r="P113">
        <v>2.7956000000000002E-2</v>
      </c>
      <c r="Q113">
        <v>0.16240000000000002</v>
      </c>
    </row>
    <row r="114" spans="1:17" x14ac:dyDescent="0.3">
      <c r="A114" s="33">
        <v>1802</v>
      </c>
      <c r="B114">
        <v>0.79</v>
      </c>
      <c r="C114">
        <v>9.401000000000001E-2</v>
      </c>
      <c r="E114">
        <v>0.23225999999999999</v>
      </c>
      <c r="F114">
        <v>1.5</v>
      </c>
      <c r="G114">
        <v>0.12269999999999999</v>
      </c>
      <c r="H114">
        <v>6.1050000000000007E-2</v>
      </c>
      <c r="I114">
        <v>0.72</v>
      </c>
      <c r="J114">
        <v>1.37</v>
      </c>
      <c r="K114">
        <v>3.6031000000000001E-2</v>
      </c>
      <c r="L114">
        <v>3.9593000000000003E-2</v>
      </c>
      <c r="M114">
        <v>0.30825000000000002</v>
      </c>
      <c r="N114">
        <v>0.97</v>
      </c>
      <c r="O114">
        <v>0.14065</v>
      </c>
      <c r="P114">
        <v>6.2564999999999996E-2</v>
      </c>
      <c r="Q114">
        <v>0.35017000000000004</v>
      </c>
    </row>
    <row r="115" spans="1:17" x14ac:dyDescent="0.3">
      <c r="A115" s="33">
        <v>1836</v>
      </c>
    </row>
    <row r="116" spans="1:17" x14ac:dyDescent="0.3">
      <c r="A116" s="33">
        <v>1837</v>
      </c>
    </row>
    <row r="117" spans="1:17" x14ac:dyDescent="0.3">
      <c r="A117" s="33">
        <v>568</v>
      </c>
      <c r="B117">
        <v>4.59</v>
      </c>
      <c r="C117">
        <v>0.90422999999999987</v>
      </c>
      <c r="D117">
        <v>0.21848399999999998</v>
      </c>
      <c r="E117">
        <v>3.2281599999999999</v>
      </c>
      <c r="F117">
        <v>2.14</v>
      </c>
      <c r="H117">
        <v>0.16692000000000001</v>
      </c>
      <c r="I117">
        <v>0.54569999999999996</v>
      </c>
      <c r="J117">
        <v>1.26</v>
      </c>
      <c r="L117">
        <v>6.2117999999999993E-2</v>
      </c>
      <c r="M117">
        <v>0.42462000000000005</v>
      </c>
      <c r="N117">
        <v>1.66</v>
      </c>
      <c r="P117">
        <v>0.1411</v>
      </c>
      <c r="Q117">
        <v>0.42827999999999994</v>
      </c>
    </row>
    <row r="118" spans="1:17" x14ac:dyDescent="0.3">
      <c r="A118" s="33">
        <v>570</v>
      </c>
      <c r="B118">
        <v>1.46</v>
      </c>
      <c r="D118">
        <v>8.3657999999999996E-2</v>
      </c>
      <c r="E118">
        <v>4.0417500000000004</v>
      </c>
      <c r="F118">
        <v>2.1800000000000002</v>
      </c>
      <c r="I118">
        <v>0.64964000000000011</v>
      </c>
      <c r="J118">
        <v>1.71</v>
      </c>
      <c r="L118">
        <v>5.1470999999999989E-2</v>
      </c>
      <c r="M118">
        <v>0.54549000000000003</v>
      </c>
      <c r="N118">
        <v>1.04</v>
      </c>
      <c r="P118">
        <v>7.6024000000000008E-2</v>
      </c>
      <c r="Q118">
        <v>0.34111999999999992</v>
      </c>
    </row>
    <row r="119" spans="1:17" x14ac:dyDescent="0.3">
      <c r="A119" s="33">
        <v>1537</v>
      </c>
      <c r="B119">
        <v>0.46</v>
      </c>
      <c r="D119">
        <v>4.301E-2</v>
      </c>
      <c r="E119">
        <v>0.16149999999999998</v>
      </c>
      <c r="F119">
        <v>0.75</v>
      </c>
      <c r="G119">
        <v>0.20399999999999999</v>
      </c>
      <c r="H119">
        <v>3.4950000000000002E-2</v>
      </c>
      <c r="I119">
        <v>0.32700000000000001</v>
      </c>
      <c r="J119">
        <v>0.69</v>
      </c>
      <c r="K119">
        <v>7.8659999999999994E-2</v>
      </c>
      <c r="L119">
        <v>2.9531999999999999E-2</v>
      </c>
      <c r="M119">
        <v>0.27806999999999993</v>
      </c>
      <c r="N119">
        <v>0.32</v>
      </c>
      <c r="O119">
        <v>5.824E-2</v>
      </c>
      <c r="P119">
        <v>1.8047999999999998E-2</v>
      </c>
      <c r="Q119">
        <v>0.15615999999999999</v>
      </c>
    </row>
    <row r="120" spans="1:17" x14ac:dyDescent="0.3">
      <c r="A120" s="33">
        <v>1540</v>
      </c>
      <c r="B120">
        <v>0.75</v>
      </c>
      <c r="D120">
        <v>5.9549999999999999E-2</v>
      </c>
      <c r="E120">
        <v>0.23156999999999997</v>
      </c>
      <c r="F120">
        <v>1.29</v>
      </c>
      <c r="H120">
        <v>9.4427999999999998E-2</v>
      </c>
      <c r="I120">
        <v>0.41538000000000003</v>
      </c>
      <c r="J120">
        <v>0.78</v>
      </c>
      <c r="K120">
        <v>0.11778000000000001</v>
      </c>
      <c r="L120">
        <v>3.8064000000000001E-2</v>
      </c>
      <c r="M120">
        <v>0.28703999999999996</v>
      </c>
      <c r="N120">
        <v>0.42</v>
      </c>
      <c r="O120">
        <v>6.216E-2</v>
      </c>
      <c r="P120">
        <v>3.4188000000000003E-2</v>
      </c>
    </row>
    <row r="121" spans="1:17" x14ac:dyDescent="0.3">
      <c r="A121" s="33">
        <v>1811</v>
      </c>
      <c r="B121">
        <v>0.44</v>
      </c>
      <c r="D121">
        <v>2.5256000000000004E-2</v>
      </c>
      <c r="E121">
        <v>0.12528</v>
      </c>
      <c r="F121">
        <v>0.53</v>
      </c>
      <c r="G121">
        <v>6.9430000000000006E-2</v>
      </c>
      <c r="H121">
        <v>8.2150000000000018E-3</v>
      </c>
      <c r="I121">
        <v>0.29256000000000004</v>
      </c>
      <c r="J121">
        <v>0.32</v>
      </c>
      <c r="K121">
        <v>4.6080000000000003E-2</v>
      </c>
      <c r="L121">
        <v>1.1136E-2</v>
      </c>
      <c r="M121">
        <v>0.17792000000000002</v>
      </c>
      <c r="N121">
        <v>0.28000000000000003</v>
      </c>
      <c r="P121">
        <v>1.4084000000000001E-2</v>
      </c>
      <c r="Q121">
        <v>0.12852</v>
      </c>
    </row>
    <row r="122" spans="1:17" x14ac:dyDescent="0.3">
      <c r="A122" s="33">
        <v>1816</v>
      </c>
      <c r="B122">
        <v>1.63</v>
      </c>
      <c r="C122">
        <v>0.29503000000000001</v>
      </c>
      <c r="D122">
        <v>7.0741999999999999E-2</v>
      </c>
      <c r="E122">
        <v>0.82368000000000008</v>
      </c>
      <c r="F122">
        <v>3.97</v>
      </c>
      <c r="G122">
        <v>0.231848</v>
      </c>
      <c r="H122">
        <v>4.7640000000000002E-2</v>
      </c>
      <c r="I122">
        <v>1.9095700000000002</v>
      </c>
      <c r="J122">
        <v>1.4</v>
      </c>
      <c r="K122">
        <v>0.14000000000000001</v>
      </c>
      <c r="L122">
        <v>2.1139999999999999E-2</v>
      </c>
      <c r="M122">
        <v>0.55019999999999991</v>
      </c>
      <c r="N122">
        <v>0.94</v>
      </c>
      <c r="O122">
        <v>7.4730000000000005E-2</v>
      </c>
      <c r="P122">
        <v>1.0527999999999999E-2</v>
      </c>
      <c r="Q122">
        <v>0.44179999999999997</v>
      </c>
    </row>
  </sheetData>
  <conditionalFormatting sqref="A27:A40">
    <cfRule type="duplicateValues" dxfId="47" priority="18"/>
  </conditionalFormatting>
  <conditionalFormatting sqref="A41:A43">
    <cfRule type="duplicateValues" dxfId="46" priority="20"/>
  </conditionalFormatting>
  <conditionalFormatting sqref="A44:A48">
    <cfRule type="duplicateValues" dxfId="45" priority="19"/>
  </conditionalFormatting>
  <conditionalFormatting sqref="A49:A58">
    <cfRule type="duplicateValues" dxfId="44" priority="21"/>
  </conditionalFormatting>
  <conditionalFormatting sqref="A59:A71">
    <cfRule type="duplicateValues" dxfId="43" priority="15"/>
  </conditionalFormatting>
  <conditionalFormatting sqref="A72:A80">
    <cfRule type="duplicateValues" dxfId="42" priority="17"/>
  </conditionalFormatting>
  <conditionalFormatting sqref="A81">
    <cfRule type="duplicateValues" dxfId="41" priority="16"/>
  </conditionalFormatting>
  <conditionalFormatting sqref="A82">
    <cfRule type="duplicateValues" dxfId="40" priority="14"/>
  </conditionalFormatting>
  <conditionalFormatting sqref="A83">
    <cfRule type="duplicateValues" dxfId="39" priority="13"/>
  </conditionalFormatting>
  <conditionalFormatting sqref="A84">
    <cfRule type="duplicateValues" dxfId="38" priority="12"/>
  </conditionalFormatting>
  <conditionalFormatting sqref="A85:A86">
    <cfRule type="duplicateValues" dxfId="37" priority="11"/>
  </conditionalFormatting>
  <conditionalFormatting sqref="A87:A88">
    <cfRule type="duplicateValues" dxfId="36" priority="10"/>
  </conditionalFormatting>
  <conditionalFormatting sqref="A89">
    <cfRule type="duplicateValues" dxfId="35" priority="9"/>
  </conditionalFormatting>
  <conditionalFormatting sqref="A93:A103">
    <cfRule type="duplicateValues" dxfId="34" priority="7"/>
  </conditionalFormatting>
  <conditionalFormatting sqref="A104:A112">
    <cfRule type="duplicateValues" dxfId="33" priority="8"/>
  </conditionalFormatting>
  <conditionalFormatting sqref="A113">
    <cfRule type="duplicateValues" dxfId="32" priority="6"/>
  </conditionalFormatting>
  <conditionalFormatting sqref="A114">
    <cfRule type="duplicateValues" dxfId="31" priority="5"/>
  </conditionalFormatting>
  <conditionalFormatting sqref="A115:A116">
    <cfRule type="duplicateValues" dxfId="30" priority="4"/>
  </conditionalFormatting>
  <conditionalFormatting sqref="A117:A118">
    <cfRule type="duplicateValues" dxfId="29" priority="3"/>
  </conditionalFormatting>
  <conditionalFormatting sqref="A119:A120">
    <cfRule type="duplicateValues" dxfId="28" priority="2"/>
  </conditionalFormatting>
  <conditionalFormatting sqref="A121:A122">
    <cfRule type="duplicateValues" dxfId="2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38CD-323B-42A7-9508-26D989C4CC09}">
  <dimension ref="A1:E119"/>
  <sheetViews>
    <sheetView topLeftCell="A5" workbookViewId="0">
      <selection sqref="A1:A119"/>
    </sheetView>
  </sheetViews>
  <sheetFormatPr defaultRowHeight="14.4" x14ac:dyDescent="0.3"/>
  <sheetData>
    <row r="1" spans="1:5" ht="19.2" x14ac:dyDescent="0.3">
      <c r="A1">
        <v>433</v>
      </c>
      <c r="B1" t="s">
        <v>219</v>
      </c>
      <c r="C1" t="s">
        <v>220</v>
      </c>
      <c r="D1" t="s">
        <v>221</v>
      </c>
      <c r="E1" s="97">
        <v>3</v>
      </c>
    </row>
    <row r="2" spans="1:5" x14ac:dyDescent="0.3">
      <c r="A2">
        <v>434</v>
      </c>
      <c r="B2" t="s">
        <v>219</v>
      </c>
      <c r="C2" t="s">
        <v>220</v>
      </c>
      <c r="D2" t="s">
        <v>221</v>
      </c>
      <c r="E2">
        <v>2</v>
      </c>
    </row>
    <row r="3" spans="1:5" x14ac:dyDescent="0.3">
      <c r="A3">
        <v>445</v>
      </c>
      <c r="B3" t="s">
        <v>219</v>
      </c>
      <c r="C3" t="s">
        <v>220</v>
      </c>
      <c r="D3" t="s">
        <v>221</v>
      </c>
      <c r="E3">
        <v>4</v>
      </c>
    </row>
    <row r="4" spans="1:5" x14ac:dyDescent="0.3">
      <c r="A4">
        <v>446</v>
      </c>
      <c r="B4" t="s">
        <v>219</v>
      </c>
      <c r="C4" t="s">
        <v>220</v>
      </c>
      <c r="D4" t="s">
        <v>221</v>
      </c>
      <c r="E4">
        <v>1</v>
      </c>
    </row>
    <row r="5" spans="1:5" x14ac:dyDescent="0.3">
      <c r="A5">
        <v>439</v>
      </c>
      <c r="B5" t="s">
        <v>219</v>
      </c>
      <c r="C5" t="s">
        <v>220</v>
      </c>
      <c r="D5" t="s">
        <v>221</v>
      </c>
      <c r="E5">
        <v>2</v>
      </c>
    </row>
    <row r="6" spans="1:5" x14ac:dyDescent="0.3">
      <c r="A6">
        <v>401</v>
      </c>
      <c r="B6" t="s">
        <v>219</v>
      </c>
      <c r="C6" t="s">
        <v>220</v>
      </c>
      <c r="D6" t="s">
        <v>222</v>
      </c>
      <c r="E6">
        <v>2</v>
      </c>
    </row>
    <row r="7" spans="1:5" x14ac:dyDescent="0.3">
      <c r="A7">
        <v>410</v>
      </c>
      <c r="B7" t="s">
        <v>219</v>
      </c>
      <c r="C7" t="s">
        <v>220</v>
      </c>
      <c r="D7" t="s">
        <v>222</v>
      </c>
      <c r="E7">
        <v>5</v>
      </c>
    </row>
    <row r="8" spans="1:5" x14ac:dyDescent="0.3">
      <c r="A8">
        <v>411</v>
      </c>
      <c r="B8" t="s">
        <v>219</v>
      </c>
      <c r="C8" t="s">
        <v>220</v>
      </c>
      <c r="D8" t="s">
        <v>222</v>
      </c>
      <c r="E8">
        <v>5</v>
      </c>
    </row>
    <row r="9" spans="1:5" x14ac:dyDescent="0.3">
      <c r="A9">
        <v>415</v>
      </c>
      <c r="B9" t="s">
        <v>219</v>
      </c>
      <c r="C9" t="s">
        <v>220</v>
      </c>
      <c r="D9" t="s">
        <v>222</v>
      </c>
      <c r="E9">
        <v>5</v>
      </c>
    </row>
    <row r="10" spans="1:5" x14ac:dyDescent="0.3">
      <c r="A10">
        <v>450</v>
      </c>
      <c r="B10" t="s">
        <v>219</v>
      </c>
      <c r="C10" t="s">
        <v>220</v>
      </c>
      <c r="D10" t="s">
        <v>222</v>
      </c>
      <c r="E10">
        <v>1</v>
      </c>
    </row>
    <row r="11" spans="1:5" x14ac:dyDescent="0.3">
      <c r="A11">
        <v>483</v>
      </c>
      <c r="B11" t="s">
        <v>219</v>
      </c>
      <c r="C11" t="s">
        <v>220</v>
      </c>
      <c r="D11" t="s">
        <v>222</v>
      </c>
      <c r="E11">
        <v>5</v>
      </c>
    </row>
    <row r="12" spans="1:5" x14ac:dyDescent="0.3">
      <c r="A12">
        <v>481</v>
      </c>
      <c r="B12" t="s">
        <v>219</v>
      </c>
      <c r="C12" t="s">
        <v>220</v>
      </c>
      <c r="D12" t="s">
        <v>222</v>
      </c>
      <c r="E12">
        <v>4</v>
      </c>
    </row>
    <row r="13" spans="1:5" x14ac:dyDescent="0.3">
      <c r="A13">
        <v>448</v>
      </c>
      <c r="B13" t="s">
        <v>219</v>
      </c>
      <c r="C13" t="s">
        <v>220</v>
      </c>
      <c r="D13" t="s">
        <v>222</v>
      </c>
      <c r="E13">
        <v>7</v>
      </c>
    </row>
    <row r="14" spans="1:5" x14ac:dyDescent="0.3">
      <c r="A14">
        <v>476</v>
      </c>
      <c r="B14" t="s">
        <v>219</v>
      </c>
      <c r="C14" t="s">
        <v>220</v>
      </c>
      <c r="D14" t="s">
        <v>222</v>
      </c>
      <c r="E14">
        <v>3</v>
      </c>
    </row>
    <row r="15" spans="1:5" x14ac:dyDescent="0.3">
      <c r="A15">
        <v>500</v>
      </c>
      <c r="B15" t="s">
        <v>219</v>
      </c>
      <c r="C15" t="s">
        <v>220</v>
      </c>
      <c r="D15" t="s">
        <v>222</v>
      </c>
      <c r="E15">
        <v>6</v>
      </c>
    </row>
    <row r="16" spans="1:5" x14ac:dyDescent="0.3">
      <c r="A16">
        <v>470</v>
      </c>
      <c r="B16" t="s">
        <v>219</v>
      </c>
      <c r="C16" t="s">
        <v>223</v>
      </c>
      <c r="D16" t="s">
        <v>221</v>
      </c>
      <c r="E16">
        <v>3</v>
      </c>
    </row>
    <row r="17" spans="1:5" x14ac:dyDescent="0.3">
      <c r="A17">
        <v>423</v>
      </c>
      <c r="B17" t="s">
        <v>219</v>
      </c>
      <c r="C17" t="s">
        <v>223</v>
      </c>
      <c r="D17" t="s">
        <v>221</v>
      </c>
      <c r="E17">
        <v>6</v>
      </c>
    </row>
    <row r="18" spans="1:5" x14ac:dyDescent="0.3">
      <c r="A18">
        <v>430</v>
      </c>
      <c r="B18" t="s">
        <v>219</v>
      </c>
      <c r="C18" t="s">
        <v>223</v>
      </c>
      <c r="D18" t="s">
        <v>221</v>
      </c>
      <c r="E18" t="s">
        <v>228</v>
      </c>
    </row>
    <row r="19" spans="1:5" x14ac:dyDescent="0.3">
      <c r="A19">
        <v>431</v>
      </c>
      <c r="B19" t="s">
        <v>219</v>
      </c>
      <c r="C19" t="s">
        <v>223</v>
      </c>
      <c r="D19" t="s">
        <v>221</v>
      </c>
      <c r="E19">
        <v>4</v>
      </c>
    </row>
    <row r="20" spans="1:5" x14ac:dyDescent="0.3">
      <c r="A20">
        <v>492</v>
      </c>
      <c r="B20" t="s">
        <v>219</v>
      </c>
      <c r="C20" t="s">
        <v>223</v>
      </c>
      <c r="D20" t="s">
        <v>221</v>
      </c>
      <c r="E20">
        <v>5</v>
      </c>
    </row>
    <row r="21" spans="1:5" x14ac:dyDescent="0.3">
      <c r="A21">
        <v>458</v>
      </c>
      <c r="B21" t="s">
        <v>219</v>
      </c>
      <c r="C21" t="s">
        <v>223</v>
      </c>
      <c r="D21" t="s">
        <v>221</v>
      </c>
      <c r="E21">
        <v>1</v>
      </c>
    </row>
    <row r="22" spans="1:5" x14ac:dyDescent="0.3">
      <c r="A22">
        <v>418</v>
      </c>
      <c r="B22" t="s">
        <v>219</v>
      </c>
      <c r="C22" t="s">
        <v>223</v>
      </c>
      <c r="D22" t="s">
        <v>221</v>
      </c>
      <c r="E22">
        <v>3</v>
      </c>
    </row>
    <row r="23" spans="1:5" x14ac:dyDescent="0.3">
      <c r="A23">
        <v>486</v>
      </c>
      <c r="B23" t="s">
        <v>219</v>
      </c>
      <c r="C23" t="s">
        <v>223</v>
      </c>
      <c r="D23" t="s">
        <v>221</v>
      </c>
      <c r="E23">
        <v>4</v>
      </c>
    </row>
    <row r="24" spans="1:5" x14ac:dyDescent="0.3">
      <c r="A24">
        <v>449</v>
      </c>
      <c r="B24" t="s">
        <v>219</v>
      </c>
      <c r="C24" t="s">
        <v>223</v>
      </c>
      <c r="D24" t="s">
        <v>221</v>
      </c>
      <c r="E24">
        <v>6</v>
      </c>
    </row>
    <row r="25" spans="1:5" x14ac:dyDescent="0.3">
      <c r="A25">
        <v>575</v>
      </c>
      <c r="B25" t="s">
        <v>219</v>
      </c>
      <c r="C25" t="s">
        <v>223</v>
      </c>
      <c r="D25" t="s">
        <v>221</v>
      </c>
      <c r="E25">
        <v>1</v>
      </c>
    </row>
    <row r="26" spans="1:5" x14ac:dyDescent="0.3">
      <c r="A26">
        <v>453</v>
      </c>
      <c r="B26" t="s">
        <v>219</v>
      </c>
      <c r="C26" t="s">
        <v>223</v>
      </c>
      <c r="D26" t="s">
        <v>221</v>
      </c>
      <c r="E26">
        <v>4</v>
      </c>
    </row>
    <row r="27" spans="1:5" x14ac:dyDescent="0.3">
      <c r="A27">
        <v>576</v>
      </c>
      <c r="B27" t="s">
        <v>219</v>
      </c>
      <c r="C27" t="s">
        <v>223</v>
      </c>
      <c r="D27" t="s">
        <v>221</v>
      </c>
      <c r="E27">
        <v>2</v>
      </c>
    </row>
    <row r="28" spans="1:5" x14ac:dyDescent="0.3">
      <c r="A28">
        <v>424</v>
      </c>
      <c r="B28" t="s">
        <v>219</v>
      </c>
      <c r="C28" t="s">
        <v>223</v>
      </c>
      <c r="D28" t="s">
        <v>222</v>
      </c>
      <c r="E28">
        <v>4</v>
      </c>
    </row>
    <row r="29" spans="1:5" x14ac:dyDescent="0.3">
      <c r="A29">
        <v>473</v>
      </c>
      <c r="B29" t="s">
        <v>219</v>
      </c>
      <c r="C29" t="s">
        <v>223</v>
      </c>
      <c r="D29" t="s">
        <v>222</v>
      </c>
      <c r="E29">
        <v>5</v>
      </c>
    </row>
    <row r="30" spans="1:5" x14ac:dyDescent="0.3">
      <c r="A30">
        <v>469</v>
      </c>
      <c r="B30" t="s">
        <v>219</v>
      </c>
      <c r="C30" t="s">
        <v>223</v>
      </c>
      <c r="D30" t="s">
        <v>222</v>
      </c>
      <c r="E30">
        <v>4</v>
      </c>
    </row>
    <row r="31" spans="1:5" x14ac:dyDescent="0.3">
      <c r="A31">
        <v>577</v>
      </c>
      <c r="B31" t="s">
        <v>219</v>
      </c>
      <c r="C31" t="s">
        <v>223</v>
      </c>
      <c r="D31" t="s">
        <v>222</v>
      </c>
      <c r="E31">
        <v>5</v>
      </c>
    </row>
    <row r="32" spans="1:5" x14ac:dyDescent="0.3">
      <c r="A32">
        <v>493</v>
      </c>
      <c r="B32" t="s">
        <v>219</v>
      </c>
      <c r="C32" t="s">
        <v>223</v>
      </c>
      <c r="D32" t="s">
        <v>222</v>
      </c>
      <c r="E32">
        <v>5</v>
      </c>
    </row>
    <row r="33" spans="1:5" x14ac:dyDescent="0.3">
      <c r="A33">
        <v>495</v>
      </c>
      <c r="B33" t="s">
        <v>219</v>
      </c>
      <c r="C33" t="s">
        <v>223</v>
      </c>
      <c r="D33" t="s">
        <v>222</v>
      </c>
      <c r="E33">
        <v>3</v>
      </c>
    </row>
    <row r="34" spans="1:5" x14ac:dyDescent="0.3">
      <c r="A34">
        <v>578</v>
      </c>
      <c r="B34" t="s">
        <v>219</v>
      </c>
      <c r="C34" t="s">
        <v>223</v>
      </c>
      <c r="D34" t="s">
        <v>222</v>
      </c>
      <c r="E34">
        <v>1</v>
      </c>
    </row>
    <row r="35" spans="1:5" x14ac:dyDescent="0.3">
      <c r="A35">
        <v>490</v>
      </c>
      <c r="B35" t="s">
        <v>219</v>
      </c>
      <c r="C35" t="s">
        <v>223</v>
      </c>
      <c r="D35" t="s">
        <v>222</v>
      </c>
      <c r="E35">
        <v>6</v>
      </c>
    </row>
    <row r="36" spans="1:5" x14ac:dyDescent="0.3">
      <c r="A36">
        <v>464</v>
      </c>
      <c r="B36" t="s">
        <v>219</v>
      </c>
      <c r="C36" t="s">
        <v>223</v>
      </c>
      <c r="D36" t="s">
        <v>222</v>
      </c>
      <c r="E36">
        <v>0</v>
      </c>
    </row>
    <row r="37" spans="1:5" x14ac:dyDescent="0.3">
      <c r="A37">
        <v>452</v>
      </c>
      <c r="B37" t="s">
        <v>219</v>
      </c>
      <c r="C37" t="s">
        <v>223</v>
      </c>
      <c r="D37" t="s">
        <v>222</v>
      </c>
      <c r="E37">
        <v>4</v>
      </c>
    </row>
    <row r="38" spans="1:5" x14ac:dyDescent="0.3">
      <c r="A38">
        <v>550</v>
      </c>
      <c r="B38" t="s">
        <v>219</v>
      </c>
      <c r="C38" t="s">
        <v>223</v>
      </c>
      <c r="D38" t="s">
        <v>222</v>
      </c>
      <c r="E38">
        <v>5</v>
      </c>
    </row>
    <row r="39" spans="1:5" x14ac:dyDescent="0.3">
      <c r="A39">
        <v>485</v>
      </c>
      <c r="B39" t="s">
        <v>219</v>
      </c>
      <c r="C39" t="s">
        <v>223</v>
      </c>
      <c r="D39" t="s">
        <v>222</v>
      </c>
      <c r="E39">
        <v>3</v>
      </c>
    </row>
    <row r="40" spans="1:5" x14ac:dyDescent="0.3">
      <c r="A40">
        <v>504</v>
      </c>
      <c r="B40" t="s">
        <v>224</v>
      </c>
      <c r="C40" t="s">
        <v>223</v>
      </c>
      <c r="D40" t="s">
        <v>221</v>
      </c>
      <c r="E40">
        <v>0</v>
      </c>
    </row>
    <row r="41" spans="1:5" x14ac:dyDescent="0.3">
      <c r="A41">
        <v>491</v>
      </c>
      <c r="B41" t="s">
        <v>224</v>
      </c>
      <c r="C41" t="s">
        <v>223</v>
      </c>
      <c r="D41" t="s">
        <v>221</v>
      </c>
      <c r="E41">
        <v>0</v>
      </c>
    </row>
    <row r="42" spans="1:5" x14ac:dyDescent="0.3">
      <c r="A42">
        <v>515</v>
      </c>
      <c r="B42" t="s">
        <v>224</v>
      </c>
      <c r="C42" t="s">
        <v>223</v>
      </c>
      <c r="D42" t="s">
        <v>221</v>
      </c>
      <c r="E42">
        <v>6</v>
      </c>
    </row>
    <row r="43" spans="1:5" x14ac:dyDescent="0.3">
      <c r="A43">
        <v>560</v>
      </c>
      <c r="B43" t="s">
        <v>224</v>
      </c>
      <c r="C43" t="s">
        <v>223</v>
      </c>
      <c r="D43" t="s">
        <v>221</v>
      </c>
      <c r="E43">
        <v>4</v>
      </c>
    </row>
    <row r="44" spans="1:5" x14ac:dyDescent="0.3">
      <c r="A44">
        <v>559</v>
      </c>
      <c r="B44" t="s">
        <v>224</v>
      </c>
      <c r="C44" t="s">
        <v>223</v>
      </c>
      <c r="D44" t="s">
        <v>221</v>
      </c>
      <c r="E44">
        <v>0</v>
      </c>
    </row>
    <row r="45" spans="1:5" x14ac:dyDescent="0.3">
      <c r="A45">
        <v>562</v>
      </c>
      <c r="B45" t="s">
        <v>224</v>
      </c>
      <c r="C45" t="s">
        <v>223</v>
      </c>
      <c r="D45" t="s">
        <v>221</v>
      </c>
      <c r="E45">
        <v>6</v>
      </c>
    </row>
    <row r="46" spans="1:5" x14ac:dyDescent="0.3">
      <c r="A46">
        <v>528</v>
      </c>
      <c r="B46" t="s">
        <v>224</v>
      </c>
      <c r="C46" t="s">
        <v>223</v>
      </c>
      <c r="D46" t="s">
        <v>221</v>
      </c>
      <c r="E46">
        <v>5</v>
      </c>
    </row>
    <row r="47" spans="1:5" x14ac:dyDescent="0.3">
      <c r="A47">
        <v>542</v>
      </c>
      <c r="B47" t="s">
        <v>224</v>
      </c>
      <c r="C47" t="s">
        <v>223</v>
      </c>
      <c r="D47" t="s">
        <v>221</v>
      </c>
      <c r="E47">
        <v>2</v>
      </c>
    </row>
    <row r="48" spans="1:5" x14ac:dyDescent="0.3">
      <c r="A48">
        <v>545</v>
      </c>
      <c r="B48" t="s">
        <v>224</v>
      </c>
      <c r="C48" t="s">
        <v>223</v>
      </c>
      <c r="D48" t="s">
        <v>221</v>
      </c>
      <c r="E48">
        <v>1</v>
      </c>
    </row>
    <row r="49" spans="1:5" x14ac:dyDescent="0.3">
      <c r="A49">
        <v>574</v>
      </c>
      <c r="B49" t="s">
        <v>224</v>
      </c>
      <c r="C49" t="s">
        <v>223</v>
      </c>
      <c r="D49" t="s">
        <v>222</v>
      </c>
      <c r="E49">
        <v>4</v>
      </c>
    </row>
    <row r="50" spans="1:5" x14ac:dyDescent="0.3">
      <c r="A50">
        <v>519</v>
      </c>
      <c r="B50" t="s">
        <v>224</v>
      </c>
      <c r="C50" t="s">
        <v>223</v>
      </c>
      <c r="D50" t="s">
        <v>222</v>
      </c>
      <c r="E50">
        <v>3</v>
      </c>
    </row>
    <row r="51" spans="1:5" x14ac:dyDescent="0.3">
      <c r="A51">
        <v>568</v>
      </c>
      <c r="B51" t="s">
        <v>224</v>
      </c>
      <c r="C51" t="s">
        <v>223</v>
      </c>
      <c r="D51" t="s">
        <v>222</v>
      </c>
      <c r="E51">
        <v>3</v>
      </c>
    </row>
    <row r="52" spans="1:5" x14ac:dyDescent="0.3">
      <c r="A52">
        <v>570</v>
      </c>
      <c r="B52" t="s">
        <v>224</v>
      </c>
      <c r="C52" t="s">
        <v>223</v>
      </c>
      <c r="D52" t="s">
        <v>222</v>
      </c>
      <c r="E52">
        <v>4</v>
      </c>
    </row>
    <row r="53" spans="1:5" x14ac:dyDescent="0.3">
      <c r="A53">
        <v>1535</v>
      </c>
      <c r="B53" t="s">
        <v>224</v>
      </c>
      <c r="C53" t="s">
        <v>223</v>
      </c>
      <c r="D53" t="s">
        <v>222</v>
      </c>
      <c r="E53">
        <v>4</v>
      </c>
    </row>
    <row r="54" spans="1:5" x14ac:dyDescent="0.3">
      <c r="A54">
        <v>1802</v>
      </c>
      <c r="B54" t="s">
        <v>224</v>
      </c>
      <c r="C54" t="s">
        <v>223</v>
      </c>
      <c r="D54" t="s">
        <v>222</v>
      </c>
      <c r="E54">
        <v>2</v>
      </c>
    </row>
    <row r="55" spans="1:5" x14ac:dyDescent="0.3">
      <c r="A55">
        <v>1806</v>
      </c>
      <c r="B55" t="s">
        <v>224</v>
      </c>
      <c r="C55" t="s">
        <v>223</v>
      </c>
      <c r="D55" t="s">
        <v>222</v>
      </c>
      <c r="E55">
        <v>1</v>
      </c>
    </row>
    <row r="56" spans="1:5" x14ac:dyDescent="0.3">
      <c r="A56">
        <v>1537</v>
      </c>
      <c r="B56" t="s">
        <v>224</v>
      </c>
      <c r="C56" t="s">
        <v>223</v>
      </c>
      <c r="D56" t="s">
        <v>222</v>
      </c>
      <c r="E56">
        <v>2</v>
      </c>
    </row>
    <row r="57" spans="1:5" x14ac:dyDescent="0.3">
      <c r="A57">
        <v>1540</v>
      </c>
      <c r="B57" t="s">
        <v>224</v>
      </c>
      <c r="C57" t="s">
        <v>223</v>
      </c>
      <c r="D57" t="s">
        <v>222</v>
      </c>
      <c r="E57">
        <v>0</v>
      </c>
    </row>
    <row r="58" spans="1:5" x14ac:dyDescent="0.3">
      <c r="A58">
        <v>1811</v>
      </c>
      <c r="B58" t="s">
        <v>224</v>
      </c>
      <c r="C58" t="s">
        <v>223</v>
      </c>
      <c r="D58" t="s">
        <v>222</v>
      </c>
      <c r="E58">
        <v>5</v>
      </c>
    </row>
    <row r="59" spans="1:5" x14ac:dyDescent="0.3">
      <c r="A59">
        <v>1881</v>
      </c>
      <c r="B59" t="s">
        <v>219</v>
      </c>
      <c r="C59" t="s">
        <v>220</v>
      </c>
      <c r="D59" t="s">
        <v>222</v>
      </c>
      <c r="E59">
        <v>6</v>
      </c>
    </row>
    <row r="60" spans="1:5" x14ac:dyDescent="0.3">
      <c r="A60">
        <v>1877</v>
      </c>
      <c r="B60" t="s">
        <v>219</v>
      </c>
      <c r="C60" t="s">
        <v>220</v>
      </c>
      <c r="D60" t="s">
        <v>222</v>
      </c>
      <c r="E60">
        <v>5</v>
      </c>
    </row>
    <row r="61" spans="1:5" x14ac:dyDescent="0.3">
      <c r="A61">
        <v>1886</v>
      </c>
      <c r="B61" t="s">
        <v>219</v>
      </c>
      <c r="C61" t="s">
        <v>220</v>
      </c>
      <c r="D61" t="s">
        <v>222</v>
      </c>
      <c r="E61">
        <v>5</v>
      </c>
    </row>
    <row r="62" spans="1:5" x14ac:dyDescent="0.3">
      <c r="A62">
        <v>1874</v>
      </c>
      <c r="B62" t="s">
        <v>219</v>
      </c>
      <c r="C62" t="s">
        <v>220</v>
      </c>
      <c r="D62" t="s">
        <v>222</v>
      </c>
      <c r="E62">
        <v>2</v>
      </c>
    </row>
    <row r="63" spans="1:5" x14ac:dyDescent="0.3">
      <c r="A63">
        <v>1854</v>
      </c>
      <c r="B63" t="s">
        <v>219</v>
      </c>
      <c r="C63" t="s">
        <v>220</v>
      </c>
      <c r="D63" t="s">
        <v>222</v>
      </c>
      <c r="E63">
        <v>5</v>
      </c>
    </row>
    <row r="64" spans="1:5" x14ac:dyDescent="0.3">
      <c r="A64">
        <v>1900</v>
      </c>
      <c r="B64" t="s">
        <v>219</v>
      </c>
      <c r="C64" t="s">
        <v>220</v>
      </c>
      <c r="D64" t="s">
        <v>221</v>
      </c>
      <c r="E64">
        <v>6</v>
      </c>
    </row>
    <row r="65" spans="1:5" x14ac:dyDescent="0.3">
      <c r="A65">
        <v>1885</v>
      </c>
      <c r="B65" t="s">
        <v>219</v>
      </c>
      <c r="C65" t="s">
        <v>220</v>
      </c>
      <c r="D65" t="s">
        <v>221</v>
      </c>
      <c r="E65">
        <v>6</v>
      </c>
    </row>
    <row r="66" spans="1:5" x14ac:dyDescent="0.3">
      <c r="A66">
        <v>1899</v>
      </c>
      <c r="B66" t="s">
        <v>219</v>
      </c>
      <c r="C66" t="s">
        <v>220</v>
      </c>
      <c r="D66" t="s">
        <v>221</v>
      </c>
      <c r="E66">
        <v>2</v>
      </c>
    </row>
    <row r="67" spans="1:5" x14ac:dyDescent="0.3">
      <c r="A67">
        <v>1875</v>
      </c>
      <c r="B67" t="s">
        <v>219</v>
      </c>
      <c r="C67" t="s">
        <v>220</v>
      </c>
      <c r="D67" t="s">
        <v>221</v>
      </c>
      <c r="E67">
        <v>3</v>
      </c>
    </row>
    <row r="68" spans="1:5" x14ac:dyDescent="0.3">
      <c r="A68">
        <v>1894</v>
      </c>
      <c r="B68" t="s">
        <v>219</v>
      </c>
      <c r="C68" t="s">
        <v>220</v>
      </c>
      <c r="D68" t="s">
        <v>221</v>
      </c>
      <c r="E68">
        <v>8</v>
      </c>
    </row>
    <row r="69" spans="1:5" x14ac:dyDescent="0.3">
      <c r="A69">
        <v>267</v>
      </c>
      <c r="B69" t="s">
        <v>224</v>
      </c>
      <c r="C69" t="s">
        <v>220</v>
      </c>
      <c r="D69" t="s">
        <v>222</v>
      </c>
      <c r="E69">
        <v>3</v>
      </c>
    </row>
    <row r="70" spans="1:5" x14ac:dyDescent="0.3">
      <c r="A70">
        <v>268</v>
      </c>
      <c r="B70" t="s">
        <v>224</v>
      </c>
      <c r="C70" t="s">
        <v>220</v>
      </c>
      <c r="D70" t="s">
        <v>222</v>
      </c>
      <c r="E70">
        <v>0</v>
      </c>
    </row>
    <row r="71" spans="1:5" x14ac:dyDescent="0.3">
      <c r="A71">
        <v>231</v>
      </c>
      <c r="B71" t="s">
        <v>224</v>
      </c>
      <c r="C71" t="s">
        <v>220</v>
      </c>
      <c r="D71" t="s">
        <v>222</v>
      </c>
      <c r="E71">
        <v>2</v>
      </c>
    </row>
    <row r="72" spans="1:5" x14ac:dyDescent="0.3">
      <c r="A72">
        <v>277</v>
      </c>
      <c r="B72" t="s">
        <v>224</v>
      </c>
      <c r="C72" t="s">
        <v>220</v>
      </c>
      <c r="D72" t="s">
        <v>222</v>
      </c>
      <c r="E72">
        <v>4</v>
      </c>
    </row>
    <row r="73" spans="1:5" x14ac:dyDescent="0.3">
      <c r="A73">
        <v>282</v>
      </c>
      <c r="B73" t="s">
        <v>224</v>
      </c>
      <c r="C73" t="s">
        <v>220</v>
      </c>
      <c r="D73" t="s">
        <v>222</v>
      </c>
      <c r="E73">
        <v>0</v>
      </c>
    </row>
    <row r="74" spans="1:5" x14ac:dyDescent="0.3">
      <c r="A74">
        <v>287</v>
      </c>
      <c r="B74" t="s">
        <v>224</v>
      </c>
      <c r="C74" t="s">
        <v>220</v>
      </c>
      <c r="D74" t="s">
        <v>222</v>
      </c>
      <c r="E74">
        <v>2</v>
      </c>
    </row>
    <row r="75" spans="1:5" x14ac:dyDescent="0.3">
      <c r="A75">
        <v>289</v>
      </c>
      <c r="B75" t="s">
        <v>224</v>
      </c>
      <c r="C75" t="s">
        <v>220</v>
      </c>
      <c r="D75" t="s">
        <v>222</v>
      </c>
      <c r="E75">
        <v>3</v>
      </c>
    </row>
    <row r="76" spans="1:5" x14ac:dyDescent="0.3">
      <c r="A76">
        <v>247</v>
      </c>
      <c r="B76" t="s">
        <v>224</v>
      </c>
      <c r="C76" t="s">
        <v>220</v>
      </c>
      <c r="D76" t="s">
        <v>221</v>
      </c>
      <c r="E76">
        <v>1</v>
      </c>
    </row>
    <row r="77" spans="1:5" x14ac:dyDescent="0.3">
      <c r="A77">
        <v>248</v>
      </c>
      <c r="B77" t="s">
        <v>224</v>
      </c>
      <c r="C77" t="s">
        <v>220</v>
      </c>
      <c r="D77" t="s">
        <v>221</v>
      </c>
      <c r="E77">
        <v>0</v>
      </c>
    </row>
    <row r="78" spans="1:5" x14ac:dyDescent="0.3">
      <c r="A78">
        <v>269</v>
      </c>
      <c r="B78" t="s">
        <v>224</v>
      </c>
      <c r="C78" t="s">
        <v>220</v>
      </c>
      <c r="D78" t="s">
        <v>221</v>
      </c>
      <c r="E78">
        <v>3</v>
      </c>
    </row>
    <row r="79" spans="1:5" x14ac:dyDescent="0.3">
      <c r="A79">
        <v>274</v>
      </c>
      <c r="B79" t="s">
        <v>224</v>
      </c>
      <c r="C79" t="s">
        <v>220</v>
      </c>
      <c r="D79" t="s">
        <v>221</v>
      </c>
      <c r="E79">
        <v>0</v>
      </c>
    </row>
    <row r="80" spans="1:5" x14ac:dyDescent="0.3">
      <c r="A80">
        <v>280</v>
      </c>
      <c r="B80" t="s">
        <v>224</v>
      </c>
      <c r="C80" t="s">
        <v>220</v>
      </c>
      <c r="D80" t="s">
        <v>222</v>
      </c>
      <c r="E80">
        <v>4</v>
      </c>
    </row>
    <row r="81" spans="1:5" x14ac:dyDescent="0.3">
      <c r="A81">
        <v>283</v>
      </c>
      <c r="B81" t="s">
        <v>224</v>
      </c>
      <c r="C81" t="s">
        <v>220</v>
      </c>
      <c r="D81" t="s">
        <v>222</v>
      </c>
      <c r="E81">
        <v>2</v>
      </c>
    </row>
    <row r="82" spans="1:5" x14ac:dyDescent="0.3">
      <c r="A82">
        <v>300</v>
      </c>
      <c r="B82" t="s">
        <v>224</v>
      </c>
      <c r="C82" t="s">
        <v>220</v>
      </c>
      <c r="D82" t="s">
        <v>222</v>
      </c>
      <c r="E82">
        <v>1</v>
      </c>
    </row>
    <row r="83" spans="1:5" x14ac:dyDescent="0.3">
      <c r="A83">
        <v>303</v>
      </c>
      <c r="B83" t="s">
        <v>224</v>
      </c>
      <c r="C83" t="s">
        <v>220</v>
      </c>
      <c r="D83" t="s">
        <v>222</v>
      </c>
      <c r="E83">
        <v>2</v>
      </c>
    </row>
    <row r="84" spans="1:5" x14ac:dyDescent="0.3">
      <c r="A84">
        <v>304</v>
      </c>
      <c r="B84" t="s">
        <v>224</v>
      </c>
      <c r="C84" t="s">
        <v>220</v>
      </c>
      <c r="D84" t="s">
        <v>222</v>
      </c>
      <c r="E84">
        <v>0</v>
      </c>
    </row>
    <row r="85" spans="1:5" x14ac:dyDescent="0.3">
      <c r="A85">
        <v>308</v>
      </c>
      <c r="B85" t="s">
        <v>224</v>
      </c>
      <c r="C85" t="s">
        <v>220</v>
      </c>
      <c r="D85" t="s">
        <v>222</v>
      </c>
      <c r="E85">
        <v>0</v>
      </c>
    </row>
    <row r="86" spans="1:5" x14ac:dyDescent="0.3">
      <c r="A86">
        <v>713</v>
      </c>
      <c r="B86" t="s">
        <v>224</v>
      </c>
      <c r="C86" t="s">
        <v>220</v>
      </c>
      <c r="D86" t="s">
        <v>222</v>
      </c>
      <c r="E86">
        <v>4</v>
      </c>
    </row>
    <row r="87" spans="1:5" x14ac:dyDescent="0.3">
      <c r="A87">
        <v>316</v>
      </c>
      <c r="B87" t="s">
        <v>224</v>
      </c>
      <c r="C87" t="s">
        <v>220</v>
      </c>
      <c r="D87" t="s">
        <v>222</v>
      </c>
      <c r="E87">
        <v>0</v>
      </c>
    </row>
    <row r="88" spans="1:5" x14ac:dyDescent="0.3">
      <c r="A88">
        <v>317</v>
      </c>
      <c r="B88" t="s">
        <v>224</v>
      </c>
      <c r="C88" t="s">
        <v>220</v>
      </c>
      <c r="D88" t="s">
        <v>222</v>
      </c>
      <c r="E88">
        <v>0</v>
      </c>
    </row>
    <row r="89" spans="1:5" x14ac:dyDescent="0.3">
      <c r="A89">
        <v>674</v>
      </c>
      <c r="B89" t="s">
        <v>224</v>
      </c>
      <c r="C89" t="s">
        <v>220</v>
      </c>
      <c r="D89" t="s">
        <v>222</v>
      </c>
      <c r="E89">
        <v>2</v>
      </c>
    </row>
    <row r="90" spans="1:5" x14ac:dyDescent="0.3">
      <c r="A90">
        <v>677</v>
      </c>
      <c r="B90" t="s">
        <v>224</v>
      </c>
      <c r="C90" t="s">
        <v>220</v>
      </c>
      <c r="D90" t="s">
        <v>222</v>
      </c>
      <c r="E90">
        <v>2</v>
      </c>
    </row>
    <row r="91" spans="1:5" x14ac:dyDescent="0.3">
      <c r="A91">
        <v>617</v>
      </c>
      <c r="B91" t="s">
        <v>224</v>
      </c>
      <c r="C91" t="s">
        <v>220</v>
      </c>
      <c r="D91" t="s">
        <v>221</v>
      </c>
      <c r="E91">
        <v>1</v>
      </c>
    </row>
    <row r="92" spans="1:5" x14ac:dyDescent="0.3">
      <c r="A92">
        <v>722</v>
      </c>
      <c r="B92" t="s">
        <v>224</v>
      </c>
      <c r="C92" t="s">
        <v>220</v>
      </c>
      <c r="D92" t="s">
        <v>221</v>
      </c>
      <c r="E92">
        <v>4</v>
      </c>
    </row>
    <row r="93" spans="1:5" x14ac:dyDescent="0.3">
      <c r="A93">
        <v>614</v>
      </c>
      <c r="B93" t="s">
        <v>224</v>
      </c>
      <c r="C93" t="s">
        <v>220</v>
      </c>
      <c r="D93" t="s">
        <v>221</v>
      </c>
      <c r="E93">
        <v>2</v>
      </c>
    </row>
    <row r="94" spans="1:5" x14ac:dyDescent="0.3">
      <c r="A94">
        <v>612</v>
      </c>
      <c r="B94" t="s">
        <v>224</v>
      </c>
      <c r="C94" t="s">
        <v>220</v>
      </c>
      <c r="D94" t="s">
        <v>221</v>
      </c>
      <c r="E94">
        <v>4</v>
      </c>
    </row>
    <row r="95" spans="1:5" x14ac:dyDescent="0.3">
      <c r="A95">
        <v>604</v>
      </c>
      <c r="B95" t="s">
        <v>224</v>
      </c>
      <c r="C95" t="s">
        <v>220</v>
      </c>
      <c r="D95" t="s">
        <v>222</v>
      </c>
      <c r="E95">
        <v>2</v>
      </c>
    </row>
    <row r="96" spans="1:5" x14ac:dyDescent="0.3">
      <c r="A96">
        <v>669</v>
      </c>
      <c r="B96" t="s">
        <v>224</v>
      </c>
      <c r="C96" t="s">
        <v>220</v>
      </c>
      <c r="D96" t="s">
        <v>222</v>
      </c>
      <c r="E96">
        <v>1</v>
      </c>
    </row>
    <row r="97" spans="1:5" x14ac:dyDescent="0.3">
      <c r="A97">
        <v>315</v>
      </c>
      <c r="B97" t="s">
        <v>224</v>
      </c>
      <c r="C97" t="s">
        <v>220</v>
      </c>
      <c r="D97" t="s">
        <v>222</v>
      </c>
      <c r="E97">
        <v>0</v>
      </c>
    </row>
    <row r="98" spans="1:5" x14ac:dyDescent="0.3">
      <c r="A98">
        <v>676</v>
      </c>
      <c r="B98" t="s">
        <v>224</v>
      </c>
      <c r="C98" t="s">
        <v>220</v>
      </c>
      <c r="D98" t="s">
        <v>222</v>
      </c>
      <c r="E98">
        <v>0</v>
      </c>
    </row>
    <row r="99" spans="1:5" x14ac:dyDescent="0.3">
      <c r="A99">
        <v>689</v>
      </c>
      <c r="B99" t="s">
        <v>219</v>
      </c>
      <c r="C99" t="s">
        <v>223</v>
      </c>
      <c r="D99" t="s">
        <v>222</v>
      </c>
      <c r="E99">
        <v>7</v>
      </c>
    </row>
    <row r="100" spans="1:5" x14ac:dyDescent="0.3">
      <c r="A100">
        <v>816</v>
      </c>
      <c r="B100" t="s">
        <v>219</v>
      </c>
      <c r="C100" t="s">
        <v>223</v>
      </c>
      <c r="D100" t="s">
        <v>222</v>
      </c>
      <c r="E100">
        <v>0</v>
      </c>
    </row>
    <row r="101" spans="1:5" x14ac:dyDescent="0.3">
      <c r="A101">
        <v>826</v>
      </c>
      <c r="B101" t="s">
        <v>219</v>
      </c>
      <c r="C101" t="s">
        <v>223</v>
      </c>
      <c r="D101" t="s">
        <v>222</v>
      </c>
      <c r="E101">
        <v>4</v>
      </c>
    </row>
    <row r="102" spans="1:5" x14ac:dyDescent="0.3">
      <c r="A102">
        <v>843</v>
      </c>
      <c r="B102" t="s">
        <v>219</v>
      </c>
      <c r="C102" t="s">
        <v>223</v>
      </c>
      <c r="D102" t="s">
        <v>222</v>
      </c>
      <c r="E102">
        <v>3</v>
      </c>
    </row>
    <row r="103" spans="1:5" x14ac:dyDescent="0.3">
      <c r="A103">
        <v>601</v>
      </c>
      <c r="B103" t="s">
        <v>219</v>
      </c>
      <c r="C103" t="s">
        <v>223</v>
      </c>
      <c r="D103" t="s">
        <v>221</v>
      </c>
      <c r="E103">
        <v>2</v>
      </c>
    </row>
    <row r="104" spans="1:5" x14ac:dyDescent="0.3">
      <c r="A104">
        <v>855</v>
      </c>
      <c r="B104" t="s">
        <v>219</v>
      </c>
      <c r="C104" t="s">
        <v>223</v>
      </c>
      <c r="D104" t="s">
        <v>221</v>
      </c>
      <c r="E104">
        <v>6</v>
      </c>
    </row>
    <row r="105" spans="1:5" x14ac:dyDescent="0.3">
      <c r="A105">
        <v>834</v>
      </c>
      <c r="B105" t="s">
        <v>219</v>
      </c>
      <c r="C105" t="s">
        <v>223</v>
      </c>
      <c r="D105" t="s">
        <v>221</v>
      </c>
      <c r="E105">
        <v>1</v>
      </c>
    </row>
    <row r="106" spans="1:5" x14ac:dyDescent="0.3">
      <c r="A106">
        <v>835</v>
      </c>
      <c r="B106" t="s">
        <v>219</v>
      </c>
      <c r="C106" t="s">
        <v>223</v>
      </c>
      <c r="D106" t="s">
        <v>221</v>
      </c>
      <c r="E106">
        <v>3</v>
      </c>
    </row>
    <row r="107" spans="1:5" x14ac:dyDescent="0.3">
      <c r="A107">
        <v>1826</v>
      </c>
      <c r="B107" t="s">
        <v>224</v>
      </c>
      <c r="C107" t="s">
        <v>223</v>
      </c>
      <c r="D107" t="s">
        <v>222</v>
      </c>
      <c r="E107">
        <v>4</v>
      </c>
    </row>
    <row r="108" spans="1:5" x14ac:dyDescent="0.3">
      <c r="A108">
        <v>1827</v>
      </c>
      <c r="B108" t="s">
        <v>224</v>
      </c>
      <c r="C108" t="s">
        <v>223</v>
      </c>
      <c r="D108" t="s">
        <v>222</v>
      </c>
      <c r="E108">
        <v>1</v>
      </c>
    </row>
    <row r="109" spans="1:5" x14ac:dyDescent="0.3">
      <c r="A109">
        <v>1828</v>
      </c>
      <c r="B109" t="s">
        <v>224</v>
      </c>
      <c r="C109" t="s">
        <v>223</v>
      </c>
      <c r="D109" t="s">
        <v>222</v>
      </c>
      <c r="E109" t="s">
        <v>228</v>
      </c>
    </row>
    <row r="110" spans="1:5" x14ac:dyDescent="0.3">
      <c r="A110">
        <v>1829</v>
      </c>
      <c r="B110" t="s">
        <v>224</v>
      </c>
      <c r="C110" t="s">
        <v>223</v>
      </c>
      <c r="D110" t="s">
        <v>222</v>
      </c>
      <c r="E110">
        <v>2</v>
      </c>
    </row>
    <row r="111" spans="1:5" x14ac:dyDescent="0.3">
      <c r="A111">
        <v>1868</v>
      </c>
      <c r="B111" t="s">
        <v>224</v>
      </c>
      <c r="C111" t="s">
        <v>223</v>
      </c>
      <c r="D111" t="s">
        <v>221</v>
      </c>
      <c r="E111">
        <v>5</v>
      </c>
    </row>
    <row r="112" spans="1:5" x14ac:dyDescent="0.3">
      <c r="A112">
        <v>1870</v>
      </c>
      <c r="B112" t="s">
        <v>224</v>
      </c>
      <c r="C112" t="s">
        <v>223</v>
      </c>
      <c r="D112" t="s">
        <v>221</v>
      </c>
      <c r="E112">
        <v>2</v>
      </c>
    </row>
    <row r="113" spans="1:5" x14ac:dyDescent="0.3">
      <c r="A113">
        <v>1832</v>
      </c>
      <c r="B113" t="s">
        <v>224</v>
      </c>
      <c r="C113" t="s">
        <v>223</v>
      </c>
      <c r="D113" t="s">
        <v>221</v>
      </c>
      <c r="E113">
        <v>0</v>
      </c>
    </row>
    <row r="114" spans="1:5" x14ac:dyDescent="0.3">
      <c r="A114">
        <v>1871</v>
      </c>
      <c r="B114" t="s">
        <v>224</v>
      </c>
      <c r="C114" t="s">
        <v>223</v>
      </c>
      <c r="D114" t="s">
        <v>221</v>
      </c>
      <c r="E114">
        <v>2</v>
      </c>
    </row>
    <row r="115" spans="1:5" x14ac:dyDescent="0.3">
      <c r="A115">
        <v>1835</v>
      </c>
      <c r="B115" t="s">
        <v>224</v>
      </c>
      <c r="C115" t="s">
        <v>223</v>
      </c>
      <c r="D115" t="s">
        <v>222</v>
      </c>
      <c r="E115">
        <v>6</v>
      </c>
    </row>
    <row r="116" spans="1:5" x14ac:dyDescent="0.3">
      <c r="A116">
        <v>1836</v>
      </c>
      <c r="B116" t="s">
        <v>224</v>
      </c>
      <c r="C116" t="s">
        <v>223</v>
      </c>
      <c r="D116" t="s">
        <v>222</v>
      </c>
      <c r="E116">
        <v>4</v>
      </c>
    </row>
    <row r="117" spans="1:5" x14ac:dyDescent="0.3">
      <c r="A117">
        <v>1837</v>
      </c>
      <c r="B117" t="s">
        <v>224</v>
      </c>
      <c r="C117" t="s">
        <v>223</v>
      </c>
      <c r="D117" t="s">
        <v>222</v>
      </c>
      <c r="E117" t="s">
        <v>228</v>
      </c>
    </row>
    <row r="118" spans="1:5" x14ac:dyDescent="0.3">
      <c r="A118">
        <v>1816</v>
      </c>
      <c r="B118" t="s">
        <v>224</v>
      </c>
      <c r="C118" t="s">
        <v>223</v>
      </c>
      <c r="D118" t="s">
        <v>222</v>
      </c>
      <c r="E118">
        <v>4</v>
      </c>
    </row>
    <row r="119" spans="1:5" x14ac:dyDescent="0.3">
      <c r="A119">
        <v>1825</v>
      </c>
      <c r="B119" t="s">
        <v>224</v>
      </c>
      <c r="C119" t="s">
        <v>223</v>
      </c>
      <c r="D119" t="s">
        <v>222</v>
      </c>
      <c r="E119" t="s">
        <v>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072D-2D62-40E9-8803-78A8A6F152C8}">
  <dimension ref="A1:B124"/>
  <sheetViews>
    <sheetView topLeftCell="A106" workbookViewId="0">
      <selection activeCell="A124" sqref="A124"/>
    </sheetView>
  </sheetViews>
  <sheetFormatPr defaultRowHeight="14.4" x14ac:dyDescent="0.3"/>
  <sheetData>
    <row r="1" spans="1:2" x14ac:dyDescent="0.3">
      <c r="A1" s="27">
        <v>231</v>
      </c>
      <c r="B1">
        <v>231</v>
      </c>
    </row>
    <row r="2" spans="1:2" x14ac:dyDescent="0.3">
      <c r="A2" s="27">
        <v>247</v>
      </c>
      <c r="B2">
        <v>247</v>
      </c>
    </row>
    <row r="3" spans="1:2" x14ac:dyDescent="0.3">
      <c r="A3" s="27">
        <v>248</v>
      </c>
      <c r="B3">
        <v>248</v>
      </c>
    </row>
    <row r="4" spans="1:2" x14ac:dyDescent="0.3">
      <c r="A4" s="27">
        <v>267</v>
      </c>
      <c r="B4">
        <v>267</v>
      </c>
    </row>
    <row r="5" spans="1:2" x14ac:dyDescent="0.3">
      <c r="A5" s="27">
        <v>268</v>
      </c>
      <c r="B5">
        <v>268</v>
      </c>
    </row>
    <row r="6" spans="1:2" x14ac:dyDescent="0.3">
      <c r="A6" s="27">
        <v>269</v>
      </c>
      <c r="B6">
        <v>269</v>
      </c>
    </row>
    <row r="7" spans="1:2" x14ac:dyDescent="0.3">
      <c r="A7" s="27">
        <v>274</v>
      </c>
      <c r="B7">
        <v>274</v>
      </c>
    </row>
    <row r="8" spans="1:2" x14ac:dyDescent="0.3">
      <c r="A8" s="27">
        <v>277</v>
      </c>
      <c r="B8">
        <v>277</v>
      </c>
    </row>
    <row r="9" spans="1:2" x14ac:dyDescent="0.3">
      <c r="A9" s="27">
        <v>280</v>
      </c>
      <c r="B9">
        <v>280</v>
      </c>
    </row>
    <row r="10" spans="1:2" x14ac:dyDescent="0.3">
      <c r="A10" s="27">
        <v>282</v>
      </c>
      <c r="B10">
        <v>282</v>
      </c>
    </row>
    <row r="11" spans="1:2" x14ac:dyDescent="0.3">
      <c r="A11" s="27">
        <v>283</v>
      </c>
      <c r="B11">
        <v>283</v>
      </c>
    </row>
    <row r="12" spans="1:2" x14ac:dyDescent="0.3">
      <c r="A12" s="27">
        <v>287</v>
      </c>
      <c r="B12">
        <v>287</v>
      </c>
    </row>
    <row r="13" spans="1:2" x14ac:dyDescent="0.3">
      <c r="A13" s="27">
        <v>289</v>
      </c>
      <c r="B13">
        <v>289</v>
      </c>
    </row>
    <row r="14" spans="1:2" x14ac:dyDescent="0.3">
      <c r="A14" s="27">
        <v>300</v>
      </c>
      <c r="B14">
        <v>300</v>
      </c>
    </row>
    <row r="15" spans="1:2" x14ac:dyDescent="0.3">
      <c r="A15" s="27">
        <v>303</v>
      </c>
      <c r="B15">
        <v>303</v>
      </c>
    </row>
    <row r="16" spans="1:2" x14ac:dyDescent="0.3">
      <c r="A16" s="27">
        <v>304</v>
      </c>
      <c r="B16">
        <v>304</v>
      </c>
    </row>
    <row r="17" spans="1:2" x14ac:dyDescent="0.3">
      <c r="A17" s="27">
        <v>308</v>
      </c>
      <c r="B17">
        <v>308</v>
      </c>
    </row>
    <row r="18" spans="1:2" x14ac:dyDescent="0.3">
      <c r="A18" s="27">
        <v>315</v>
      </c>
      <c r="B18">
        <v>315</v>
      </c>
    </row>
    <row r="19" spans="1:2" x14ac:dyDescent="0.3">
      <c r="A19" s="27">
        <v>316</v>
      </c>
      <c r="B19">
        <v>316</v>
      </c>
    </row>
    <row r="20" spans="1:2" x14ac:dyDescent="0.3">
      <c r="A20" s="27">
        <v>317</v>
      </c>
      <c r="B20">
        <v>317</v>
      </c>
    </row>
    <row r="21" spans="1:2" x14ac:dyDescent="0.3">
      <c r="A21" s="7">
        <v>401</v>
      </c>
      <c r="B21">
        <v>401</v>
      </c>
    </row>
    <row r="22" spans="1:2" x14ac:dyDescent="0.3">
      <c r="A22" s="7">
        <v>410</v>
      </c>
      <c r="B22">
        <v>410</v>
      </c>
    </row>
    <row r="23" spans="1:2" x14ac:dyDescent="0.3">
      <c r="A23" s="7">
        <v>411</v>
      </c>
      <c r="B23">
        <v>411</v>
      </c>
    </row>
    <row r="24" spans="1:2" x14ac:dyDescent="0.3">
      <c r="A24" s="7">
        <v>415</v>
      </c>
      <c r="B24">
        <v>415</v>
      </c>
    </row>
    <row r="25" spans="1:2" x14ac:dyDescent="0.3">
      <c r="A25" s="22">
        <v>418</v>
      </c>
      <c r="B25">
        <v>418</v>
      </c>
    </row>
    <row r="26" spans="1:2" x14ac:dyDescent="0.3">
      <c r="A26" s="22">
        <v>423</v>
      </c>
      <c r="B26">
        <v>423</v>
      </c>
    </row>
    <row r="27" spans="1:2" x14ac:dyDescent="0.3">
      <c r="A27" s="22">
        <v>424</v>
      </c>
      <c r="B27">
        <v>424</v>
      </c>
    </row>
    <row r="28" spans="1:2" x14ac:dyDescent="0.3">
      <c r="A28" s="22">
        <v>430</v>
      </c>
      <c r="B28">
        <v>430</v>
      </c>
    </row>
    <row r="29" spans="1:2" x14ac:dyDescent="0.3">
      <c r="A29" s="22">
        <v>431</v>
      </c>
      <c r="B29">
        <v>431</v>
      </c>
    </row>
    <row r="30" spans="1:2" x14ac:dyDescent="0.3">
      <c r="A30" s="7">
        <v>433</v>
      </c>
      <c r="B30">
        <v>433</v>
      </c>
    </row>
    <row r="31" spans="1:2" x14ac:dyDescent="0.3">
      <c r="A31" s="7">
        <v>434</v>
      </c>
      <c r="B31">
        <v>434</v>
      </c>
    </row>
    <row r="32" spans="1:2" x14ac:dyDescent="0.3">
      <c r="A32" s="7">
        <v>439</v>
      </c>
      <c r="B32">
        <v>439</v>
      </c>
    </row>
    <row r="33" spans="1:2" x14ac:dyDescent="0.3">
      <c r="A33" s="7">
        <v>445</v>
      </c>
      <c r="B33">
        <v>445</v>
      </c>
    </row>
    <row r="34" spans="1:2" x14ac:dyDescent="0.3">
      <c r="A34" s="7">
        <v>446</v>
      </c>
      <c r="B34">
        <v>446</v>
      </c>
    </row>
    <row r="35" spans="1:2" x14ac:dyDescent="0.3">
      <c r="A35" s="7">
        <v>448</v>
      </c>
      <c r="B35">
        <v>448</v>
      </c>
    </row>
    <row r="36" spans="1:2" x14ac:dyDescent="0.3">
      <c r="A36" s="22">
        <v>449</v>
      </c>
      <c r="B36">
        <v>449</v>
      </c>
    </row>
    <row r="37" spans="1:2" x14ac:dyDescent="0.3">
      <c r="A37" s="7">
        <v>450</v>
      </c>
      <c r="B37">
        <v>450</v>
      </c>
    </row>
    <row r="38" spans="1:2" x14ac:dyDescent="0.3">
      <c r="A38" s="22">
        <v>452</v>
      </c>
      <c r="B38">
        <v>452</v>
      </c>
    </row>
    <row r="39" spans="1:2" x14ac:dyDescent="0.3">
      <c r="A39" s="22">
        <v>453</v>
      </c>
      <c r="B39">
        <v>453</v>
      </c>
    </row>
    <row r="40" spans="1:2" x14ac:dyDescent="0.3">
      <c r="A40" s="22">
        <v>458</v>
      </c>
      <c r="B40">
        <v>458</v>
      </c>
    </row>
    <row r="41" spans="1:2" x14ac:dyDescent="0.3">
      <c r="A41" s="22">
        <v>464</v>
      </c>
      <c r="B41">
        <v>464</v>
      </c>
    </row>
    <row r="42" spans="1:2" x14ac:dyDescent="0.3">
      <c r="A42" s="22">
        <v>469</v>
      </c>
      <c r="B42">
        <v>469</v>
      </c>
    </row>
    <row r="43" spans="1:2" x14ac:dyDescent="0.3">
      <c r="A43" s="22">
        <v>470</v>
      </c>
      <c r="B43">
        <v>470</v>
      </c>
    </row>
    <row r="44" spans="1:2" x14ac:dyDescent="0.3">
      <c r="A44" s="22">
        <v>473</v>
      </c>
      <c r="B44">
        <v>473</v>
      </c>
    </row>
    <row r="45" spans="1:2" x14ac:dyDescent="0.3">
      <c r="A45" s="7">
        <v>476</v>
      </c>
      <c r="B45">
        <v>476</v>
      </c>
    </row>
    <row r="46" spans="1:2" x14ac:dyDescent="0.3">
      <c r="A46" s="7">
        <v>481</v>
      </c>
      <c r="B46">
        <v>481</v>
      </c>
    </row>
    <row r="47" spans="1:2" x14ac:dyDescent="0.3">
      <c r="A47" s="7">
        <v>483</v>
      </c>
      <c r="B47">
        <v>483</v>
      </c>
    </row>
    <row r="48" spans="1:2" x14ac:dyDescent="0.3">
      <c r="A48" s="22">
        <v>485</v>
      </c>
      <c r="B48">
        <v>485</v>
      </c>
    </row>
    <row r="49" spans="1:2" x14ac:dyDescent="0.3">
      <c r="A49" s="22">
        <v>486</v>
      </c>
      <c r="B49">
        <v>486</v>
      </c>
    </row>
    <row r="50" spans="1:2" x14ac:dyDescent="0.3">
      <c r="A50" s="22">
        <v>490</v>
      </c>
      <c r="B50">
        <v>490</v>
      </c>
    </row>
    <row r="51" spans="1:2" x14ac:dyDescent="0.3">
      <c r="A51" s="33">
        <v>491</v>
      </c>
      <c r="B51">
        <v>491</v>
      </c>
    </row>
    <row r="52" spans="1:2" x14ac:dyDescent="0.3">
      <c r="A52" s="22">
        <v>492</v>
      </c>
      <c r="B52">
        <v>492</v>
      </c>
    </row>
    <row r="53" spans="1:2" x14ac:dyDescent="0.3">
      <c r="A53" s="22">
        <v>493</v>
      </c>
      <c r="B53">
        <v>493</v>
      </c>
    </row>
    <row r="54" spans="1:2" x14ac:dyDescent="0.3">
      <c r="A54" s="22">
        <v>495</v>
      </c>
      <c r="B54">
        <v>495</v>
      </c>
    </row>
    <row r="55" spans="1:2" x14ac:dyDescent="0.3">
      <c r="A55" s="7">
        <v>500</v>
      </c>
      <c r="B55">
        <v>500</v>
      </c>
    </row>
    <row r="56" spans="1:2" x14ac:dyDescent="0.3">
      <c r="A56" s="33">
        <v>504</v>
      </c>
      <c r="B56">
        <v>504</v>
      </c>
    </row>
    <row r="57" spans="1:2" x14ac:dyDescent="0.3">
      <c r="A57" s="33">
        <v>515</v>
      </c>
      <c r="B57">
        <v>515</v>
      </c>
    </row>
    <row r="58" spans="1:2" x14ac:dyDescent="0.3">
      <c r="A58" s="33">
        <v>519</v>
      </c>
      <c r="B58">
        <v>519</v>
      </c>
    </row>
    <row r="59" spans="1:2" x14ac:dyDescent="0.3">
      <c r="A59" s="33">
        <v>528</v>
      </c>
      <c r="B59">
        <v>528</v>
      </c>
    </row>
    <row r="60" spans="1:2" x14ac:dyDescent="0.3">
      <c r="A60" s="33">
        <v>542</v>
      </c>
      <c r="B60">
        <v>542</v>
      </c>
    </row>
    <row r="61" spans="1:2" x14ac:dyDescent="0.3">
      <c r="A61" s="33">
        <v>545</v>
      </c>
      <c r="B61">
        <v>545</v>
      </c>
    </row>
    <row r="62" spans="1:2" x14ac:dyDescent="0.3">
      <c r="A62" s="22">
        <v>550</v>
      </c>
      <c r="B62">
        <v>550</v>
      </c>
    </row>
    <row r="63" spans="1:2" x14ac:dyDescent="0.3">
      <c r="A63" s="33">
        <v>559</v>
      </c>
      <c r="B63">
        <v>559</v>
      </c>
    </row>
    <row r="64" spans="1:2" x14ac:dyDescent="0.3">
      <c r="A64" s="33">
        <v>560</v>
      </c>
      <c r="B64">
        <v>560</v>
      </c>
    </row>
    <row r="65" spans="1:2" x14ac:dyDescent="0.3">
      <c r="A65" s="33">
        <v>562</v>
      </c>
      <c r="B65">
        <v>562</v>
      </c>
    </row>
    <row r="66" spans="1:2" x14ac:dyDescent="0.3">
      <c r="A66" s="33">
        <v>568</v>
      </c>
      <c r="B66">
        <v>568</v>
      </c>
    </row>
    <row r="67" spans="1:2" x14ac:dyDescent="0.3">
      <c r="A67" s="33">
        <v>570</v>
      </c>
      <c r="B67">
        <v>570</v>
      </c>
    </row>
    <row r="68" spans="1:2" x14ac:dyDescent="0.3">
      <c r="A68" s="33">
        <v>574</v>
      </c>
      <c r="B68">
        <v>574</v>
      </c>
    </row>
    <row r="69" spans="1:2" x14ac:dyDescent="0.3">
      <c r="A69" s="22">
        <v>575</v>
      </c>
      <c r="B69">
        <v>575</v>
      </c>
    </row>
    <row r="70" spans="1:2" x14ac:dyDescent="0.3">
      <c r="A70" s="22">
        <v>576</v>
      </c>
      <c r="B70">
        <v>576</v>
      </c>
    </row>
    <row r="71" spans="1:2" x14ac:dyDescent="0.3">
      <c r="A71" s="22">
        <v>577</v>
      </c>
      <c r="B71">
        <v>577</v>
      </c>
    </row>
    <row r="72" spans="1:2" x14ac:dyDescent="0.3">
      <c r="A72" s="70">
        <v>578</v>
      </c>
      <c r="B72">
        <v>578</v>
      </c>
    </row>
    <row r="73" spans="1:2" x14ac:dyDescent="0.3">
      <c r="A73" s="70">
        <v>601</v>
      </c>
      <c r="B73">
        <v>601</v>
      </c>
    </row>
    <row r="74" spans="1:2" x14ac:dyDescent="0.3">
      <c r="A74" s="27">
        <v>604</v>
      </c>
      <c r="B74">
        <v>604</v>
      </c>
    </row>
    <row r="75" spans="1:2" x14ac:dyDescent="0.3">
      <c r="A75" s="27">
        <v>612</v>
      </c>
      <c r="B75">
        <v>612</v>
      </c>
    </row>
    <row r="76" spans="1:2" x14ac:dyDescent="0.3">
      <c r="A76" s="27">
        <v>614</v>
      </c>
      <c r="B76">
        <v>614</v>
      </c>
    </row>
    <row r="77" spans="1:2" x14ac:dyDescent="0.3">
      <c r="A77" s="27">
        <v>617</v>
      </c>
      <c r="B77">
        <v>617</v>
      </c>
    </row>
    <row r="78" spans="1:2" x14ac:dyDescent="0.3">
      <c r="A78" s="27">
        <v>669</v>
      </c>
      <c r="B78">
        <v>669</v>
      </c>
    </row>
    <row r="79" spans="1:2" x14ac:dyDescent="0.3">
      <c r="A79" s="27">
        <v>674</v>
      </c>
      <c r="B79">
        <v>674</v>
      </c>
    </row>
    <row r="80" spans="1:2" x14ac:dyDescent="0.3">
      <c r="A80" s="27">
        <v>676</v>
      </c>
      <c r="B80">
        <v>676</v>
      </c>
    </row>
    <row r="81" spans="1:2" x14ac:dyDescent="0.3">
      <c r="A81" s="27">
        <v>677</v>
      </c>
      <c r="B81">
        <v>677</v>
      </c>
    </row>
    <row r="82" spans="1:2" x14ac:dyDescent="0.3">
      <c r="A82" s="70">
        <v>689</v>
      </c>
      <c r="B82">
        <v>689</v>
      </c>
    </row>
    <row r="83" spans="1:2" x14ac:dyDescent="0.3">
      <c r="A83" s="27">
        <v>713</v>
      </c>
      <c r="B83">
        <v>713</v>
      </c>
    </row>
    <row r="84" spans="1:2" x14ac:dyDescent="0.3">
      <c r="A84" s="27">
        <v>722</v>
      </c>
      <c r="B84">
        <v>722</v>
      </c>
    </row>
    <row r="85" spans="1:2" x14ac:dyDescent="0.3">
      <c r="A85" s="22">
        <v>816</v>
      </c>
      <c r="B85">
        <v>816</v>
      </c>
    </row>
    <row r="86" spans="1:2" x14ac:dyDescent="0.3">
      <c r="A86" s="70">
        <v>826</v>
      </c>
      <c r="B86">
        <v>826</v>
      </c>
    </row>
    <row r="87" spans="1:2" x14ac:dyDescent="0.3">
      <c r="A87" s="70">
        <v>834</v>
      </c>
      <c r="B87">
        <v>834</v>
      </c>
    </row>
    <row r="88" spans="1:2" x14ac:dyDescent="0.3">
      <c r="A88" s="70">
        <v>835</v>
      </c>
      <c r="B88">
        <v>835</v>
      </c>
    </row>
    <row r="89" spans="1:2" x14ac:dyDescent="0.3">
      <c r="A89" s="70">
        <v>843</v>
      </c>
      <c r="B89">
        <v>843</v>
      </c>
    </row>
    <row r="90" spans="1:2" x14ac:dyDescent="0.3">
      <c r="A90" s="70">
        <v>855</v>
      </c>
      <c r="B90">
        <v>855</v>
      </c>
    </row>
    <row r="91" spans="1:2" x14ac:dyDescent="0.3">
      <c r="A91" s="33">
        <v>1535</v>
      </c>
      <c r="B91">
        <v>1535</v>
      </c>
    </row>
    <row r="92" spans="1:2" x14ac:dyDescent="0.3">
      <c r="B92">
        <v>1537</v>
      </c>
    </row>
    <row r="93" spans="1:2" x14ac:dyDescent="0.3">
      <c r="A93" s="33">
        <v>1540</v>
      </c>
      <c r="B93">
        <v>1540</v>
      </c>
    </row>
    <row r="94" spans="1:2" x14ac:dyDescent="0.3">
      <c r="A94" s="33">
        <v>1802</v>
      </c>
      <c r="B94">
        <v>1802</v>
      </c>
    </row>
    <row r="95" spans="1:2" x14ac:dyDescent="0.3">
      <c r="A95" s="33">
        <v>1806</v>
      </c>
      <c r="B95">
        <v>1806</v>
      </c>
    </row>
    <row r="96" spans="1:2" x14ac:dyDescent="0.3">
      <c r="A96" s="33">
        <v>1811</v>
      </c>
      <c r="B96">
        <v>1811</v>
      </c>
    </row>
    <row r="97" spans="1:2" x14ac:dyDescent="0.3">
      <c r="B97">
        <v>1816</v>
      </c>
    </row>
    <row r="98" spans="1:2" x14ac:dyDescent="0.3">
      <c r="B98">
        <v>1825</v>
      </c>
    </row>
    <row r="99" spans="1:2" x14ac:dyDescent="0.3">
      <c r="A99" s="33">
        <v>1826</v>
      </c>
      <c r="B99">
        <v>1826</v>
      </c>
    </row>
    <row r="100" spans="1:2" x14ac:dyDescent="0.3">
      <c r="A100" s="33">
        <v>1827</v>
      </c>
      <c r="B100">
        <v>1827</v>
      </c>
    </row>
    <row r="101" spans="1:2" x14ac:dyDescent="0.3">
      <c r="B101">
        <v>1828</v>
      </c>
    </row>
    <row r="102" spans="1:2" x14ac:dyDescent="0.3">
      <c r="A102" s="33">
        <v>1829</v>
      </c>
      <c r="B102">
        <v>1829</v>
      </c>
    </row>
    <row r="103" spans="1:2" x14ac:dyDescent="0.3">
      <c r="A103" s="33">
        <v>1832</v>
      </c>
      <c r="B103">
        <v>1832</v>
      </c>
    </row>
    <row r="104" spans="1:2" x14ac:dyDescent="0.3">
      <c r="A104" s="33">
        <v>1835</v>
      </c>
      <c r="B104">
        <v>1835</v>
      </c>
    </row>
    <row r="105" spans="1:2" x14ac:dyDescent="0.3">
      <c r="A105" s="33">
        <v>1836</v>
      </c>
      <c r="B105">
        <v>1836</v>
      </c>
    </row>
    <row r="106" spans="1:2" x14ac:dyDescent="0.3">
      <c r="B106">
        <v>1837</v>
      </c>
    </row>
    <row r="107" spans="1:2" x14ac:dyDescent="0.3">
      <c r="A107" s="7">
        <v>1854</v>
      </c>
      <c r="B107">
        <v>1854</v>
      </c>
    </row>
    <row r="108" spans="1:2" x14ac:dyDescent="0.3">
      <c r="A108" s="33">
        <v>1868</v>
      </c>
      <c r="B108">
        <v>1868</v>
      </c>
    </row>
    <row r="109" spans="1:2" x14ac:dyDescent="0.3">
      <c r="A109" s="33">
        <v>1870</v>
      </c>
      <c r="B109">
        <v>1870</v>
      </c>
    </row>
    <row r="110" spans="1:2" x14ac:dyDescent="0.3">
      <c r="A110" s="33">
        <v>1871</v>
      </c>
      <c r="B110">
        <v>1871</v>
      </c>
    </row>
    <row r="111" spans="1:2" x14ac:dyDescent="0.3">
      <c r="A111" s="7">
        <v>1874</v>
      </c>
      <c r="B111">
        <v>1874</v>
      </c>
    </row>
    <row r="112" spans="1:2" x14ac:dyDescent="0.3">
      <c r="A112" s="7">
        <v>1875</v>
      </c>
      <c r="B112">
        <v>1875</v>
      </c>
    </row>
    <row r="113" spans="1:2" x14ac:dyDescent="0.3">
      <c r="A113" s="7">
        <v>1877</v>
      </c>
      <c r="B113">
        <v>1877</v>
      </c>
    </row>
    <row r="114" spans="1:2" x14ac:dyDescent="0.3">
      <c r="A114" s="7">
        <v>1881</v>
      </c>
      <c r="B114">
        <v>1881</v>
      </c>
    </row>
    <row r="115" spans="1:2" x14ac:dyDescent="0.3">
      <c r="A115" s="7">
        <v>1885</v>
      </c>
      <c r="B115">
        <v>1885</v>
      </c>
    </row>
    <row r="116" spans="1:2" x14ac:dyDescent="0.3">
      <c r="A116" s="7">
        <v>1886</v>
      </c>
      <c r="B116">
        <v>1886</v>
      </c>
    </row>
    <row r="117" spans="1:2" x14ac:dyDescent="0.3">
      <c r="A117" s="7">
        <v>1894</v>
      </c>
      <c r="B117">
        <v>1894</v>
      </c>
    </row>
    <row r="118" spans="1:2" x14ac:dyDescent="0.3">
      <c r="A118" s="7">
        <v>1899</v>
      </c>
      <c r="B118">
        <v>1899</v>
      </c>
    </row>
    <row r="119" spans="1:2" x14ac:dyDescent="0.3">
      <c r="A119" s="7">
        <v>1900</v>
      </c>
      <c r="B119">
        <v>1900</v>
      </c>
    </row>
    <row r="121" spans="1:2" x14ac:dyDescent="0.3">
      <c r="A121" s="7"/>
    </row>
    <row r="122" spans="1:2" x14ac:dyDescent="0.3">
      <c r="A122" s="7"/>
    </row>
    <row r="123" spans="1:2" x14ac:dyDescent="0.3">
      <c r="A123" s="33">
        <v>1866</v>
      </c>
    </row>
    <row r="124" spans="1:2" x14ac:dyDescent="0.3">
      <c r="A124" s="33">
        <v>1534</v>
      </c>
    </row>
  </sheetData>
  <sortState xmlns:xlrd2="http://schemas.microsoft.com/office/spreadsheetml/2017/richdata2" ref="B1:B122">
    <sortCondition ref="B1:B122"/>
  </sortState>
  <conditionalFormatting sqref="A26:A48">
    <cfRule type="duplicateValues" dxfId="26" priority="10"/>
  </conditionalFormatting>
  <conditionalFormatting sqref="A49">
    <cfRule type="duplicateValues" dxfId="25" priority="8"/>
  </conditionalFormatting>
  <conditionalFormatting sqref="A50">
    <cfRule type="duplicateValues" dxfId="24" priority="9"/>
  </conditionalFormatting>
  <conditionalFormatting sqref="A51">
    <cfRule type="duplicateValues" dxfId="23" priority="7"/>
  </conditionalFormatting>
  <conditionalFormatting sqref="A52">
    <cfRule type="duplicateValues" dxfId="22" priority="6"/>
  </conditionalFormatting>
  <conditionalFormatting sqref="A53">
    <cfRule type="duplicateValues" dxfId="21" priority="5"/>
  </conditionalFormatting>
  <conditionalFormatting sqref="A54">
    <cfRule type="duplicateValues" dxfId="20" priority="4"/>
  </conditionalFormatting>
  <conditionalFormatting sqref="A55">
    <cfRule type="duplicateValues" dxfId="19" priority="3"/>
  </conditionalFormatting>
  <conditionalFormatting sqref="A56">
    <cfRule type="duplicateValues" dxfId="18" priority="2"/>
  </conditionalFormatting>
  <conditionalFormatting sqref="A57">
    <cfRule type="duplicateValues" dxfId="17" priority="1"/>
  </conditionalFormatting>
  <conditionalFormatting sqref="A58:A63">
    <cfRule type="duplicateValues" dxfId="16" priority="11"/>
  </conditionalFormatting>
  <conditionalFormatting sqref="A64:A88">
    <cfRule type="duplicateValues" dxfId="15" priority="12"/>
  </conditionalFormatting>
  <conditionalFormatting sqref="A121:A122">
    <cfRule type="duplicateValues" dxfId="14" priority="404"/>
  </conditionalFormatting>
  <conditionalFormatting sqref="A93:A96 A89:A91 A99:A100 A102:A105 A123:A124 A107:A119">
    <cfRule type="duplicateValues" dxfId="13" priority="40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96FA-BD4A-4834-ACDB-065059BEBD6F}">
  <dimension ref="A1:AG117"/>
  <sheetViews>
    <sheetView tabSelected="1" workbookViewId="0">
      <selection activeCell="I92" sqref="I92:Q92"/>
    </sheetView>
  </sheetViews>
  <sheetFormatPr defaultRowHeight="14.4" x14ac:dyDescent="0.3"/>
  <sheetData>
    <row r="1" spans="1:33" ht="41.4" x14ac:dyDescent="0.3">
      <c r="A1" s="60"/>
      <c r="B1" s="60" t="s">
        <v>225</v>
      </c>
      <c r="C1" s="60" t="s">
        <v>226</v>
      </c>
      <c r="D1" s="60" t="s">
        <v>227</v>
      </c>
      <c r="E1" s="60" t="s">
        <v>229</v>
      </c>
      <c r="F1" s="66" t="s">
        <v>191</v>
      </c>
      <c r="G1" s="66" t="s">
        <v>192</v>
      </c>
      <c r="H1" s="66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t="s">
        <v>217</v>
      </c>
      <c r="AG1" t="s">
        <v>218</v>
      </c>
    </row>
    <row r="2" spans="1:33" x14ac:dyDescent="0.3">
      <c r="A2" s="27">
        <v>231</v>
      </c>
      <c r="B2" s="27" t="str">
        <f>VLOOKUP($A2, Sheet5!$A$1:$E$119,2,FALSE)</f>
        <v>Healthy</v>
      </c>
      <c r="C2" s="27" t="str">
        <f>VLOOKUP($A2, Sheet5!$A$1:$E$119,3,FALSE)</f>
        <v>otu_1</v>
      </c>
      <c r="D2" s="27" t="str">
        <f>VLOOKUP($A2, Sheet5!$A$1:$E$119,4,FALSE)</f>
        <v>M</v>
      </c>
      <c r="E2" s="27">
        <f>VLOOKUP($A2, Sheet5!$A$1:$E$119,5,FALSE)</f>
        <v>2</v>
      </c>
      <c r="F2" s="67">
        <v>0.39825900000000003</v>
      </c>
      <c r="G2" s="67">
        <v>0.27454800000000001</v>
      </c>
      <c r="H2" s="67">
        <v>2.8333126934984524E-2</v>
      </c>
      <c r="R2">
        <v>6.96</v>
      </c>
      <c r="S2">
        <v>3.8280000000000002E-2</v>
      </c>
      <c r="T2">
        <v>0.27213599999999999</v>
      </c>
      <c r="U2">
        <v>5.8324799999999994</v>
      </c>
      <c r="V2">
        <v>2.4899999999999998</v>
      </c>
      <c r="W2">
        <v>8.3663999999999988E-2</v>
      </c>
      <c r="X2">
        <v>3.5357999999999994E-2</v>
      </c>
      <c r="Y2">
        <v>1.8027600000000001</v>
      </c>
      <c r="Z2">
        <v>28.4</v>
      </c>
      <c r="AA2">
        <v>0.45724000000000004</v>
      </c>
      <c r="AB2">
        <v>0.32659999999999995</v>
      </c>
      <c r="AD2">
        <v>2.08</v>
      </c>
      <c r="AE2">
        <v>0.120848</v>
      </c>
      <c r="AF2">
        <v>6.0528000000000005E-2</v>
      </c>
      <c r="AG2">
        <v>1.32704</v>
      </c>
    </row>
    <row r="3" spans="1:33" x14ac:dyDescent="0.3">
      <c r="A3" s="27">
        <v>247</v>
      </c>
      <c r="B3" s="27" t="str">
        <f>VLOOKUP($A3, Sheet5!$A$1:$E$119,2,FALSE)</f>
        <v>Healthy</v>
      </c>
      <c r="C3" s="27" t="str">
        <f>VLOOKUP($A3, Sheet5!$A$1:$E$119,3,FALSE)</f>
        <v>otu_1</v>
      </c>
      <c r="D3" s="27" t="str">
        <f>VLOOKUP($A3, Sheet5!$A$1:$E$119,4,FALSE)</f>
        <v>F</v>
      </c>
      <c r="E3" s="27">
        <f>VLOOKUP($A3, Sheet5!$A$1:$E$119,5,FALSE)</f>
        <v>1</v>
      </c>
      <c r="F3" s="67">
        <v>2.1172000000000004</v>
      </c>
      <c r="G3" s="67">
        <v>0.38710000000000006</v>
      </c>
      <c r="H3" s="67">
        <v>2.8888059701492538E-2</v>
      </c>
      <c r="I3">
        <v>0.59760000000000002</v>
      </c>
      <c r="J3">
        <v>5.8764000000000003</v>
      </c>
      <c r="K3">
        <v>3.3762711864406783E-2</v>
      </c>
      <c r="L3">
        <v>1.6686000000000001</v>
      </c>
      <c r="M3">
        <v>0.24205000000000002</v>
      </c>
      <c r="N3">
        <v>1.494135802469136E-2</v>
      </c>
      <c r="O3">
        <v>1.4658999999999998</v>
      </c>
      <c r="P3">
        <v>6.6339999999999996E-2</v>
      </c>
      <c r="Q3">
        <v>4.5255474452554748E-2</v>
      </c>
      <c r="R3">
        <v>14.129999999999999</v>
      </c>
      <c r="S3">
        <v>0.44792099999999996</v>
      </c>
      <c r="T3">
        <v>1.1360519999999998</v>
      </c>
      <c r="U3">
        <v>7.3758600000000003</v>
      </c>
      <c r="V3">
        <v>10.08</v>
      </c>
      <c r="W3">
        <v>0.48988800000000005</v>
      </c>
      <c r="X3">
        <v>2.6308800000000003</v>
      </c>
      <c r="Y3">
        <v>5.2416</v>
      </c>
      <c r="Z3">
        <v>18.600000000000001</v>
      </c>
      <c r="AA3">
        <v>0.57288000000000006</v>
      </c>
      <c r="AB3">
        <v>1.7372400000000001</v>
      </c>
      <c r="AC3">
        <v>6.3798000000000004</v>
      </c>
      <c r="AD3">
        <v>27.6</v>
      </c>
      <c r="AE3">
        <v>1.0902000000000001</v>
      </c>
      <c r="AF3">
        <v>0.84731999999999996</v>
      </c>
      <c r="AG3">
        <v>12.696000000000002</v>
      </c>
    </row>
    <row r="4" spans="1:33" x14ac:dyDescent="0.3">
      <c r="A4" s="27">
        <v>248</v>
      </c>
      <c r="B4" s="27" t="str">
        <f>VLOOKUP($A4, Sheet5!$A$1:$E$119,2,FALSE)</f>
        <v>Healthy</v>
      </c>
      <c r="C4" s="27" t="str">
        <f>VLOOKUP($A4, Sheet5!$A$1:$E$119,3,FALSE)</f>
        <v>otu_1</v>
      </c>
      <c r="D4" s="27" t="str">
        <f>VLOOKUP($A4, Sheet5!$A$1:$E$119,4,FALSE)</f>
        <v>F</v>
      </c>
      <c r="E4" s="27">
        <f>VLOOKUP($A4, Sheet5!$A$1:$E$119,5,FALSE)</f>
        <v>0</v>
      </c>
      <c r="F4" s="67">
        <v>1.8094999999999999</v>
      </c>
      <c r="G4" s="67">
        <v>0.32571</v>
      </c>
      <c r="H4" s="67">
        <v>5.9219999999999995E-2</v>
      </c>
      <c r="I4" s="95">
        <v>0.129</v>
      </c>
      <c r="J4" s="95">
        <v>1.0836000000000001</v>
      </c>
      <c r="K4" s="95">
        <v>7.6785714285714278E-3</v>
      </c>
      <c r="L4" s="96"/>
      <c r="M4" s="96"/>
      <c r="N4" s="96"/>
      <c r="O4">
        <v>1.6804099999999997</v>
      </c>
      <c r="P4">
        <v>0.21473000000000003</v>
      </c>
      <c r="Q4">
        <v>0.12778429073856978</v>
      </c>
      <c r="R4">
        <v>26.5</v>
      </c>
      <c r="S4">
        <v>1.9662999999999999</v>
      </c>
      <c r="T4">
        <v>2.1597500000000003</v>
      </c>
      <c r="U4">
        <v>10.970999999999998</v>
      </c>
      <c r="V4">
        <v>23.1</v>
      </c>
      <c r="W4">
        <v>1.6377899999999999</v>
      </c>
      <c r="X4">
        <v>1.1919600000000001</v>
      </c>
      <c r="Y4">
        <v>11.0649</v>
      </c>
      <c r="Z4">
        <v>26.7</v>
      </c>
      <c r="AA4">
        <v>0.69420000000000004</v>
      </c>
      <c r="AB4">
        <v>1.82361</v>
      </c>
      <c r="AC4">
        <v>7.8497999999999992</v>
      </c>
      <c r="AD4">
        <v>14.740000000000002</v>
      </c>
      <c r="AE4">
        <v>0.41714200000000007</v>
      </c>
      <c r="AF4">
        <v>1.7393200000000004</v>
      </c>
      <c r="AG4">
        <v>7.1046800000000019</v>
      </c>
    </row>
    <row r="5" spans="1:33" x14ac:dyDescent="0.3">
      <c r="A5" s="27">
        <v>267</v>
      </c>
      <c r="B5" s="27" t="str">
        <f>VLOOKUP($A5, Sheet5!$A$1:$E$119,2,FALSE)</f>
        <v>Healthy</v>
      </c>
      <c r="C5" s="27" t="str">
        <f>VLOOKUP($A5, Sheet5!$A$1:$E$119,3,FALSE)</f>
        <v>otu_1</v>
      </c>
      <c r="D5" s="27" t="str">
        <f>VLOOKUP($A5, Sheet5!$A$1:$E$119,4,FALSE)</f>
        <v>M</v>
      </c>
      <c r="E5" s="27">
        <f>VLOOKUP($A5, Sheet5!$A$1:$E$119,5,FALSE)</f>
        <v>3</v>
      </c>
      <c r="F5" s="86"/>
      <c r="G5" s="86"/>
      <c r="H5" s="86"/>
      <c r="L5">
        <v>0.83726999999999985</v>
      </c>
      <c r="M5">
        <v>0.63693</v>
      </c>
      <c r="N5">
        <v>1.4377652370203163E-2</v>
      </c>
      <c r="O5">
        <v>0.96476000000000017</v>
      </c>
      <c r="P5">
        <v>0.32218000000000002</v>
      </c>
      <c r="Q5">
        <v>0.33394833948339481</v>
      </c>
      <c r="R5">
        <v>2.94</v>
      </c>
      <c r="S5">
        <v>1.4994E-2</v>
      </c>
      <c r="T5">
        <v>0.13435800000000001</v>
      </c>
      <c r="U5">
        <v>2.3755199999999999</v>
      </c>
      <c r="V5">
        <v>5.04</v>
      </c>
      <c r="W5">
        <v>3.3767999999999999E-2</v>
      </c>
      <c r="X5">
        <v>4.4856E-2</v>
      </c>
      <c r="Y5">
        <v>3.8656800000000002</v>
      </c>
      <c r="Z5">
        <v>29.3</v>
      </c>
      <c r="AA5">
        <v>7.911E-2</v>
      </c>
      <c r="AB5">
        <v>0.23733000000000001</v>
      </c>
      <c r="AD5">
        <v>2.94</v>
      </c>
      <c r="AE5">
        <v>0.10348800000000001</v>
      </c>
      <c r="AF5">
        <v>7.8497999999999998E-2</v>
      </c>
      <c r="AG5">
        <v>2.0815199999999998</v>
      </c>
    </row>
    <row r="6" spans="1:33" x14ac:dyDescent="0.3">
      <c r="A6" s="27">
        <v>268</v>
      </c>
      <c r="B6" s="27" t="str">
        <f>VLOOKUP($A6, Sheet5!$A$1:$E$119,2,FALSE)</f>
        <v>Healthy</v>
      </c>
      <c r="C6" s="27" t="str">
        <f>VLOOKUP($A6, Sheet5!$A$1:$E$119,3,FALSE)</f>
        <v>otu_1</v>
      </c>
      <c r="D6" s="27" t="str">
        <f>VLOOKUP($A6, Sheet5!$A$1:$E$119,4,FALSE)</f>
        <v>M</v>
      </c>
      <c r="E6" s="27">
        <f>VLOOKUP($A6, Sheet5!$A$1:$E$119,5,FALSE)</f>
        <v>0</v>
      </c>
      <c r="F6" s="67">
        <v>0.50068199999999996</v>
      </c>
      <c r="G6" s="67">
        <v>0.53289600000000004</v>
      </c>
      <c r="H6" s="67">
        <v>5.8112977099236643E-2</v>
      </c>
      <c r="R6">
        <v>25.849999999999998</v>
      </c>
      <c r="S6">
        <v>8.0134999999999984E-2</v>
      </c>
      <c r="T6">
        <v>0.48856499999999997</v>
      </c>
      <c r="V6">
        <v>2.4500000000000002</v>
      </c>
      <c r="W6">
        <v>0.11931500000000002</v>
      </c>
      <c r="X6">
        <v>5.0715000000000003E-2</v>
      </c>
      <c r="Y6">
        <v>1.6366000000000001</v>
      </c>
      <c r="Z6">
        <v>15.8</v>
      </c>
      <c r="AA6">
        <v>5.0560000000000001E-2</v>
      </c>
      <c r="AB6">
        <v>0.32390000000000002</v>
      </c>
      <c r="AC6">
        <v>4.9296000000000006</v>
      </c>
      <c r="AD6">
        <v>4.2</v>
      </c>
      <c r="AE6">
        <v>0.15036000000000002</v>
      </c>
      <c r="AF6">
        <v>0.14154000000000003</v>
      </c>
      <c r="AG6">
        <v>2.6795999999999998</v>
      </c>
    </row>
    <row r="7" spans="1:33" x14ac:dyDescent="0.3">
      <c r="A7" s="27">
        <v>269</v>
      </c>
      <c r="B7" s="27" t="str">
        <f>VLOOKUP($A7, Sheet5!$A$1:$E$119,2,FALSE)</f>
        <v>Healthy</v>
      </c>
      <c r="C7" s="27" t="str">
        <f>VLOOKUP($A7, Sheet5!$A$1:$E$119,3,FALSE)</f>
        <v>otu_1</v>
      </c>
      <c r="D7" s="27" t="str">
        <f>VLOOKUP($A7, Sheet5!$A$1:$E$119,4,FALSE)</f>
        <v>F</v>
      </c>
      <c r="E7" s="27">
        <f>VLOOKUP($A7, Sheet5!$A$1:$E$119,5,FALSE)</f>
        <v>3</v>
      </c>
      <c r="F7" s="67">
        <v>1.55124</v>
      </c>
      <c r="G7" s="67">
        <v>0.50964000000000009</v>
      </c>
      <c r="H7" s="67">
        <v>0.12221582733812951</v>
      </c>
      <c r="I7">
        <v>0.19028399999999998</v>
      </c>
      <c r="J7">
        <v>1.4968199999999998</v>
      </c>
      <c r="K7">
        <v>7.7038056680161946E-3</v>
      </c>
      <c r="L7">
        <v>2.0249800000000002</v>
      </c>
      <c r="M7">
        <v>0.37286000000000002</v>
      </c>
      <c r="N7">
        <v>3.7930824008138353E-2</v>
      </c>
      <c r="R7">
        <v>33.94</v>
      </c>
      <c r="S7">
        <v>5.0231200000000005</v>
      </c>
      <c r="T7">
        <v>2.7253819999999997</v>
      </c>
      <c r="U7">
        <v>18.73488</v>
      </c>
      <c r="V7">
        <v>38.07</v>
      </c>
      <c r="W7">
        <v>1.5494490000000001</v>
      </c>
      <c r="X7">
        <v>1.3857480000000002</v>
      </c>
      <c r="Y7">
        <v>26.72514</v>
      </c>
      <c r="Z7">
        <v>18.600000000000001</v>
      </c>
      <c r="AA7">
        <v>0.63240000000000007</v>
      </c>
      <c r="AB7">
        <v>1.9530000000000001</v>
      </c>
      <c r="AC7">
        <v>4.8360000000000003</v>
      </c>
      <c r="AD7">
        <v>21</v>
      </c>
      <c r="AE7">
        <v>0.76859999999999995</v>
      </c>
      <c r="AF7">
        <v>2.4990000000000001</v>
      </c>
      <c r="AG7">
        <v>9.5760000000000005</v>
      </c>
    </row>
    <row r="8" spans="1:33" x14ac:dyDescent="0.3">
      <c r="A8" s="27">
        <v>274</v>
      </c>
      <c r="B8" s="27" t="str">
        <f>VLOOKUP($A8, Sheet5!$A$1:$E$119,2,FALSE)</f>
        <v>Healthy</v>
      </c>
      <c r="C8" s="27" t="str">
        <f>VLOOKUP($A8, Sheet5!$A$1:$E$119,3,FALSE)</f>
        <v>otu_1</v>
      </c>
      <c r="D8" s="27" t="str">
        <f>VLOOKUP($A8, Sheet5!$A$1:$E$119,4,FALSE)</f>
        <v>F</v>
      </c>
      <c r="E8" s="27">
        <f>VLOOKUP($A8, Sheet5!$A$1:$E$119,5,FALSE)</f>
        <v>0</v>
      </c>
      <c r="F8" s="67">
        <v>1.1716</v>
      </c>
      <c r="G8" s="67">
        <v>0.37975999999999999</v>
      </c>
      <c r="H8" s="67">
        <v>0.13095172413793102</v>
      </c>
      <c r="I8">
        <v>0.21923199999999998</v>
      </c>
      <c r="J8">
        <v>1.5337400000000003</v>
      </c>
      <c r="K8">
        <v>6.3179250720461089E-3</v>
      </c>
      <c r="L8">
        <v>0.76024000000000003</v>
      </c>
      <c r="M8">
        <v>0.16580800000000001</v>
      </c>
      <c r="N8">
        <v>7.5026244343891404E-3</v>
      </c>
      <c r="O8">
        <v>0.75048000000000004</v>
      </c>
      <c r="P8">
        <v>0.13864800000000002</v>
      </c>
      <c r="Q8">
        <v>0.18474576271186444</v>
      </c>
      <c r="R8">
        <v>15.54</v>
      </c>
      <c r="S8">
        <v>1.48407</v>
      </c>
      <c r="T8">
        <v>2.0202</v>
      </c>
      <c r="U8">
        <v>9.0131999999999994</v>
      </c>
      <c r="V8">
        <v>24.799999999999997</v>
      </c>
      <c r="W8">
        <v>0.91511999999999982</v>
      </c>
      <c r="X8">
        <v>1.34416</v>
      </c>
      <c r="Y8">
        <v>12.399999999999999</v>
      </c>
      <c r="Z8">
        <v>26.1</v>
      </c>
      <c r="AA8">
        <v>1.00224</v>
      </c>
      <c r="AB8">
        <v>1.3023899999999999</v>
      </c>
      <c r="AC8">
        <v>9.6831000000000014</v>
      </c>
      <c r="AD8">
        <v>25.22</v>
      </c>
      <c r="AE8">
        <v>1.1248119999999999</v>
      </c>
      <c r="AF8">
        <v>1.7956639999999999</v>
      </c>
      <c r="AG8">
        <v>10.869819999999999</v>
      </c>
    </row>
    <row r="9" spans="1:33" x14ac:dyDescent="0.3">
      <c r="A9" s="27">
        <v>277</v>
      </c>
      <c r="B9" s="27" t="str">
        <f>VLOOKUP($A9, Sheet5!$A$1:$E$119,2,FALSE)</f>
        <v>Healthy</v>
      </c>
      <c r="C9" s="27" t="str">
        <f>VLOOKUP($A9, Sheet5!$A$1:$E$119,3,FALSE)</f>
        <v>otu_1</v>
      </c>
      <c r="D9" s="27" t="str">
        <f>VLOOKUP($A9, Sheet5!$A$1:$E$119,4,FALSE)</f>
        <v>M</v>
      </c>
      <c r="E9" s="27">
        <f>VLOOKUP($A9, Sheet5!$A$1:$E$119,5,FALSE)</f>
        <v>4</v>
      </c>
      <c r="F9" s="86"/>
      <c r="G9" s="86"/>
      <c r="H9" s="86"/>
      <c r="I9">
        <v>0.19949999999999998</v>
      </c>
      <c r="J9">
        <v>0.79799999999999993</v>
      </c>
      <c r="K9">
        <v>4.7499999999999999E-3</v>
      </c>
      <c r="R9">
        <v>19.940000000000001</v>
      </c>
      <c r="S9">
        <v>5.5832000000000007E-2</v>
      </c>
      <c r="T9">
        <v>0.31106400000000006</v>
      </c>
      <c r="V9">
        <v>4.25</v>
      </c>
      <c r="Z9">
        <v>13.1</v>
      </c>
      <c r="AA9">
        <v>0.37597000000000003</v>
      </c>
      <c r="AB9">
        <v>0.16899</v>
      </c>
      <c r="AD9">
        <v>4.4799999999999995</v>
      </c>
      <c r="AE9">
        <v>6.809599999999999E-2</v>
      </c>
      <c r="AF9">
        <v>4.7039999999999998E-2</v>
      </c>
      <c r="AG9">
        <v>2.4998399999999994</v>
      </c>
    </row>
    <row r="10" spans="1:33" x14ac:dyDescent="0.3">
      <c r="A10" s="27">
        <v>280</v>
      </c>
      <c r="B10" s="27" t="str">
        <f>VLOOKUP($A10, Sheet5!$A$1:$E$119,2,FALSE)</f>
        <v>Healthy</v>
      </c>
      <c r="C10" s="27" t="str">
        <f>VLOOKUP($A10, Sheet5!$A$1:$E$119,3,FALSE)</f>
        <v>otu_1</v>
      </c>
      <c r="D10" s="27" t="str">
        <f>VLOOKUP($A10, Sheet5!$A$1:$E$119,4,FALSE)</f>
        <v>M</v>
      </c>
      <c r="E10" s="27">
        <f>VLOOKUP($A10, Sheet5!$A$1:$E$119,5,FALSE)</f>
        <v>4</v>
      </c>
      <c r="F10" s="67">
        <v>2.1164000000000001</v>
      </c>
      <c r="G10" s="67">
        <v>0.68067999999999995</v>
      </c>
      <c r="H10" s="67">
        <v>9.1983783783783787E-2</v>
      </c>
      <c r="L10">
        <v>1.5371199999999998</v>
      </c>
      <c r="M10">
        <v>0.20322499999999999</v>
      </c>
      <c r="N10">
        <v>9.7704326923076928E-3</v>
      </c>
      <c r="O10">
        <v>1.6523999999999999</v>
      </c>
      <c r="P10">
        <v>0.11423999999999999</v>
      </c>
      <c r="Q10">
        <v>6.913580246913581E-2</v>
      </c>
    </row>
    <row r="11" spans="1:33" x14ac:dyDescent="0.3">
      <c r="A11" s="27">
        <v>282</v>
      </c>
      <c r="B11" s="27" t="str">
        <f>VLOOKUP($A11, Sheet5!$A$1:$E$119,2,FALSE)</f>
        <v>Healthy</v>
      </c>
      <c r="C11" s="27" t="str">
        <f>VLOOKUP($A11, Sheet5!$A$1:$E$119,3,FALSE)</f>
        <v>otu_1</v>
      </c>
      <c r="D11" s="27" t="str">
        <f>VLOOKUP($A11, Sheet5!$A$1:$E$119,4,FALSE)</f>
        <v>M</v>
      </c>
      <c r="E11" s="27">
        <f>VLOOKUP($A11, Sheet5!$A$1:$E$119,5,FALSE)</f>
        <v>0</v>
      </c>
      <c r="F11" s="60"/>
      <c r="G11" s="60"/>
      <c r="H11" s="60"/>
      <c r="I11" s="96"/>
      <c r="J11" s="96"/>
      <c r="K11" s="96"/>
      <c r="L11" s="95">
        <v>1.1870799999999999</v>
      </c>
      <c r="M11" s="95">
        <v>0.84016000000000002</v>
      </c>
      <c r="N11" s="95">
        <v>1.6702982107355865E-2</v>
      </c>
      <c r="R11">
        <v>32.799999999999997</v>
      </c>
      <c r="V11">
        <v>6.0600000000000005</v>
      </c>
      <c r="Z11">
        <v>25.1</v>
      </c>
      <c r="AD11">
        <v>3.91</v>
      </c>
      <c r="AE11">
        <v>0.21074899999999999</v>
      </c>
      <c r="AF11">
        <v>0.15522700000000003</v>
      </c>
      <c r="AG11">
        <v>1.5249000000000001</v>
      </c>
    </row>
    <row r="12" spans="1:33" x14ac:dyDescent="0.3">
      <c r="A12" s="27">
        <v>283</v>
      </c>
      <c r="B12" s="27" t="str">
        <f>VLOOKUP($A12, Sheet5!$A$1:$E$119,2,FALSE)</f>
        <v>Healthy</v>
      </c>
      <c r="C12" s="27" t="str">
        <f>VLOOKUP($A12, Sheet5!$A$1:$E$119,3,FALSE)</f>
        <v>otu_1</v>
      </c>
      <c r="D12" s="27" t="str">
        <f>VLOOKUP($A12, Sheet5!$A$1:$E$119,4,FALSE)</f>
        <v>M</v>
      </c>
      <c r="E12" s="27">
        <f>VLOOKUP($A12, Sheet5!$A$1:$E$119,5,FALSE)</f>
        <v>2</v>
      </c>
      <c r="F12" s="67">
        <v>1.375</v>
      </c>
      <c r="G12" s="67">
        <v>0.35499999999999998</v>
      </c>
      <c r="H12" s="67">
        <v>6.4545454545454545E-2</v>
      </c>
      <c r="I12">
        <v>0.36604800000000004</v>
      </c>
      <c r="J12">
        <v>1.3775999999999999</v>
      </c>
      <c r="K12">
        <v>2.6146285714285719E-2</v>
      </c>
      <c r="L12">
        <v>1.1485099999999999</v>
      </c>
      <c r="M12">
        <v>0.21396100000000001</v>
      </c>
      <c r="N12">
        <v>1.0860964467005076E-2</v>
      </c>
      <c r="O12">
        <v>2.05328</v>
      </c>
      <c r="P12">
        <v>8.0031999999999992E-2</v>
      </c>
      <c r="Q12">
        <v>3.8977635782747599E-2</v>
      </c>
      <c r="R12">
        <v>23.11</v>
      </c>
      <c r="S12">
        <v>0.96137600000000001</v>
      </c>
      <c r="T12">
        <v>2.4496599999999997</v>
      </c>
      <c r="U12">
        <v>8.4120399999999993</v>
      </c>
      <c r="V12">
        <v>23</v>
      </c>
      <c r="Z12">
        <v>26.1</v>
      </c>
      <c r="AA12">
        <v>0.79605000000000004</v>
      </c>
      <c r="AB12">
        <v>2.0958299999999999</v>
      </c>
      <c r="AC12">
        <v>8.952300000000001</v>
      </c>
      <c r="AD12">
        <v>23.93</v>
      </c>
      <c r="AE12">
        <v>0.99548800000000004</v>
      </c>
      <c r="AF12">
        <v>1.4932320000000001</v>
      </c>
      <c r="AG12">
        <v>12.85041</v>
      </c>
    </row>
    <row r="13" spans="1:33" x14ac:dyDescent="0.3">
      <c r="A13" s="27">
        <v>287</v>
      </c>
      <c r="B13" s="27" t="str">
        <f>VLOOKUP($A13, Sheet5!$A$1:$E$119,2,FALSE)</f>
        <v>Healthy</v>
      </c>
      <c r="C13" s="27" t="str">
        <f>VLOOKUP($A13, Sheet5!$A$1:$E$119,3,FALSE)</f>
        <v>otu_1</v>
      </c>
      <c r="D13" s="27" t="str">
        <f>VLOOKUP($A13, Sheet5!$A$1:$E$119,4,FALSE)</f>
        <v>M</v>
      </c>
      <c r="E13" s="27">
        <f>VLOOKUP($A13, Sheet5!$A$1:$E$119,5,FALSE)</f>
        <v>2</v>
      </c>
      <c r="F13" s="60"/>
      <c r="G13" s="60"/>
      <c r="H13" s="60"/>
      <c r="I13">
        <v>0.26207999999999998</v>
      </c>
      <c r="J13">
        <v>1.4469000000000001</v>
      </c>
      <c r="K13">
        <v>9.8898113207547163E-3</v>
      </c>
      <c r="O13">
        <v>1.5903999999999998</v>
      </c>
      <c r="P13">
        <v>0.41159999999999997</v>
      </c>
      <c r="Q13">
        <v>0.25880281690140844</v>
      </c>
      <c r="R13">
        <v>9.58</v>
      </c>
      <c r="S13">
        <v>1.8872599999999999</v>
      </c>
      <c r="T13">
        <v>0.82962800000000003</v>
      </c>
      <c r="U13">
        <v>4.8666400000000003</v>
      </c>
      <c r="V13">
        <v>1.88</v>
      </c>
      <c r="W13">
        <v>0.15528799999999998</v>
      </c>
      <c r="X13">
        <v>8.2907999999999996E-2</v>
      </c>
      <c r="Y13">
        <v>0.58091999999999988</v>
      </c>
      <c r="Z13">
        <v>3.91</v>
      </c>
      <c r="AA13">
        <v>0.20214699999999999</v>
      </c>
      <c r="AB13">
        <v>0.243202</v>
      </c>
      <c r="AC13">
        <v>0.60214000000000001</v>
      </c>
      <c r="AD13">
        <v>3.45</v>
      </c>
      <c r="AE13">
        <v>0.51060000000000005</v>
      </c>
      <c r="AF13">
        <v>0.33603</v>
      </c>
      <c r="AG13">
        <v>0.65895000000000015</v>
      </c>
    </row>
    <row r="14" spans="1:33" x14ac:dyDescent="0.3">
      <c r="A14" s="27">
        <v>289</v>
      </c>
      <c r="B14" s="27" t="str">
        <f>VLOOKUP($A14, Sheet5!$A$1:$E$119,2,FALSE)</f>
        <v>Healthy</v>
      </c>
      <c r="C14" s="27" t="str">
        <f>VLOOKUP($A14, Sheet5!$A$1:$E$119,3,FALSE)</f>
        <v>otu_1</v>
      </c>
      <c r="D14" s="27" t="str">
        <f>VLOOKUP($A14, Sheet5!$A$1:$E$119,4,FALSE)</f>
        <v>M</v>
      </c>
      <c r="E14" s="27">
        <f>VLOOKUP($A14, Sheet5!$A$1:$E$119,5,FALSE)</f>
        <v>3</v>
      </c>
      <c r="F14" s="60"/>
      <c r="G14" s="60"/>
      <c r="H14" s="60"/>
      <c r="R14">
        <v>19.850000000000001</v>
      </c>
      <c r="S14">
        <v>6.7291499999999997</v>
      </c>
      <c r="T14">
        <v>0.86546000000000012</v>
      </c>
      <c r="U14">
        <v>9.7860499999999995</v>
      </c>
    </row>
    <row r="15" spans="1:33" x14ac:dyDescent="0.3">
      <c r="A15" s="27">
        <v>300</v>
      </c>
      <c r="B15" s="27" t="str">
        <f>VLOOKUP($A15, Sheet5!$A$1:$E$119,2,FALSE)</f>
        <v>Healthy</v>
      </c>
      <c r="C15" s="27" t="str">
        <f>VLOOKUP($A15, Sheet5!$A$1:$E$119,3,FALSE)</f>
        <v>otu_1</v>
      </c>
      <c r="D15" s="27" t="str">
        <f>VLOOKUP($A15, Sheet5!$A$1:$E$119,4,FALSE)</f>
        <v>M</v>
      </c>
      <c r="E15" s="27">
        <f>VLOOKUP($A15, Sheet5!$A$1:$E$119,5,FALSE)</f>
        <v>1</v>
      </c>
      <c r="F15" s="67">
        <v>1.1721699999999999</v>
      </c>
      <c r="G15" s="67">
        <v>0.68649000000000004</v>
      </c>
      <c r="H15" s="67">
        <v>0.27350199203187253</v>
      </c>
      <c r="I15" s="95">
        <v>0.13832</v>
      </c>
      <c r="J15" s="95">
        <v>1.6432000000000002</v>
      </c>
      <c r="K15" s="95">
        <v>8.7544303797468352E-3</v>
      </c>
      <c r="L15" s="95">
        <v>2.9849999999999999</v>
      </c>
      <c r="M15" s="95">
        <v>0.44177999999999995</v>
      </c>
      <c r="N15" s="95">
        <v>2.9452000000000002E-2</v>
      </c>
      <c r="O15">
        <v>1.4175</v>
      </c>
      <c r="P15">
        <v>0.17324999999999999</v>
      </c>
      <c r="Q15">
        <v>0.12222222222222222</v>
      </c>
      <c r="R15">
        <v>30.480000000000004</v>
      </c>
      <c r="S15">
        <v>3.4137600000000003</v>
      </c>
      <c r="T15">
        <v>2.7462480000000005</v>
      </c>
      <c r="U15">
        <v>15.880080000000003</v>
      </c>
      <c r="V15">
        <v>25.75</v>
      </c>
      <c r="W15">
        <v>0.71584999999999999</v>
      </c>
      <c r="X15">
        <v>1.5681749999999999</v>
      </c>
      <c r="Y15">
        <v>15.115250000000001</v>
      </c>
      <c r="Z15">
        <v>24.8</v>
      </c>
      <c r="AA15">
        <v>0.51088</v>
      </c>
      <c r="AB15">
        <v>4.8856000000000002</v>
      </c>
      <c r="AC15">
        <v>6.3984000000000005</v>
      </c>
      <c r="AD15">
        <v>15.64</v>
      </c>
      <c r="AE15">
        <v>0.309672</v>
      </c>
      <c r="AF15">
        <v>0.42540800000000006</v>
      </c>
      <c r="AG15">
        <v>8.6801999999999992</v>
      </c>
    </row>
    <row r="16" spans="1:33" x14ac:dyDescent="0.3">
      <c r="A16" s="27">
        <v>303</v>
      </c>
      <c r="B16" s="27" t="str">
        <f>VLOOKUP($A16, Sheet5!$A$1:$E$119,2,FALSE)</f>
        <v>Healthy</v>
      </c>
      <c r="C16" s="27" t="str">
        <f>VLOOKUP($A16, Sheet5!$A$1:$E$119,3,FALSE)</f>
        <v>otu_1</v>
      </c>
      <c r="D16" s="27" t="str">
        <f>VLOOKUP($A16, Sheet5!$A$1:$E$119,4,FALSE)</f>
        <v>M</v>
      </c>
      <c r="E16" s="27">
        <f>VLOOKUP($A16, Sheet5!$A$1:$E$119,5,FALSE)</f>
        <v>2</v>
      </c>
      <c r="F16" s="67">
        <v>7.1539999999999999</v>
      </c>
      <c r="G16" s="67">
        <v>1.6513</v>
      </c>
      <c r="H16" s="67">
        <v>5.6551369863013699E-2</v>
      </c>
      <c r="I16">
        <v>7.3980000000000018E-2</v>
      </c>
      <c r="J16">
        <v>1.5282000000000002</v>
      </c>
      <c r="K16">
        <v>2.6141342756183751E-3</v>
      </c>
      <c r="L16">
        <v>3.27156</v>
      </c>
      <c r="M16">
        <v>1.7591600000000001</v>
      </c>
      <c r="N16">
        <v>4.2801946472019459E-2</v>
      </c>
      <c r="O16">
        <v>1.27925</v>
      </c>
      <c r="P16">
        <v>5.8905000000000006E-2</v>
      </c>
      <c r="Q16">
        <v>4.6046511627906982E-2</v>
      </c>
      <c r="R16">
        <v>9.65</v>
      </c>
      <c r="S16">
        <v>0.34740000000000004</v>
      </c>
      <c r="T16">
        <v>1.2930999999999999</v>
      </c>
      <c r="U16">
        <v>5.0566000000000004</v>
      </c>
      <c r="V16">
        <v>10.42</v>
      </c>
      <c r="W16">
        <v>1.1253599999999999</v>
      </c>
      <c r="X16">
        <v>0.64083000000000001</v>
      </c>
      <c r="Y16">
        <v>2.8863400000000001</v>
      </c>
      <c r="Z16">
        <v>20.5</v>
      </c>
      <c r="AA16">
        <v>0.52890000000000004</v>
      </c>
      <c r="AB16">
        <v>0.36285000000000006</v>
      </c>
      <c r="AC16">
        <v>4.5715000000000003</v>
      </c>
      <c r="AD16">
        <v>8.93</v>
      </c>
      <c r="AE16">
        <v>0.8867489999999999</v>
      </c>
      <c r="AF16">
        <v>0.46793200000000001</v>
      </c>
      <c r="AG16">
        <v>3.1165699999999998</v>
      </c>
    </row>
    <row r="17" spans="1:33" x14ac:dyDescent="0.3">
      <c r="A17" s="27">
        <v>304</v>
      </c>
      <c r="B17" s="27" t="str">
        <f>VLOOKUP($A17, Sheet5!$A$1:$E$119,2,FALSE)</f>
        <v>Healthy</v>
      </c>
      <c r="C17" s="27" t="str">
        <f>VLOOKUP($A17, Sheet5!$A$1:$E$119,3,FALSE)</f>
        <v>otu_1</v>
      </c>
      <c r="D17" s="27" t="str">
        <f>VLOOKUP($A17, Sheet5!$A$1:$E$119,4,FALSE)</f>
        <v>M</v>
      </c>
      <c r="E17" s="27">
        <f>VLOOKUP($A17, Sheet5!$A$1:$E$119,5,FALSE)</f>
        <v>0</v>
      </c>
      <c r="F17" s="67">
        <v>4.8803999999999998</v>
      </c>
      <c r="G17" s="67">
        <v>0.54780000000000006</v>
      </c>
      <c r="H17" s="67">
        <v>3.726530612244898E-2</v>
      </c>
      <c r="I17" s="95">
        <v>9.2064000000000007E-2</v>
      </c>
      <c r="J17" s="95">
        <v>1.2667200000000001</v>
      </c>
      <c r="K17" s="95">
        <v>2.4420159151193632E-3</v>
      </c>
      <c r="L17" s="95">
        <v>2.4653200000000002</v>
      </c>
      <c r="M17" s="95">
        <v>0.35635600000000006</v>
      </c>
      <c r="N17" s="95">
        <v>8.2681206496519714E-3</v>
      </c>
      <c r="O17">
        <v>0.90888000000000002</v>
      </c>
      <c r="P17">
        <v>5.7887000000000001E-2</v>
      </c>
      <c r="Q17">
        <v>6.3690476190476186E-2</v>
      </c>
      <c r="R17">
        <v>11.29</v>
      </c>
      <c r="S17">
        <v>4.222459999999999</v>
      </c>
      <c r="T17">
        <v>2.0321999999999996</v>
      </c>
      <c r="U17">
        <v>1.9080099999999995</v>
      </c>
      <c r="V17">
        <v>6.59</v>
      </c>
      <c r="W17">
        <v>0.94896000000000003</v>
      </c>
      <c r="X17">
        <v>1.6870400000000001</v>
      </c>
      <c r="Y17">
        <v>0.581897</v>
      </c>
      <c r="Z17">
        <v>16.920000000000002</v>
      </c>
      <c r="AA17">
        <v>1.5160320000000005</v>
      </c>
      <c r="AB17">
        <v>9.5767200000000017</v>
      </c>
      <c r="AC17">
        <v>0.37224000000000002</v>
      </c>
      <c r="AD17">
        <v>9.84</v>
      </c>
      <c r="AE17">
        <v>1.48584</v>
      </c>
      <c r="AF17">
        <v>3.7588800000000004</v>
      </c>
      <c r="AG17">
        <v>0.67699200000000004</v>
      </c>
    </row>
    <row r="18" spans="1:33" x14ac:dyDescent="0.3">
      <c r="A18" s="27">
        <v>308</v>
      </c>
      <c r="B18" s="27" t="str">
        <f>VLOOKUP($A18, Sheet5!$A$1:$E$119,2,FALSE)</f>
        <v>Healthy</v>
      </c>
      <c r="C18" s="27" t="str">
        <f>VLOOKUP($A18, Sheet5!$A$1:$E$119,3,FALSE)</f>
        <v>otu_1</v>
      </c>
      <c r="D18" s="27" t="str">
        <f>VLOOKUP($A18, Sheet5!$A$1:$E$119,4,FALSE)</f>
        <v>M</v>
      </c>
      <c r="E18" s="27">
        <f>VLOOKUP($A18, Sheet5!$A$1:$E$119,5,FALSE)</f>
        <v>0</v>
      </c>
      <c r="F18" s="67">
        <v>1.87</v>
      </c>
      <c r="G18" s="67">
        <v>0.34600000000000003</v>
      </c>
      <c r="H18" s="67">
        <v>1.8502673796791446E-2</v>
      </c>
      <c r="I18" s="95">
        <v>1.2266999999999998E-2</v>
      </c>
      <c r="J18" s="95">
        <v>0.22532999999999997</v>
      </c>
      <c r="K18" s="95">
        <v>4.7362934362934361E-4</v>
      </c>
      <c r="L18" s="95">
        <v>0.72850999999999999</v>
      </c>
      <c r="M18" s="95">
        <v>0.14764100000000002</v>
      </c>
      <c r="N18" s="95">
        <v>5.6137262357414449E-3</v>
      </c>
      <c r="O18">
        <v>0.46976000000000001</v>
      </c>
      <c r="P18">
        <v>9.4686000000000006E-2</v>
      </c>
      <c r="Q18">
        <v>0.20156250000000001</v>
      </c>
      <c r="V18">
        <v>12.370000000000001</v>
      </c>
      <c r="W18">
        <v>1.4843999999999999</v>
      </c>
      <c r="X18">
        <v>4.7253400000000001</v>
      </c>
      <c r="Y18">
        <v>0.24740000000000001</v>
      </c>
      <c r="Z18">
        <v>8.879999999999999</v>
      </c>
      <c r="AA18">
        <v>1.2787199999999999</v>
      </c>
      <c r="AB18">
        <v>4.6175999999999995</v>
      </c>
      <c r="AC18">
        <v>0.236208</v>
      </c>
      <c r="AD18">
        <v>11.9</v>
      </c>
      <c r="AE18">
        <v>1.2971000000000001</v>
      </c>
      <c r="AF18">
        <v>5.0575000000000001</v>
      </c>
      <c r="AG18">
        <v>0.50099000000000005</v>
      </c>
    </row>
    <row r="19" spans="1:33" x14ac:dyDescent="0.3">
      <c r="A19" s="27">
        <v>315</v>
      </c>
      <c r="B19" s="27" t="str">
        <f>VLOOKUP($A19, Sheet5!$A$1:$E$119,2,FALSE)</f>
        <v>Healthy</v>
      </c>
      <c r="C19" s="27" t="str">
        <f>VLOOKUP($A19, Sheet5!$A$1:$E$119,3,FALSE)</f>
        <v>otu_1</v>
      </c>
      <c r="D19" s="27" t="str">
        <f>VLOOKUP($A19, Sheet5!$A$1:$E$119,4,FALSE)</f>
        <v>M</v>
      </c>
      <c r="E19" s="27">
        <f>VLOOKUP($A19, Sheet5!$A$1:$E$119,5,FALSE)</f>
        <v>0</v>
      </c>
      <c r="F19" s="67">
        <v>0.23058000000000003</v>
      </c>
      <c r="G19" s="67">
        <v>7.2900000000000006E-2</v>
      </c>
      <c r="H19" s="67">
        <v>1.7072599531615922E-3</v>
      </c>
      <c r="I19" s="95"/>
      <c r="J19" s="95">
        <v>2.3166000000000003E-2</v>
      </c>
      <c r="K19" s="95"/>
      <c r="L19" s="95">
        <v>0.40064</v>
      </c>
      <c r="M19" s="95">
        <v>4.8895999999999995E-2</v>
      </c>
      <c r="N19" s="95">
        <v>1.5621725239616613E-3</v>
      </c>
      <c r="O19">
        <v>0.20188000000000003</v>
      </c>
      <c r="P19">
        <v>8.3429999999999997E-3</v>
      </c>
      <c r="Q19">
        <v>4.1326530612244887E-2</v>
      </c>
      <c r="V19">
        <v>1.1100000000000001</v>
      </c>
      <c r="W19">
        <v>0.48396000000000006</v>
      </c>
      <c r="X19">
        <v>0.22533</v>
      </c>
      <c r="Y19">
        <v>0.26751000000000003</v>
      </c>
      <c r="Z19">
        <v>1.51</v>
      </c>
      <c r="AB19">
        <v>0.73385999999999996</v>
      </c>
      <c r="AC19">
        <v>8.0784999999999996E-2</v>
      </c>
      <c r="AD19">
        <v>1.47</v>
      </c>
      <c r="AE19">
        <v>0.65855999999999992</v>
      </c>
      <c r="AF19">
        <v>0.47480999999999995</v>
      </c>
      <c r="AG19">
        <v>6.2181000000000007E-2</v>
      </c>
    </row>
    <row r="20" spans="1:33" x14ac:dyDescent="0.3">
      <c r="A20" s="27">
        <v>316</v>
      </c>
      <c r="B20" s="27" t="str">
        <f>VLOOKUP($A20, Sheet5!$A$1:$E$119,2,FALSE)</f>
        <v>Healthy</v>
      </c>
      <c r="C20" s="27" t="str">
        <f>VLOOKUP($A20, Sheet5!$A$1:$E$119,3,FALSE)</f>
        <v>otu_1</v>
      </c>
      <c r="D20" s="27" t="str">
        <f>VLOOKUP($A20, Sheet5!$A$1:$E$119,4,FALSE)</f>
        <v>M</v>
      </c>
      <c r="E20" s="27">
        <f>VLOOKUP($A20, Sheet5!$A$1:$E$119,5,FALSE)</f>
        <v>0</v>
      </c>
      <c r="F20" s="67">
        <v>2.7376</v>
      </c>
      <c r="G20" s="67">
        <v>3.2096000000000005</v>
      </c>
      <c r="H20" s="67">
        <v>0.27668965517241378</v>
      </c>
      <c r="I20" s="95">
        <v>7.0029999999999995E-2</v>
      </c>
      <c r="J20" s="95">
        <v>1.1711399999999998</v>
      </c>
      <c r="K20" s="95">
        <v>1.7819338422391858E-3</v>
      </c>
      <c r="L20" s="95">
        <v>1.28</v>
      </c>
      <c r="M20" s="95">
        <v>0.38900000000000001</v>
      </c>
      <c r="N20" s="95">
        <v>3.0390625000000001E-2</v>
      </c>
      <c r="O20">
        <v>0.61403999999999992</v>
      </c>
      <c r="P20">
        <v>4.6783999999999999E-2</v>
      </c>
      <c r="Q20">
        <v>7.6190476190476197E-2</v>
      </c>
      <c r="R20">
        <v>10.600000000000001</v>
      </c>
      <c r="S20">
        <v>2.9786000000000006</v>
      </c>
      <c r="U20">
        <v>0.86072000000000004</v>
      </c>
      <c r="V20">
        <v>13.54</v>
      </c>
      <c r="W20">
        <v>4.0484599999999995</v>
      </c>
      <c r="X20">
        <v>4.2786399999999993</v>
      </c>
      <c r="Y20">
        <v>1.192874</v>
      </c>
      <c r="Z20">
        <v>14.07</v>
      </c>
      <c r="AA20">
        <v>1.270521</v>
      </c>
      <c r="AB20">
        <v>6.8520900000000005</v>
      </c>
      <c r="AC20">
        <v>0.31516800000000006</v>
      </c>
      <c r="AD20">
        <v>9.49</v>
      </c>
      <c r="AE20">
        <v>2.2301500000000001</v>
      </c>
      <c r="AF20">
        <v>3.3879299999999999</v>
      </c>
      <c r="AG20">
        <v>0.54377700000000007</v>
      </c>
    </row>
    <row r="21" spans="1:33" x14ac:dyDescent="0.3">
      <c r="A21" s="27">
        <v>317</v>
      </c>
      <c r="B21" s="27" t="str">
        <f>VLOOKUP($A21, Sheet5!$A$1:$E$119,2,FALSE)</f>
        <v>Healthy</v>
      </c>
      <c r="C21" s="27" t="str">
        <f>VLOOKUP($A21, Sheet5!$A$1:$E$119,3,FALSE)</f>
        <v>otu_1</v>
      </c>
      <c r="D21" s="27" t="str">
        <f>VLOOKUP($A21, Sheet5!$A$1:$E$119,4,FALSE)</f>
        <v>M</v>
      </c>
      <c r="E21" s="27">
        <f>VLOOKUP($A21, Sheet5!$A$1:$E$119,5,FALSE)</f>
        <v>0</v>
      </c>
      <c r="F21" s="60"/>
      <c r="G21" s="60"/>
      <c r="H21" s="60"/>
      <c r="I21">
        <v>0.22159800000000002</v>
      </c>
      <c r="J21">
        <v>2.5284900000000001</v>
      </c>
      <c r="K21">
        <v>8.2995505617977534E-3</v>
      </c>
      <c r="L21">
        <v>4.7459999999999996</v>
      </c>
      <c r="M21">
        <v>0.12039999999999999</v>
      </c>
      <c r="N21">
        <v>3.5516224188790555E-3</v>
      </c>
      <c r="O21">
        <v>1.27641</v>
      </c>
      <c r="P21">
        <v>7.5359999999999996E-2</v>
      </c>
      <c r="Q21">
        <v>5.9040590405904057E-2</v>
      </c>
      <c r="R21">
        <v>12.3</v>
      </c>
      <c r="S21">
        <v>3.1611000000000002</v>
      </c>
      <c r="U21">
        <v>0.79704000000000008</v>
      </c>
      <c r="Z21">
        <v>8.39</v>
      </c>
      <c r="AA21">
        <v>0.93968000000000007</v>
      </c>
      <c r="AB21">
        <v>3.5573600000000001</v>
      </c>
      <c r="AC21">
        <v>0.316303</v>
      </c>
      <c r="AD21">
        <v>10.399999999999999</v>
      </c>
      <c r="AE21">
        <v>2.0487999999999995</v>
      </c>
      <c r="AF21">
        <v>3.5775999999999994</v>
      </c>
      <c r="AG21">
        <v>0.79871999999999987</v>
      </c>
    </row>
    <row r="22" spans="1:33" x14ac:dyDescent="0.3">
      <c r="A22" s="7">
        <v>401</v>
      </c>
      <c r="B22" s="27" t="str">
        <f>VLOOKUP($A22, Sheet5!$A$1:$E$119,2,FALSE)</f>
        <v>IBD</v>
      </c>
      <c r="C22" s="27" t="str">
        <f>VLOOKUP($A22, Sheet5!$A$1:$E$119,3,FALSE)</f>
        <v>otu_1</v>
      </c>
      <c r="D22" s="27" t="str">
        <f>VLOOKUP($A22, Sheet5!$A$1:$E$119,4,FALSE)</f>
        <v>M</v>
      </c>
      <c r="E22" s="27">
        <f>VLOOKUP($A22, Sheet5!$A$1:$E$119,5,FALSE)</f>
        <v>2</v>
      </c>
      <c r="F22" s="67">
        <v>0.53619000000000006</v>
      </c>
      <c r="G22" s="67">
        <v>5.6256E-2</v>
      </c>
      <c r="H22" s="67">
        <v>3.0740983606557374E-3</v>
      </c>
      <c r="I22">
        <v>0.129444</v>
      </c>
      <c r="J22">
        <v>1.9899600000000002</v>
      </c>
      <c r="K22">
        <v>3.1418446601941753E-3</v>
      </c>
      <c r="L22">
        <v>0.73738000000000004</v>
      </c>
      <c r="M22">
        <v>5.7316000000000006E-2</v>
      </c>
      <c r="N22">
        <v>2.5028820960698696E-3</v>
      </c>
      <c r="O22">
        <v>2.3550499999999999</v>
      </c>
      <c r="P22">
        <v>0.11951000000000001</v>
      </c>
      <c r="Q22">
        <v>3.5674626865671638E-3</v>
      </c>
      <c r="R22">
        <v>2.3699999999999997</v>
      </c>
      <c r="S22">
        <v>5.2139999999999999E-3</v>
      </c>
      <c r="T22">
        <v>2.1329999999999995E-2</v>
      </c>
      <c r="U22">
        <v>9.2666999999999985E-2</v>
      </c>
      <c r="V22">
        <v>2.7</v>
      </c>
      <c r="W22">
        <v>1.2149999999999999E-3</v>
      </c>
      <c r="X22">
        <v>1.1340000000000002E-3</v>
      </c>
      <c r="Y22">
        <v>0.15822000000000003</v>
      </c>
      <c r="Z22">
        <v>7.17</v>
      </c>
      <c r="AA22">
        <v>1.9359000000000001E-2</v>
      </c>
      <c r="AB22">
        <v>3.2265000000000002E-2</v>
      </c>
      <c r="AC22">
        <v>0.11687099999999999</v>
      </c>
      <c r="AD22">
        <v>3.23</v>
      </c>
      <c r="AE22">
        <v>1.0013000000000001E-2</v>
      </c>
      <c r="AF22">
        <v>8.3979999999999992E-3</v>
      </c>
      <c r="AG22">
        <v>8.5595000000000004E-2</v>
      </c>
    </row>
    <row r="23" spans="1:33" x14ac:dyDescent="0.3">
      <c r="A23" s="7">
        <v>410</v>
      </c>
      <c r="B23" s="27" t="str">
        <f>VLOOKUP($A23, Sheet5!$A$1:$E$119,2,FALSE)</f>
        <v>IBD</v>
      </c>
      <c r="C23" s="27" t="str">
        <f>VLOOKUP($A23, Sheet5!$A$1:$E$119,3,FALSE)</f>
        <v>otu_1</v>
      </c>
      <c r="D23" s="27" t="str">
        <f>VLOOKUP($A23, Sheet5!$A$1:$E$119,4,FALSE)</f>
        <v>M</v>
      </c>
      <c r="E23" s="27">
        <f>VLOOKUP($A23, Sheet5!$A$1:$E$119,5,FALSE)</f>
        <v>5</v>
      </c>
      <c r="F23" s="67">
        <v>1.75244</v>
      </c>
      <c r="G23" s="67">
        <v>1.9976000000000001E-2</v>
      </c>
      <c r="H23" s="67">
        <v>5.1751295336787567E-4</v>
      </c>
      <c r="I23">
        <v>8.9960999999999999E-2</v>
      </c>
      <c r="J23">
        <v>2.0158800000000001</v>
      </c>
      <c r="K23">
        <v>2.101892523364486E-3</v>
      </c>
      <c r="L23">
        <v>1.6472</v>
      </c>
      <c r="M23">
        <v>4.9699999999999994E-2</v>
      </c>
      <c r="N23">
        <v>1.0711206896551722E-3</v>
      </c>
      <c r="O23">
        <v>2.0855999999999999</v>
      </c>
      <c r="P23">
        <v>6.7308000000000007E-2</v>
      </c>
      <c r="Q23">
        <v>1.5297272727272729E-3</v>
      </c>
      <c r="R23">
        <v>5.0200000000000005</v>
      </c>
      <c r="S23">
        <v>1.255E-2</v>
      </c>
      <c r="T23">
        <v>6.1244000000000007E-2</v>
      </c>
      <c r="U23">
        <v>8.2830000000000001E-2</v>
      </c>
      <c r="V23">
        <v>3.35</v>
      </c>
      <c r="W23">
        <v>1.0385E-2</v>
      </c>
      <c r="X23">
        <v>1.072E-2</v>
      </c>
      <c r="Y23">
        <v>8.5760000000000003E-2</v>
      </c>
      <c r="Z23">
        <v>8.42</v>
      </c>
      <c r="AA23">
        <v>5.4730000000000001E-2</v>
      </c>
      <c r="AB23">
        <v>3.789E-2</v>
      </c>
      <c r="AC23">
        <v>0.21471000000000001</v>
      </c>
      <c r="AD23">
        <v>1.4</v>
      </c>
      <c r="AE23">
        <v>1.2319999999999999E-2</v>
      </c>
      <c r="AF23">
        <v>3.9619999999999995E-2</v>
      </c>
      <c r="AG23">
        <v>6.5659999999999996E-2</v>
      </c>
    </row>
    <row r="24" spans="1:33" x14ac:dyDescent="0.3">
      <c r="A24" s="7">
        <v>411</v>
      </c>
      <c r="B24" s="27" t="str">
        <f>VLOOKUP($A24, Sheet5!$A$1:$E$119,2,FALSE)</f>
        <v>IBD</v>
      </c>
      <c r="C24" s="27" t="str">
        <f>VLOOKUP($A24, Sheet5!$A$1:$E$119,3,FALSE)</f>
        <v>otu_1</v>
      </c>
      <c r="D24" s="27" t="str">
        <f>VLOOKUP($A24, Sheet5!$A$1:$E$119,4,FALSE)</f>
        <v>M</v>
      </c>
      <c r="E24" s="27">
        <f>VLOOKUP($A24, Sheet5!$A$1:$E$119,5,FALSE)</f>
        <v>5</v>
      </c>
      <c r="F24" s="67">
        <v>0.63063000000000002</v>
      </c>
      <c r="G24" s="67">
        <v>1.9845000000000002E-2</v>
      </c>
      <c r="H24" s="67">
        <v>1.3877622377622375E-3</v>
      </c>
      <c r="I24">
        <v>2.3519999999999999E-2</v>
      </c>
      <c r="J24">
        <v>0.72320000000000007</v>
      </c>
      <c r="K24">
        <v>5.2035398230088493E-4</v>
      </c>
      <c r="L24">
        <v>1.4444300000000001</v>
      </c>
      <c r="M24">
        <v>2.3452000000000001E-2</v>
      </c>
      <c r="N24">
        <v>8.6538745387453877E-4</v>
      </c>
      <c r="O24">
        <v>3.1523100000000004</v>
      </c>
      <c r="P24">
        <v>5.9160999999999998E-2</v>
      </c>
      <c r="Q24">
        <v>1.6571708683473388E-3</v>
      </c>
      <c r="R24">
        <v>2.88</v>
      </c>
      <c r="S24">
        <v>9.5040000000000003E-3</v>
      </c>
      <c r="T24">
        <v>6.6816E-2</v>
      </c>
      <c r="U24">
        <v>7.1423999999999987E-2</v>
      </c>
      <c r="V24">
        <v>1.9400000000000002</v>
      </c>
      <c r="W24">
        <v>2.3280000000000002E-3</v>
      </c>
      <c r="X24">
        <v>2.7160000000000005E-3</v>
      </c>
      <c r="Y24">
        <v>0.11834</v>
      </c>
      <c r="Z24">
        <v>3</v>
      </c>
      <c r="AA24">
        <v>1.7399999999999999E-2</v>
      </c>
      <c r="AB24">
        <v>2.9699999999999997E-2</v>
      </c>
      <c r="AC24">
        <v>7.6499999999999999E-2</v>
      </c>
      <c r="AD24">
        <v>3.3400000000000003</v>
      </c>
      <c r="AE24">
        <v>1.7034000000000004E-2</v>
      </c>
      <c r="AF24">
        <v>1.4696000000000002E-2</v>
      </c>
      <c r="AG24">
        <v>8.5169999999999996E-2</v>
      </c>
    </row>
    <row r="25" spans="1:33" x14ac:dyDescent="0.3">
      <c r="A25" s="7">
        <v>415</v>
      </c>
      <c r="B25" s="27" t="str">
        <f>VLOOKUP($A25, Sheet5!$A$1:$E$119,2,FALSE)</f>
        <v>IBD</v>
      </c>
      <c r="C25" s="27" t="str">
        <f>VLOOKUP($A25, Sheet5!$A$1:$E$119,3,FALSE)</f>
        <v>otu_1</v>
      </c>
      <c r="D25" s="27" t="str">
        <f>VLOOKUP($A25, Sheet5!$A$1:$E$119,4,FALSE)</f>
        <v>M</v>
      </c>
      <c r="E25" s="27">
        <f>VLOOKUP($A25, Sheet5!$A$1:$E$119,5,FALSE)</f>
        <v>5</v>
      </c>
      <c r="F25" s="86"/>
      <c r="G25" s="86"/>
      <c r="H25" s="86"/>
      <c r="L25">
        <v>0.23980000000000001</v>
      </c>
      <c r="M25">
        <v>6.3219999999999995E-3</v>
      </c>
      <c r="N25">
        <v>5.7472727272727276E-4</v>
      </c>
      <c r="O25">
        <v>1.0512000000000001</v>
      </c>
      <c r="P25">
        <v>3.168E-2</v>
      </c>
      <c r="Q25">
        <v>1.084931506849315E-3</v>
      </c>
      <c r="R25">
        <v>3.5</v>
      </c>
      <c r="S25">
        <v>5.6000000000000008E-3</v>
      </c>
      <c r="T25">
        <v>6.6149999999999987E-2</v>
      </c>
      <c r="U25">
        <v>0.12542999999999999</v>
      </c>
      <c r="V25">
        <v>2.7600000000000002</v>
      </c>
      <c r="W25">
        <v>2.3736E-3</v>
      </c>
      <c r="X25">
        <v>4.6920000000000009E-3</v>
      </c>
      <c r="Y25">
        <v>0.115368</v>
      </c>
      <c r="Z25">
        <v>8.41</v>
      </c>
      <c r="AA25">
        <v>6.3075000000000006E-3</v>
      </c>
      <c r="AB25">
        <v>3.7844999999999997E-2</v>
      </c>
      <c r="AC25">
        <v>0.123627</v>
      </c>
      <c r="AD25">
        <v>3.5100000000000002</v>
      </c>
      <c r="AE25">
        <v>6.6690000000000004E-3</v>
      </c>
      <c r="AF25">
        <v>1.8252000000000001E-2</v>
      </c>
      <c r="AG25">
        <v>0.18673200000000001</v>
      </c>
    </row>
    <row r="26" spans="1:33" x14ac:dyDescent="0.3">
      <c r="A26" s="22">
        <v>418</v>
      </c>
      <c r="B26" s="27" t="str">
        <f>VLOOKUP($A26, Sheet5!$A$1:$E$119,2,FALSE)</f>
        <v>IBD</v>
      </c>
      <c r="C26" s="27" t="str">
        <f>VLOOKUP($A26, Sheet5!$A$1:$E$119,3,FALSE)</f>
        <v>otu_2</v>
      </c>
      <c r="D26" s="27" t="str">
        <f>VLOOKUP($A26, Sheet5!$A$1:$E$119,4,FALSE)</f>
        <v>F</v>
      </c>
      <c r="E26" s="27">
        <f>VLOOKUP($A26, Sheet5!$A$1:$E$119,5,FALSE)</f>
        <v>3</v>
      </c>
      <c r="F26" s="67">
        <v>1.7639999999999999E-2</v>
      </c>
      <c r="G26" s="67">
        <v>2.52E-2</v>
      </c>
      <c r="H26" s="67">
        <v>1.8000000000000002E-2</v>
      </c>
      <c r="I26" s="95">
        <v>2.666E-2</v>
      </c>
      <c r="J26" s="95">
        <v>4.2999999999999997E-2</v>
      </c>
      <c r="K26" s="95">
        <v>1.0664E-2</v>
      </c>
      <c r="L26">
        <v>5.2499999999999998E-2</v>
      </c>
      <c r="M26">
        <v>0.252</v>
      </c>
      <c r="N26">
        <v>8.4000000000000005E-2</v>
      </c>
      <c r="O26">
        <v>1.7751000000000003E-2</v>
      </c>
      <c r="P26">
        <v>3.7830000000000003E-2</v>
      </c>
      <c r="Q26">
        <v>6.2016393442622962E-2</v>
      </c>
      <c r="R26">
        <v>0.48</v>
      </c>
      <c r="S26">
        <v>4.4111999999999998E-2</v>
      </c>
      <c r="T26">
        <v>1.3343999999999998E-2</v>
      </c>
      <c r="U26">
        <v>9.1680000000000011E-2</v>
      </c>
      <c r="V26">
        <v>0.14699999999999999</v>
      </c>
      <c r="W26">
        <v>6.0269999999999994E-3</v>
      </c>
      <c r="X26">
        <v>2.7195000000000001E-3</v>
      </c>
      <c r="Y26">
        <v>4.2923999999999997E-2</v>
      </c>
      <c r="Z26">
        <v>0.37</v>
      </c>
      <c r="AA26">
        <v>2.9489000000000001E-2</v>
      </c>
      <c r="AB26">
        <v>1.0545000000000001E-2</v>
      </c>
      <c r="AC26">
        <v>9.1020000000000004E-2</v>
      </c>
      <c r="AD26">
        <v>0.36399999999999999</v>
      </c>
      <c r="AE26">
        <v>4.0039999999999992E-2</v>
      </c>
      <c r="AF26">
        <v>1.5906800000000002E-2</v>
      </c>
      <c r="AG26">
        <v>0.13322400000000001</v>
      </c>
    </row>
    <row r="27" spans="1:33" x14ac:dyDescent="0.3">
      <c r="A27" s="22">
        <v>423</v>
      </c>
      <c r="B27" s="27" t="str">
        <f>VLOOKUP($A27, Sheet5!$A$1:$E$119,2,FALSE)</f>
        <v>IBD</v>
      </c>
      <c r="C27" s="27" t="str">
        <f>VLOOKUP($A27, Sheet5!$A$1:$E$119,3,FALSE)</f>
        <v>otu_2</v>
      </c>
      <c r="D27" s="27" t="str">
        <f>VLOOKUP($A27, Sheet5!$A$1:$E$119,4,FALSE)</f>
        <v>F</v>
      </c>
      <c r="E27" s="27">
        <f>VLOOKUP($A27, Sheet5!$A$1:$E$119,5,FALSE)</f>
        <v>6</v>
      </c>
      <c r="F27" s="67">
        <v>3.7407000000000003E-2</v>
      </c>
      <c r="G27" s="67">
        <v>0.12132000000000001</v>
      </c>
      <c r="H27" s="67">
        <v>0.10929729729729729</v>
      </c>
      <c r="I27" s="67">
        <v>4.3089000000000002E-2</v>
      </c>
      <c r="J27" s="67">
        <v>0.105961</v>
      </c>
      <c r="K27" s="67">
        <v>1.1020204603580563E-2</v>
      </c>
      <c r="L27">
        <v>0.20047999999999999</v>
      </c>
      <c r="M27">
        <v>0.26312999999999998</v>
      </c>
      <c r="N27">
        <v>2.3493750000000001E-2</v>
      </c>
      <c r="O27">
        <v>6.8154999999999993E-2</v>
      </c>
      <c r="P27">
        <v>0.10535</v>
      </c>
      <c r="Q27">
        <v>3.3233438485804422E-2</v>
      </c>
      <c r="R27">
        <v>0.33999999999999997</v>
      </c>
      <c r="S27">
        <v>4.4879999999999996E-2</v>
      </c>
      <c r="T27">
        <v>2.5023999999999998E-2</v>
      </c>
      <c r="U27">
        <v>7.5479999999999992E-2</v>
      </c>
      <c r="V27">
        <v>0.192</v>
      </c>
      <c r="Z27">
        <v>0.217</v>
      </c>
      <c r="AD27">
        <v>0.2</v>
      </c>
    </row>
    <row r="28" spans="1:33" x14ac:dyDescent="0.3">
      <c r="A28" s="22">
        <v>424</v>
      </c>
      <c r="B28" s="27" t="str">
        <f>VLOOKUP($A28, Sheet5!$A$1:$E$119,2,FALSE)</f>
        <v>IBD</v>
      </c>
      <c r="C28" s="27" t="str">
        <f>VLOOKUP($A28, Sheet5!$A$1:$E$119,3,FALSE)</f>
        <v>otu_2</v>
      </c>
      <c r="D28" s="27" t="str">
        <f>VLOOKUP($A28, Sheet5!$A$1:$E$119,4,FALSE)</f>
        <v>M</v>
      </c>
      <c r="E28" s="27">
        <f>VLOOKUP($A28, Sheet5!$A$1:$E$119,5,FALSE)</f>
        <v>4</v>
      </c>
      <c r="F28" s="67">
        <v>0.25414399999999998</v>
      </c>
      <c r="G28" s="67">
        <v>4.2597999999999997E-2</v>
      </c>
      <c r="H28" s="67">
        <v>6.050852272727272E-3</v>
      </c>
      <c r="I28" s="67">
        <v>0.14808800000000003</v>
      </c>
      <c r="J28" s="67">
        <v>0.88596000000000008</v>
      </c>
      <c r="K28" s="67">
        <v>7.1540096618357496E-3</v>
      </c>
      <c r="L28">
        <v>0.294624</v>
      </c>
      <c r="M28">
        <v>3.2053999999999999E-2</v>
      </c>
      <c r="N28">
        <v>3.7099537037037032E-3</v>
      </c>
      <c r="O28">
        <v>0.30564000000000002</v>
      </c>
      <c r="P28">
        <v>2.9520000000000001E-2</v>
      </c>
      <c r="Q28">
        <v>3.4770318021201414E-3</v>
      </c>
    </row>
    <row r="29" spans="1:33" x14ac:dyDescent="0.3">
      <c r="A29" s="22">
        <v>430</v>
      </c>
      <c r="B29" s="27" t="str">
        <f>VLOOKUP($A29, Sheet5!$A$1:$E$119,2,FALSE)</f>
        <v>IBD</v>
      </c>
      <c r="C29" s="27" t="str">
        <f>VLOOKUP($A29, Sheet5!$A$1:$E$119,3,FALSE)</f>
        <v>otu_2</v>
      </c>
      <c r="D29" s="27" t="str">
        <f>VLOOKUP($A29, Sheet5!$A$1:$E$119,4,FALSE)</f>
        <v>F</v>
      </c>
      <c r="E29" s="27" t="str">
        <f>VLOOKUP($A29, Sheet5!$A$1:$E$119,5,FALSE)</f>
        <v>NA</v>
      </c>
      <c r="F29" s="67">
        <v>6.2048000000000006E-2</v>
      </c>
      <c r="G29" s="67">
        <v>0.26536599999999999</v>
      </c>
      <c r="H29" s="67">
        <v>0.23693392857142853</v>
      </c>
      <c r="I29" s="67">
        <v>4.5095000000000003E-2</v>
      </c>
      <c r="J29" s="67">
        <v>9.3299999999999994E-2</v>
      </c>
      <c r="K29" s="67">
        <v>1.5031666666666665E-2</v>
      </c>
      <c r="L29">
        <v>7.0152000000000006E-2</v>
      </c>
      <c r="M29">
        <v>0.29970000000000002</v>
      </c>
      <c r="N29">
        <v>9.4841772151898734E-2</v>
      </c>
      <c r="O29">
        <v>4.8180000000000008E-2</v>
      </c>
      <c r="P29">
        <v>7.7964000000000006E-2</v>
      </c>
      <c r="Q29">
        <v>7.087636363636364E-2</v>
      </c>
      <c r="R29">
        <v>0.53</v>
      </c>
      <c r="S29">
        <v>6.837E-2</v>
      </c>
      <c r="T29">
        <v>4.5368000000000006E-2</v>
      </c>
      <c r="U29">
        <v>0.18391000000000002</v>
      </c>
      <c r="V29">
        <v>0.62</v>
      </c>
      <c r="W29">
        <v>0.15127999999999997</v>
      </c>
      <c r="X29">
        <v>3.0442E-2</v>
      </c>
      <c r="Y29">
        <v>0.20274</v>
      </c>
      <c r="Z29">
        <v>0.39</v>
      </c>
      <c r="AA29">
        <v>6.5129999999999993E-2</v>
      </c>
      <c r="AB29">
        <v>2.3283000000000002E-2</v>
      </c>
      <c r="AC29">
        <v>9.7110000000000002E-2</v>
      </c>
      <c r="AD29">
        <v>0.51</v>
      </c>
      <c r="AE29">
        <v>0.11577</v>
      </c>
      <c r="AF29">
        <v>2.2286999999999998E-2</v>
      </c>
    </row>
    <row r="30" spans="1:33" x14ac:dyDescent="0.3">
      <c r="A30" s="22">
        <v>431</v>
      </c>
      <c r="B30" s="27" t="str">
        <f>VLOOKUP($A30, Sheet5!$A$1:$E$119,2,FALSE)</f>
        <v>IBD</v>
      </c>
      <c r="C30" s="27" t="str">
        <f>VLOOKUP($A30, Sheet5!$A$1:$E$119,3,FALSE)</f>
        <v>otu_2</v>
      </c>
      <c r="D30" s="27" t="str">
        <f>VLOOKUP($A30, Sheet5!$A$1:$E$119,4,FALSE)</f>
        <v>F</v>
      </c>
      <c r="E30" s="27">
        <f>VLOOKUP($A30, Sheet5!$A$1:$E$119,5,FALSE)</f>
        <v>4</v>
      </c>
      <c r="F30" s="67">
        <v>5.6376000000000002E-2</v>
      </c>
      <c r="G30" s="67">
        <v>6.2856000000000009E-2</v>
      </c>
      <c r="H30" s="67">
        <v>7.2248275862068972E-2</v>
      </c>
      <c r="I30" s="67">
        <v>3.8E-3</v>
      </c>
      <c r="J30" s="67">
        <v>2.8799999999999999E-2</v>
      </c>
      <c r="K30" s="67">
        <v>2.638888888888889E-3</v>
      </c>
      <c r="L30">
        <v>3.0419999999999999E-2</v>
      </c>
      <c r="M30">
        <v>0.14913600000000002</v>
      </c>
      <c r="N30">
        <v>7.6480000000000006E-2</v>
      </c>
      <c r="O30">
        <v>3.4729999999999997E-2</v>
      </c>
      <c r="P30">
        <v>6.7044000000000006E-2</v>
      </c>
      <c r="Q30">
        <v>5.8299130434782624E-2</v>
      </c>
      <c r="R30">
        <v>0.54</v>
      </c>
      <c r="V30">
        <v>0.53</v>
      </c>
      <c r="W30">
        <v>0.12667</v>
      </c>
      <c r="X30">
        <v>1.6642000000000001E-2</v>
      </c>
      <c r="Y30">
        <v>0.16377</v>
      </c>
      <c r="Z30">
        <v>0.44999999999999996</v>
      </c>
      <c r="AD30">
        <v>0.64</v>
      </c>
      <c r="AF30">
        <v>4.2816E-2</v>
      </c>
    </row>
    <row r="31" spans="1:33" x14ac:dyDescent="0.3">
      <c r="A31" s="7">
        <v>433</v>
      </c>
      <c r="B31" s="27" t="str">
        <f>VLOOKUP($A31, Sheet5!$A$1:$E$119,2,FALSE)</f>
        <v>IBD</v>
      </c>
      <c r="C31" s="27" t="str">
        <f>VLOOKUP($A31, Sheet5!$A$1:$E$119,3,FALSE)</f>
        <v>otu_1</v>
      </c>
      <c r="D31" s="27" t="str">
        <f>VLOOKUP($A31, Sheet5!$A$1:$E$119,4,FALSE)</f>
        <v>F</v>
      </c>
      <c r="E31" s="27">
        <f>VLOOKUP($A31, Sheet5!$A$1:$E$119,5,FALSE)</f>
        <v>3</v>
      </c>
      <c r="F31" s="67">
        <v>0.18747900000000001</v>
      </c>
      <c r="G31" s="67">
        <v>7.659E-3</v>
      </c>
      <c r="H31" s="67">
        <v>1.3603907637655419E-3</v>
      </c>
      <c r="I31" s="45">
        <v>0.23736000000000002</v>
      </c>
      <c r="J31" s="45">
        <v>0.44344</v>
      </c>
      <c r="K31" s="45">
        <v>9.8489626556016591E-3</v>
      </c>
      <c r="L31">
        <v>0.43309999999999993</v>
      </c>
      <c r="M31">
        <v>3.5499999999999997E-2</v>
      </c>
      <c r="N31">
        <v>2.9098360655737702E-3</v>
      </c>
      <c r="O31">
        <v>0.38793999999999995</v>
      </c>
      <c r="P31">
        <v>1.0431999999999999E-2</v>
      </c>
      <c r="Q31">
        <v>8.7663865546218486E-4</v>
      </c>
      <c r="R31">
        <v>3.55</v>
      </c>
      <c r="S31">
        <v>0.14377499999999999</v>
      </c>
      <c r="T31">
        <v>0.31595000000000001</v>
      </c>
      <c r="U31">
        <v>0.183535</v>
      </c>
      <c r="V31">
        <v>4.4700000000000006</v>
      </c>
      <c r="W31">
        <v>2.2350000000000002E-2</v>
      </c>
      <c r="X31">
        <v>6.5709000000000004E-2</v>
      </c>
      <c r="Y31">
        <v>0.113985</v>
      </c>
      <c r="Z31">
        <v>4.26</v>
      </c>
      <c r="AA31">
        <v>1.6188000000000001E-2</v>
      </c>
      <c r="AB31">
        <v>8.4347999999999992E-2</v>
      </c>
      <c r="AC31">
        <v>4.4303999999999996E-2</v>
      </c>
      <c r="AD31">
        <v>3.1399999999999997</v>
      </c>
      <c r="AE31">
        <v>1.7583999999999999E-2</v>
      </c>
      <c r="AF31">
        <v>4.7727999999999993E-2</v>
      </c>
      <c r="AG31">
        <v>6.0601999999999989E-2</v>
      </c>
    </row>
    <row r="32" spans="1:33" x14ac:dyDescent="0.3">
      <c r="A32" s="7">
        <v>434</v>
      </c>
      <c r="B32" s="27" t="str">
        <f>VLOOKUP($A32, Sheet5!$A$1:$E$119,2,FALSE)</f>
        <v>IBD</v>
      </c>
      <c r="C32" s="27" t="str">
        <f>VLOOKUP($A32, Sheet5!$A$1:$E$119,3,FALSE)</f>
        <v>otu_1</v>
      </c>
      <c r="D32" s="27" t="str">
        <f>VLOOKUP($A32, Sheet5!$A$1:$E$119,4,FALSE)</f>
        <v>F</v>
      </c>
      <c r="E32" s="27">
        <f>VLOOKUP($A32, Sheet5!$A$1:$E$119,5,FALSE)</f>
        <v>2</v>
      </c>
      <c r="F32" s="67">
        <v>0.27904000000000001</v>
      </c>
      <c r="G32" s="67">
        <v>0.12492800000000001</v>
      </c>
      <c r="H32" s="67">
        <v>1.1461284403669725E-2</v>
      </c>
      <c r="I32" s="45">
        <v>3.0294999999999996E-2</v>
      </c>
      <c r="J32" s="45">
        <v>0.74825000000000008</v>
      </c>
      <c r="K32" s="45">
        <v>1.4778048780487805E-3</v>
      </c>
      <c r="L32">
        <v>0.25679999999999997</v>
      </c>
      <c r="M32">
        <v>8.1105999999999998E-2</v>
      </c>
      <c r="N32">
        <v>3.3794166666666669E-3</v>
      </c>
      <c r="O32">
        <v>1.4126400000000001</v>
      </c>
      <c r="P32">
        <v>0.11837400000000001</v>
      </c>
      <c r="Q32">
        <v>5.4802777777777775E-3</v>
      </c>
      <c r="R32">
        <v>5.17</v>
      </c>
      <c r="S32">
        <v>1.7578E-2</v>
      </c>
      <c r="T32">
        <v>4.6530000000000002E-2</v>
      </c>
      <c r="U32">
        <v>0.12149499999999999</v>
      </c>
      <c r="V32">
        <v>2.46</v>
      </c>
      <c r="W32">
        <v>8.4870000000000001E-2</v>
      </c>
      <c r="X32">
        <v>1.7957999999999998E-2</v>
      </c>
      <c r="Z32">
        <v>5.59</v>
      </c>
      <c r="AA32">
        <v>6.8197999999999995E-2</v>
      </c>
      <c r="AB32">
        <v>1.7328999999999997E-2</v>
      </c>
      <c r="AC32">
        <v>0.35161099999999995</v>
      </c>
      <c r="AD32">
        <v>5.5</v>
      </c>
      <c r="AE32">
        <v>3.1349999999999996E-2</v>
      </c>
      <c r="AF32">
        <v>1.485E-2</v>
      </c>
      <c r="AG32">
        <v>0.33769999999999994</v>
      </c>
    </row>
    <row r="33" spans="1:33" x14ac:dyDescent="0.3">
      <c r="A33" s="7">
        <v>439</v>
      </c>
      <c r="B33" s="27" t="str">
        <f>VLOOKUP($A33, Sheet5!$A$1:$E$119,2,FALSE)</f>
        <v>IBD</v>
      </c>
      <c r="C33" s="27" t="str">
        <f>VLOOKUP($A33, Sheet5!$A$1:$E$119,3,FALSE)</f>
        <v>otu_1</v>
      </c>
      <c r="D33" s="27" t="str">
        <f>VLOOKUP($A33, Sheet5!$A$1:$E$119,4,FALSE)</f>
        <v>F</v>
      </c>
      <c r="E33" s="27">
        <f>VLOOKUP($A33, Sheet5!$A$1:$E$119,5,FALSE)</f>
        <v>2</v>
      </c>
      <c r="F33" s="67">
        <v>1.1733399999999998</v>
      </c>
      <c r="G33" s="67">
        <v>8.1605999999999984E-2</v>
      </c>
      <c r="H33" s="67">
        <v>2.8237370242214527E-3</v>
      </c>
      <c r="I33" s="45">
        <v>0.14377800000000002</v>
      </c>
      <c r="J33" s="45">
        <v>3.3548200000000001</v>
      </c>
      <c r="K33" s="45">
        <v>3.312857142857143E-3</v>
      </c>
      <c r="L33">
        <v>0.85792000000000002</v>
      </c>
      <c r="M33">
        <v>8.7323999999999999E-2</v>
      </c>
      <c r="N33">
        <v>3.8983928571428572E-3</v>
      </c>
      <c r="O33">
        <v>2.4123999999999999</v>
      </c>
      <c r="P33">
        <v>9.7799999999999998E-2</v>
      </c>
      <c r="Q33">
        <v>3.3040540540540536E-3</v>
      </c>
      <c r="R33">
        <v>0.76</v>
      </c>
      <c r="S33">
        <v>8.8920000000000006E-3</v>
      </c>
      <c r="T33">
        <v>4.104E-2</v>
      </c>
      <c r="V33">
        <v>1.31</v>
      </c>
      <c r="W33">
        <v>2.9344000000000005E-2</v>
      </c>
      <c r="X33">
        <v>1.4279000000000002E-2</v>
      </c>
      <c r="Y33">
        <v>0.19257000000000002</v>
      </c>
      <c r="Z33">
        <v>6.48</v>
      </c>
      <c r="AA33">
        <v>0.15292800000000001</v>
      </c>
      <c r="AB33">
        <v>7.1928000000000006E-2</v>
      </c>
      <c r="AC33">
        <v>0.53395199999999998</v>
      </c>
      <c r="AD33">
        <v>2.89</v>
      </c>
      <c r="AE33">
        <v>4.9708000000000002E-2</v>
      </c>
      <c r="AF33">
        <v>3.0923000000000003E-2</v>
      </c>
      <c r="AG33">
        <v>0.224553</v>
      </c>
    </row>
    <row r="34" spans="1:33" x14ac:dyDescent="0.3">
      <c r="A34" s="7">
        <v>445</v>
      </c>
      <c r="B34" s="27" t="str">
        <f>VLOOKUP($A34, Sheet5!$A$1:$E$119,2,FALSE)</f>
        <v>IBD</v>
      </c>
      <c r="C34" s="27" t="str">
        <f>VLOOKUP($A34, Sheet5!$A$1:$E$119,3,FALSE)</f>
        <v>otu_1</v>
      </c>
      <c r="D34" s="27" t="str">
        <f>VLOOKUP($A34, Sheet5!$A$1:$E$119,4,FALSE)</f>
        <v>F</v>
      </c>
      <c r="E34" s="27">
        <f>VLOOKUP($A34, Sheet5!$A$1:$E$119,5,FALSE)</f>
        <v>4</v>
      </c>
      <c r="F34" s="67">
        <v>1.4643300000000001</v>
      </c>
      <c r="G34" s="67">
        <v>0.106533</v>
      </c>
      <c r="H34" s="67">
        <v>2.9028065395095364E-3</v>
      </c>
      <c r="I34" s="45">
        <v>6.1853999999999992E-2</v>
      </c>
      <c r="J34" s="45">
        <v>2.5296699999999999</v>
      </c>
      <c r="K34" s="45">
        <v>1.9389968652037618E-3</v>
      </c>
      <c r="L34">
        <v>1.6329099999999999</v>
      </c>
      <c r="M34">
        <v>0.22906899999999999</v>
      </c>
      <c r="N34">
        <v>8.0943109540636046E-3</v>
      </c>
      <c r="O34">
        <v>0.67055999999999993</v>
      </c>
      <c r="P34">
        <v>8.4744000000000014E-2</v>
      </c>
      <c r="Q34">
        <v>3.3363779527559056E-3</v>
      </c>
      <c r="R34">
        <v>4.99</v>
      </c>
      <c r="S34">
        <v>9.980000000000001E-3</v>
      </c>
      <c r="T34">
        <v>3.2933999999999998E-2</v>
      </c>
      <c r="U34">
        <v>0.17015900000000003</v>
      </c>
      <c r="V34">
        <v>3.88</v>
      </c>
      <c r="W34">
        <v>7.3720000000000001E-3</v>
      </c>
      <c r="X34">
        <v>7.7600000000000004E-3</v>
      </c>
      <c r="Y34">
        <v>0.32863599999999998</v>
      </c>
      <c r="Z34">
        <v>8.81</v>
      </c>
      <c r="AA34">
        <v>4.7574000000000005E-2</v>
      </c>
      <c r="AB34">
        <v>2.6430000000000002E-2</v>
      </c>
      <c r="AC34">
        <v>0.49600300000000003</v>
      </c>
      <c r="AD34">
        <v>5.0999999999999996</v>
      </c>
      <c r="AE34">
        <v>9.1799999999999989E-3</v>
      </c>
      <c r="AF34">
        <v>8.1599999999999989E-3</v>
      </c>
      <c r="AG34">
        <v>9.5879999999999993E-2</v>
      </c>
    </row>
    <row r="35" spans="1:33" x14ac:dyDescent="0.3">
      <c r="A35" s="7">
        <v>446</v>
      </c>
      <c r="B35" s="27" t="str">
        <f>VLOOKUP($A35, Sheet5!$A$1:$E$119,2,FALSE)</f>
        <v>IBD</v>
      </c>
      <c r="C35" s="27" t="str">
        <f>VLOOKUP($A35, Sheet5!$A$1:$E$119,3,FALSE)</f>
        <v>otu_1</v>
      </c>
      <c r="D35" s="27" t="str">
        <f>VLOOKUP($A35, Sheet5!$A$1:$E$119,4,FALSE)</f>
        <v>F</v>
      </c>
      <c r="E35" s="27">
        <f>VLOOKUP($A35, Sheet5!$A$1:$E$119,5,FALSE)</f>
        <v>1</v>
      </c>
      <c r="F35" s="67">
        <v>0.1807</v>
      </c>
      <c r="G35" s="67">
        <v>4.8230000000000002E-2</v>
      </c>
      <c r="H35" s="67">
        <v>3.469784172661871E-3</v>
      </c>
      <c r="I35" s="45"/>
      <c r="J35" s="45"/>
      <c r="K35" s="45"/>
      <c r="L35">
        <v>1.30938</v>
      </c>
      <c r="M35">
        <v>0.30232499999999995</v>
      </c>
      <c r="N35">
        <v>9.6281847133757956E-3</v>
      </c>
      <c r="O35">
        <v>0.78569999999999995</v>
      </c>
      <c r="P35">
        <v>9.6418000000000004E-2</v>
      </c>
      <c r="Q35">
        <v>2.3806913580246914E-3</v>
      </c>
      <c r="R35">
        <v>4.92</v>
      </c>
      <c r="S35">
        <v>6.5928E-2</v>
      </c>
      <c r="T35">
        <v>0.10824</v>
      </c>
      <c r="U35">
        <v>0.29126400000000002</v>
      </c>
      <c r="V35">
        <v>3.63</v>
      </c>
      <c r="W35">
        <v>7.2236999999999996E-2</v>
      </c>
      <c r="X35">
        <v>1.8149999999999999E-2</v>
      </c>
      <c r="Y35">
        <v>0.33178200000000002</v>
      </c>
      <c r="Z35">
        <v>8.14</v>
      </c>
      <c r="AA35">
        <v>0.16605600000000004</v>
      </c>
      <c r="AB35">
        <v>3.5816000000000001E-2</v>
      </c>
      <c r="AC35">
        <v>0.73097200000000018</v>
      </c>
      <c r="AD35">
        <v>3.7199999999999998</v>
      </c>
      <c r="AE35">
        <v>0.10267199999999999</v>
      </c>
      <c r="AF35">
        <v>2.6039999999999997E-2</v>
      </c>
      <c r="AG35">
        <v>0.33628799999999992</v>
      </c>
    </row>
    <row r="36" spans="1:33" x14ac:dyDescent="0.3">
      <c r="A36" s="7">
        <v>448</v>
      </c>
      <c r="B36" s="27" t="str">
        <f>VLOOKUP($A36, Sheet5!$A$1:$E$119,2,FALSE)</f>
        <v>IBD</v>
      </c>
      <c r="C36" s="27" t="str">
        <f>VLOOKUP($A36, Sheet5!$A$1:$E$119,3,FALSE)</f>
        <v>otu_1</v>
      </c>
      <c r="D36" s="27" t="str">
        <f>VLOOKUP($A36, Sheet5!$A$1:$E$119,4,FALSE)</f>
        <v>M</v>
      </c>
      <c r="E36" s="27">
        <f>VLOOKUP($A36, Sheet5!$A$1:$E$119,5,FALSE)</f>
        <v>7</v>
      </c>
      <c r="F36" s="67">
        <v>1.0845</v>
      </c>
      <c r="G36" s="67">
        <v>5.4225000000000002E-3</v>
      </c>
      <c r="H36" s="67">
        <v>3.615E-4</v>
      </c>
      <c r="I36" s="45">
        <v>6.9412000000000001E-2</v>
      </c>
      <c r="J36" s="45">
        <v>1.1550800000000001</v>
      </c>
      <c r="K36" s="45">
        <v>1.6104872389791183E-3</v>
      </c>
      <c r="L36">
        <v>1.0055099999999999</v>
      </c>
      <c r="M36">
        <v>4.5011999999999996E-2</v>
      </c>
      <c r="N36">
        <v>1.6249819494584836E-3</v>
      </c>
    </row>
    <row r="37" spans="1:33" x14ac:dyDescent="0.3">
      <c r="A37" s="22">
        <v>449</v>
      </c>
      <c r="B37" s="27" t="str">
        <f>VLOOKUP($A37, Sheet5!$A$1:$E$119,2,FALSE)</f>
        <v>IBD</v>
      </c>
      <c r="C37" s="27" t="str">
        <f>VLOOKUP($A37, Sheet5!$A$1:$E$119,3,FALSE)</f>
        <v>otu_2</v>
      </c>
      <c r="D37" s="27" t="str">
        <f>VLOOKUP($A37, Sheet5!$A$1:$E$119,4,FALSE)</f>
        <v>F</v>
      </c>
      <c r="E37" s="27">
        <f>VLOOKUP($A37, Sheet5!$A$1:$E$119,5,FALSE)</f>
        <v>6</v>
      </c>
      <c r="F37" s="67">
        <v>0.37125000000000002</v>
      </c>
      <c r="G37" s="67">
        <v>0.16250000000000001</v>
      </c>
      <c r="H37" s="67">
        <v>2.7356902356902357E-2</v>
      </c>
      <c r="I37" s="67">
        <v>9.3561999999999992E-2</v>
      </c>
      <c r="J37" s="67">
        <v>0.45633000000000001</v>
      </c>
      <c r="K37" s="67">
        <v>1.176880503144654E-2</v>
      </c>
      <c r="L37">
        <v>0.24254999999999999</v>
      </c>
      <c r="M37">
        <v>9.2894999999999991E-2</v>
      </c>
      <c r="N37">
        <v>6.3193877551020409E-3</v>
      </c>
      <c r="O37">
        <v>0.23373000000000002</v>
      </c>
      <c r="P37">
        <v>8.5064999999999988E-2</v>
      </c>
      <c r="Q37">
        <v>5.7867346938775509E-3</v>
      </c>
      <c r="V37">
        <v>1.2999999999999998</v>
      </c>
      <c r="W37">
        <v>0.38479999999999998</v>
      </c>
      <c r="Y37">
        <v>0.41209999999999991</v>
      </c>
      <c r="Z37">
        <v>17.54</v>
      </c>
      <c r="AA37">
        <v>1.5926319999999998</v>
      </c>
      <c r="AD37">
        <v>0.89200000000000002</v>
      </c>
      <c r="AG37">
        <v>0.342528</v>
      </c>
    </row>
    <row r="38" spans="1:33" x14ac:dyDescent="0.3">
      <c r="A38" s="7">
        <v>450</v>
      </c>
      <c r="B38" s="27" t="str">
        <f>VLOOKUP($A38, Sheet5!$A$1:$E$119,2,FALSE)</f>
        <v>IBD</v>
      </c>
      <c r="C38" s="27" t="str">
        <f>VLOOKUP($A38, Sheet5!$A$1:$E$119,3,FALSE)</f>
        <v>otu_1</v>
      </c>
      <c r="D38" s="27" t="str">
        <f>VLOOKUP($A38, Sheet5!$A$1:$E$119,4,FALSE)</f>
        <v>M</v>
      </c>
      <c r="E38" s="27">
        <f>VLOOKUP($A38, Sheet5!$A$1:$E$119,5,FALSE)</f>
        <v>1</v>
      </c>
      <c r="F38" s="67">
        <v>0.66676000000000002</v>
      </c>
      <c r="G38" s="67">
        <v>2.5319999999999995E-2</v>
      </c>
      <c r="H38" s="67">
        <v>1.6025316455696198E-3</v>
      </c>
      <c r="I38" s="45">
        <v>5.1324000000000009E-2</v>
      </c>
      <c r="J38" s="45">
        <v>1.69764</v>
      </c>
      <c r="K38" s="45">
        <v>9.9465116279069763E-4</v>
      </c>
      <c r="L38">
        <v>0.70286000000000004</v>
      </c>
      <c r="M38">
        <v>1.9903999999999998E-2</v>
      </c>
      <c r="N38">
        <v>8.8070796460176987E-4</v>
      </c>
      <c r="O38">
        <v>0.94782999999999984</v>
      </c>
      <c r="P38">
        <v>1.6801E-2</v>
      </c>
      <c r="Q38">
        <v>5.6190635451505017E-4</v>
      </c>
      <c r="R38">
        <v>3.6999999999999997</v>
      </c>
      <c r="S38">
        <v>1.5910000000000001E-2</v>
      </c>
      <c r="T38">
        <v>0.21201</v>
      </c>
      <c r="U38">
        <v>4.2000000000000003E-2</v>
      </c>
      <c r="V38">
        <v>3.18</v>
      </c>
      <c r="W38">
        <v>2.0988000000000003E-2</v>
      </c>
      <c r="X38">
        <v>1.1129999999999999E-2</v>
      </c>
      <c r="Y38">
        <v>0.17935199999999998</v>
      </c>
      <c r="Z38">
        <v>5.13</v>
      </c>
      <c r="AA38">
        <v>2.4110999999999997E-2</v>
      </c>
      <c r="AB38">
        <v>3.8988000000000002E-2</v>
      </c>
      <c r="AC38">
        <v>0.28676699999999999</v>
      </c>
      <c r="AD38">
        <v>3.77</v>
      </c>
      <c r="AE38">
        <v>3.1291000000000001E-3</v>
      </c>
      <c r="AF38">
        <v>3.7699999999999999E-3</v>
      </c>
      <c r="AG38">
        <v>0.103298</v>
      </c>
    </row>
    <row r="39" spans="1:33" x14ac:dyDescent="0.3">
      <c r="A39" s="22">
        <v>452</v>
      </c>
      <c r="B39" s="27" t="str">
        <f>VLOOKUP($A39, Sheet5!$A$1:$E$119,2,FALSE)</f>
        <v>IBD</v>
      </c>
      <c r="C39" s="27" t="str">
        <f>VLOOKUP($A39, Sheet5!$A$1:$E$119,3,FALSE)</f>
        <v>otu_2</v>
      </c>
      <c r="D39" s="27" t="str">
        <f>VLOOKUP($A39, Sheet5!$A$1:$E$119,4,FALSE)</f>
        <v>M</v>
      </c>
      <c r="E39" s="27">
        <f>VLOOKUP($A39, Sheet5!$A$1:$E$119,5,FALSE)</f>
        <v>4</v>
      </c>
      <c r="F39" s="67">
        <v>2.3079000000000002E-2</v>
      </c>
      <c r="G39" s="67">
        <v>0.39893700000000004</v>
      </c>
      <c r="H39" s="67">
        <v>0.81415714285714302</v>
      </c>
      <c r="I39" s="67">
        <v>0.13839499999999999</v>
      </c>
      <c r="J39" s="67">
        <v>7.0285999999999987E-2</v>
      </c>
      <c r="K39" s="67">
        <v>6.1236725663716823E-2</v>
      </c>
      <c r="L39">
        <v>3.066E-2</v>
      </c>
      <c r="M39">
        <v>0.30659999999999998</v>
      </c>
      <c r="N39">
        <v>0.21899999999999997</v>
      </c>
      <c r="O39">
        <v>3.2225999999999998E-2</v>
      </c>
      <c r="P39">
        <v>0.80564999999999998</v>
      </c>
      <c r="Q39">
        <v>0.98250000000000004</v>
      </c>
      <c r="R39">
        <v>0.52</v>
      </c>
      <c r="V39">
        <v>1.9699999999999998</v>
      </c>
      <c r="W39">
        <v>3.8217999999999995E-2</v>
      </c>
      <c r="X39">
        <v>2.5609999999999999E-3</v>
      </c>
      <c r="Y39">
        <v>1.1288099999999999</v>
      </c>
      <c r="Z39">
        <v>16.600000000000001</v>
      </c>
      <c r="AA39">
        <v>1.1072200000000001</v>
      </c>
      <c r="AC39">
        <v>11.304600000000001</v>
      </c>
      <c r="AD39">
        <v>0.74</v>
      </c>
      <c r="AE39">
        <v>0.10656</v>
      </c>
      <c r="AF39">
        <v>2.294E-3</v>
      </c>
      <c r="AG39">
        <v>0.52170000000000005</v>
      </c>
    </row>
    <row r="40" spans="1:33" x14ac:dyDescent="0.3">
      <c r="A40" s="22">
        <v>453</v>
      </c>
      <c r="B40" s="27" t="str">
        <f>VLOOKUP($A40, Sheet5!$A$1:$E$119,2,FALSE)</f>
        <v>IBD</v>
      </c>
      <c r="C40" s="27" t="str">
        <f>VLOOKUP($A40, Sheet5!$A$1:$E$119,3,FALSE)</f>
        <v>otu_2</v>
      </c>
      <c r="D40" s="27" t="str">
        <f>VLOOKUP($A40, Sheet5!$A$1:$E$119,4,FALSE)</f>
        <v>F</v>
      </c>
      <c r="E40" s="27">
        <f>VLOOKUP($A40, Sheet5!$A$1:$E$119,5,FALSE)</f>
        <v>4</v>
      </c>
      <c r="F40" s="67">
        <v>0.29625000000000001</v>
      </c>
      <c r="G40" s="67">
        <v>0.37375000000000003</v>
      </c>
      <c r="H40" s="67">
        <v>0.15770042194092829</v>
      </c>
      <c r="I40" s="67">
        <v>0.10932600000000001</v>
      </c>
      <c r="J40" s="67">
        <v>0.32239200000000001</v>
      </c>
      <c r="K40" s="67">
        <v>2.7060891089108915E-2</v>
      </c>
      <c r="L40">
        <v>0.32100000000000001</v>
      </c>
      <c r="M40">
        <v>7.4471999999999997E-2</v>
      </c>
      <c r="N40">
        <v>7.4471999999999993E-3</v>
      </c>
      <c r="O40">
        <v>0.36782000000000004</v>
      </c>
      <c r="P40">
        <v>6.3154000000000002E-2</v>
      </c>
      <c r="Q40">
        <v>5.9579245283018882E-3</v>
      </c>
    </row>
    <row r="41" spans="1:33" x14ac:dyDescent="0.3">
      <c r="A41" s="22">
        <v>458</v>
      </c>
      <c r="B41" s="27" t="str">
        <f>VLOOKUP($A41, Sheet5!$A$1:$E$119,2,FALSE)</f>
        <v>IBD</v>
      </c>
      <c r="C41" s="27" t="str">
        <f>VLOOKUP($A41, Sheet5!$A$1:$E$119,3,FALSE)</f>
        <v>otu_2</v>
      </c>
      <c r="D41" s="27" t="str">
        <f>VLOOKUP($A41, Sheet5!$A$1:$E$119,4,FALSE)</f>
        <v>F</v>
      </c>
      <c r="E41" s="27">
        <f>VLOOKUP($A41, Sheet5!$A$1:$E$119,5,FALSE)</f>
        <v>1</v>
      </c>
      <c r="F41" s="67">
        <v>0.17799599999999999</v>
      </c>
      <c r="G41" s="67">
        <v>7.7261999999999997E-2</v>
      </c>
      <c r="H41" s="67">
        <v>4.2451648351648351E-2</v>
      </c>
      <c r="I41" s="67">
        <v>3.7350000000000001E-2</v>
      </c>
      <c r="J41" s="67">
        <v>0.133215</v>
      </c>
      <c r="K41" s="67">
        <v>6.9813084112149548E-3</v>
      </c>
      <c r="L41">
        <v>3.0910000000000003E-2</v>
      </c>
      <c r="M41">
        <v>2.3869999999999999E-2</v>
      </c>
      <c r="N41">
        <v>8.494661921708186E-3</v>
      </c>
      <c r="O41">
        <v>0.15758999999999998</v>
      </c>
      <c r="P41">
        <v>6.8339999999999984E-2</v>
      </c>
      <c r="Q41">
        <v>7.3721682847896434E-3</v>
      </c>
      <c r="R41">
        <v>0.65</v>
      </c>
      <c r="S41">
        <v>8.7750000000000009E-2</v>
      </c>
      <c r="T41">
        <v>5.8955E-2</v>
      </c>
      <c r="U41">
        <v>0.22359999999999999</v>
      </c>
      <c r="V41">
        <v>0.45</v>
      </c>
      <c r="W41">
        <v>0.12509999999999999</v>
      </c>
      <c r="X41">
        <v>1.6154999999999999E-2</v>
      </c>
      <c r="Y41">
        <v>0.13905000000000001</v>
      </c>
      <c r="Z41">
        <v>0.33199999999999996</v>
      </c>
      <c r="AA41">
        <v>3.3531999999999992E-2</v>
      </c>
      <c r="AB41">
        <v>8.2335999999999989E-3</v>
      </c>
      <c r="AC41">
        <v>0.14043599999999998</v>
      </c>
      <c r="AD41">
        <v>0.36000000000000004</v>
      </c>
      <c r="AE41">
        <v>7.5600000000000001E-2</v>
      </c>
      <c r="AF41">
        <v>1.0800000000000001E-2</v>
      </c>
      <c r="AG41">
        <v>0.15048</v>
      </c>
    </row>
    <row r="42" spans="1:33" x14ac:dyDescent="0.3">
      <c r="A42" s="22">
        <v>464</v>
      </c>
      <c r="B42" s="27" t="str">
        <f>VLOOKUP($A42, Sheet5!$A$1:$E$119,2,FALSE)</f>
        <v>IBD</v>
      </c>
      <c r="C42" s="27" t="str">
        <f>VLOOKUP($A42, Sheet5!$A$1:$E$119,3,FALSE)</f>
        <v>otu_2</v>
      </c>
      <c r="D42" s="27" t="str">
        <f>VLOOKUP($A42, Sheet5!$A$1:$E$119,4,FALSE)</f>
        <v>M</v>
      </c>
      <c r="E42" s="27">
        <f>VLOOKUP($A42, Sheet5!$A$1:$E$119,5,FALSE)</f>
        <v>0</v>
      </c>
      <c r="F42" s="67">
        <v>6.0679999999999998E-2</v>
      </c>
      <c r="G42" s="67">
        <v>0.47360000000000008</v>
      </c>
      <c r="H42" s="67">
        <v>0.28878048780487808</v>
      </c>
      <c r="I42" s="67">
        <v>7.6607999999999996E-2</v>
      </c>
      <c r="J42" s="67">
        <v>7.4880000000000002E-2</v>
      </c>
      <c r="K42" s="67">
        <v>1.9643076923076926E-2</v>
      </c>
      <c r="L42">
        <v>4.5942000000000011E-2</v>
      </c>
      <c r="M42">
        <v>0.28458</v>
      </c>
      <c r="N42">
        <v>0.11521457489878544</v>
      </c>
      <c r="O42">
        <v>8.9153999999999997E-2</v>
      </c>
      <c r="P42">
        <v>0.81915000000000004</v>
      </c>
      <c r="Q42">
        <v>0.35006410256410264</v>
      </c>
      <c r="R42">
        <v>0.48</v>
      </c>
      <c r="T42">
        <v>1.5840000000000001E-3</v>
      </c>
      <c r="U42">
        <v>0.31247999999999998</v>
      </c>
      <c r="V42">
        <v>1.67</v>
      </c>
      <c r="W42">
        <v>7.8490000000000001E-3</v>
      </c>
      <c r="Y42">
        <v>1.53139</v>
      </c>
      <c r="Z42">
        <v>12.7</v>
      </c>
      <c r="AA42">
        <v>0.87629999999999997</v>
      </c>
      <c r="AC42">
        <v>10.972799999999999</v>
      </c>
      <c r="AD42">
        <v>0.79</v>
      </c>
      <c r="AE42">
        <v>9.6379999999999993E-2</v>
      </c>
      <c r="AF42">
        <v>2.2120000000000004E-3</v>
      </c>
      <c r="AG42">
        <v>0.63278999999999996</v>
      </c>
    </row>
    <row r="43" spans="1:33" x14ac:dyDescent="0.3">
      <c r="A43" s="22">
        <v>469</v>
      </c>
      <c r="B43" s="27" t="str">
        <f>VLOOKUP($A43, Sheet5!$A$1:$E$119,2,FALSE)</f>
        <v>IBD</v>
      </c>
      <c r="C43" s="27" t="str">
        <f>VLOOKUP($A43, Sheet5!$A$1:$E$119,3,FALSE)</f>
        <v>otu_2</v>
      </c>
      <c r="D43" s="27" t="str">
        <f>VLOOKUP($A43, Sheet5!$A$1:$E$119,4,FALSE)</f>
        <v>M</v>
      </c>
      <c r="E43" s="27">
        <f>VLOOKUP($A43, Sheet5!$A$1:$E$119,5,FALSE)</f>
        <v>4</v>
      </c>
      <c r="F43" s="67">
        <v>4.9404000000000003E-2</v>
      </c>
      <c r="G43" s="67">
        <v>3.3831E-3</v>
      </c>
      <c r="H43" s="67">
        <v>3.6772826086956516E-3</v>
      </c>
      <c r="I43" s="86"/>
      <c r="J43" s="86"/>
      <c r="K43" s="86"/>
      <c r="L43">
        <v>0.12185600000000002</v>
      </c>
      <c r="M43">
        <v>3.1280000000000001E-3</v>
      </c>
      <c r="N43">
        <v>3.4910714285714287E-4</v>
      </c>
      <c r="O43">
        <v>0.13055999999999998</v>
      </c>
      <c r="P43">
        <v>1.6640000000000001E-3</v>
      </c>
      <c r="Q43">
        <v>1.6313725490196081E-4</v>
      </c>
      <c r="R43">
        <v>0.91999999999999993</v>
      </c>
      <c r="S43">
        <v>0.12328</v>
      </c>
      <c r="T43">
        <v>8.9515999999999984E-2</v>
      </c>
      <c r="U43">
        <v>0.44619999999999999</v>
      </c>
      <c r="V43">
        <v>0.48399999999999999</v>
      </c>
      <c r="W43">
        <v>0.10212400000000001</v>
      </c>
      <c r="X43">
        <v>6.5339999999999999E-3</v>
      </c>
      <c r="Y43">
        <v>0.29330400000000001</v>
      </c>
      <c r="AD43">
        <v>1.79</v>
      </c>
      <c r="AE43">
        <v>2.5776E-2</v>
      </c>
      <c r="AF43">
        <v>2.6850000000000003E-3</v>
      </c>
      <c r="AG43">
        <v>1.2834300000000001</v>
      </c>
    </row>
    <row r="44" spans="1:33" x14ac:dyDescent="0.3">
      <c r="A44" s="22">
        <v>470</v>
      </c>
      <c r="B44" s="27" t="str">
        <f>VLOOKUP($A44, Sheet5!$A$1:$E$119,2,FALSE)</f>
        <v>IBD</v>
      </c>
      <c r="C44" s="27" t="str">
        <f>VLOOKUP($A44, Sheet5!$A$1:$E$119,3,FALSE)</f>
        <v>otu_2</v>
      </c>
      <c r="D44" s="27" t="str">
        <f>VLOOKUP($A44, Sheet5!$A$1:$E$119,4,FALSE)</f>
        <v>F</v>
      </c>
      <c r="E44" s="27">
        <f>VLOOKUP($A44, Sheet5!$A$1:$E$119,5,FALSE)</f>
        <v>3</v>
      </c>
      <c r="F44" s="67">
        <v>3.9738000000000002E-2</v>
      </c>
      <c r="G44" s="67">
        <v>0.17184000000000002</v>
      </c>
      <c r="H44" s="67">
        <v>0.23221621621621621</v>
      </c>
      <c r="I44" s="67"/>
      <c r="J44" s="67"/>
      <c r="K44" s="67"/>
    </row>
    <row r="45" spans="1:33" x14ac:dyDescent="0.3">
      <c r="A45" s="22">
        <v>473</v>
      </c>
      <c r="B45" s="27" t="str">
        <f>VLOOKUP($A45, Sheet5!$A$1:$E$119,2,FALSE)</f>
        <v>IBD</v>
      </c>
      <c r="C45" s="27" t="str">
        <f>VLOOKUP($A45, Sheet5!$A$1:$E$119,3,FALSE)</f>
        <v>otu_2</v>
      </c>
      <c r="D45" s="27" t="str">
        <f>VLOOKUP($A45, Sheet5!$A$1:$E$119,4,FALSE)</f>
        <v>M</v>
      </c>
      <c r="E45" s="27">
        <f>VLOOKUP($A45, Sheet5!$A$1:$E$119,5,FALSE)</f>
        <v>5</v>
      </c>
      <c r="F45" s="67">
        <v>0.48436200000000001</v>
      </c>
      <c r="G45" s="67">
        <v>5.0786000000000005E-2</v>
      </c>
      <c r="H45" s="67">
        <v>7.9477308294209712E-3</v>
      </c>
      <c r="I45" s="86"/>
      <c r="J45" s="86"/>
      <c r="K45" s="86"/>
      <c r="R45">
        <v>1.74</v>
      </c>
      <c r="S45">
        <v>0.17573999999999998</v>
      </c>
      <c r="T45">
        <v>5.0460000000000005E-2</v>
      </c>
      <c r="U45">
        <v>0.96048</v>
      </c>
      <c r="V45">
        <v>1.1200000000000001</v>
      </c>
      <c r="W45">
        <v>6.5967999999999999E-2</v>
      </c>
      <c r="X45">
        <v>8.8480000000000017E-3</v>
      </c>
      <c r="Y45">
        <v>0.89040000000000008</v>
      </c>
      <c r="Z45">
        <v>14.2</v>
      </c>
      <c r="AD45">
        <v>1.8499999999999999</v>
      </c>
      <c r="AE45">
        <v>0.17538000000000001</v>
      </c>
      <c r="AF45">
        <v>6.4749999999999999E-3</v>
      </c>
      <c r="AG45">
        <v>1.3949</v>
      </c>
    </row>
    <row r="46" spans="1:33" x14ac:dyDescent="0.3">
      <c r="A46" s="7">
        <v>476</v>
      </c>
      <c r="B46" s="27" t="str">
        <f>VLOOKUP($A46, Sheet5!$A$1:$E$119,2,FALSE)</f>
        <v>IBD</v>
      </c>
      <c r="C46" s="27" t="str">
        <f>VLOOKUP($A46, Sheet5!$A$1:$E$119,3,FALSE)</f>
        <v>otu_1</v>
      </c>
      <c r="D46" s="27" t="str">
        <f>VLOOKUP($A46, Sheet5!$A$1:$E$119,4,FALSE)</f>
        <v>M</v>
      </c>
      <c r="E46" s="27">
        <f>VLOOKUP($A46, Sheet5!$A$1:$E$119,5,FALSE)</f>
        <v>3</v>
      </c>
      <c r="F46" s="67">
        <v>1.0287200000000001</v>
      </c>
      <c r="G46" s="67">
        <v>5.8520000000000004E-3</v>
      </c>
      <c r="H46" s="67">
        <v>1.7520958083832336E-4</v>
      </c>
      <c r="I46" s="45">
        <v>8.1879999999999994E-2</v>
      </c>
      <c r="J46" s="45">
        <v>2.0699999999999998</v>
      </c>
      <c r="K46" s="45">
        <v>1.8195555555555556E-3</v>
      </c>
      <c r="L46">
        <v>1.1425800000000002</v>
      </c>
      <c r="M46">
        <v>2.9592E-2</v>
      </c>
      <c r="N46">
        <v>1.0644604316546763E-3</v>
      </c>
      <c r="O46">
        <v>1.23136</v>
      </c>
      <c r="P46">
        <v>4.0960000000000003E-2</v>
      </c>
      <c r="Q46">
        <v>8.5155925155925172E-4</v>
      </c>
    </row>
    <row r="47" spans="1:33" x14ac:dyDescent="0.3">
      <c r="A47" s="7">
        <v>481</v>
      </c>
      <c r="B47" s="27" t="str">
        <f>VLOOKUP($A47, Sheet5!$A$1:$E$119,2,FALSE)</f>
        <v>IBD</v>
      </c>
      <c r="C47" s="27" t="str">
        <f>VLOOKUP($A47, Sheet5!$A$1:$E$119,3,FALSE)</f>
        <v>otu_1</v>
      </c>
      <c r="D47" s="27" t="str">
        <f>VLOOKUP($A47, Sheet5!$A$1:$E$119,4,FALSE)</f>
        <v>M</v>
      </c>
      <c r="E47" s="27">
        <f>VLOOKUP($A47, Sheet5!$A$1:$E$119,5,FALSE)</f>
        <v>4</v>
      </c>
      <c r="F47" s="67">
        <v>0.48359999999999997</v>
      </c>
      <c r="G47" s="67">
        <v>8.9900000000000008E-2</v>
      </c>
      <c r="H47" s="67">
        <v>5.7628205128205136E-3</v>
      </c>
      <c r="I47" s="45">
        <v>3.9824999999999999E-2</v>
      </c>
      <c r="J47" s="45">
        <v>0.49028999999999995</v>
      </c>
      <c r="K47" s="45">
        <v>1.4377256317689533E-3</v>
      </c>
      <c r="L47">
        <v>0.42210000000000009</v>
      </c>
      <c r="M47">
        <v>2.2890000000000001E-2</v>
      </c>
      <c r="N47">
        <v>1.1388059701492538E-3</v>
      </c>
      <c r="R47">
        <v>0.73000000000000009</v>
      </c>
      <c r="V47">
        <v>0.51</v>
      </c>
      <c r="AD47">
        <v>0.20900000000000002</v>
      </c>
    </row>
    <row r="48" spans="1:33" x14ac:dyDescent="0.3">
      <c r="A48" s="7">
        <v>483</v>
      </c>
      <c r="B48" s="27" t="str">
        <f>VLOOKUP($A48, Sheet5!$A$1:$E$119,2,FALSE)</f>
        <v>IBD</v>
      </c>
      <c r="C48" s="27" t="str">
        <f>VLOOKUP($A48, Sheet5!$A$1:$E$119,3,FALSE)</f>
        <v>otu_1</v>
      </c>
      <c r="D48" s="27" t="str">
        <f>VLOOKUP($A48, Sheet5!$A$1:$E$119,4,FALSE)</f>
        <v>M</v>
      </c>
      <c r="E48" s="27">
        <f>VLOOKUP($A48, Sheet5!$A$1:$E$119,5,FALSE)</f>
        <v>5</v>
      </c>
      <c r="F48" s="67">
        <v>0.50864000000000009</v>
      </c>
      <c r="G48" s="67">
        <v>1.0472000000000001E-3</v>
      </c>
      <c r="H48" s="67">
        <v>7.7000000000000015E-5</v>
      </c>
      <c r="I48" s="45">
        <v>2.4107999999999997E-2</v>
      </c>
      <c r="J48" s="45">
        <v>1.09368</v>
      </c>
      <c r="K48" s="45">
        <v>6.4806451612903215E-4</v>
      </c>
      <c r="L48">
        <v>1.6032499999999998</v>
      </c>
      <c r="M48">
        <v>2.6234999999999998E-2</v>
      </c>
      <c r="N48">
        <v>9.540000000000001E-4</v>
      </c>
      <c r="O48">
        <v>1.2192999999999998</v>
      </c>
      <c r="P48">
        <v>1.1125000000000001E-2</v>
      </c>
      <c r="Q48">
        <v>4.0602189781021903E-4</v>
      </c>
      <c r="R48">
        <v>2.61</v>
      </c>
      <c r="S48">
        <v>9.134999999999999E-3</v>
      </c>
      <c r="T48">
        <v>6.9426000000000002E-2</v>
      </c>
      <c r="U48">
        <v>9.0045E-2</v>
      </c>
      <c r="V48">
        <v>0.25</v>
      </c>
    </row>
    <row r="49" spans="1:33" x14ac:dyDescent="0.3">
      <c r="A49" s="22">
        <v>485</v>
      </c>
      <c r="B49" s="27" t="str">
        <f>VLOOKUP($A49, Sheet5!$A$1:$E$119,2,FALSE)</f>
        <v>IBD</v>
      </c>
      <c r="C49" s="27" t="str">
        <f>VLOOKUP($A49, Sheet5!$A$1:$E$119,3,FALSE)</f>
        <v>otu_2</v>
      </c>
      <c r="D49" s="27" t="str">
        <f>VLOOKUP($A49, Sheet5!$A$1:$E$119,4,FALSE)</f>
        <v>M</v>
      </c>
      <c r="E49" s="27">
        <f>VLOOKUP($A49, Sheet5!$A$1:$E$119,5,FALSE)</f>
        <v>3</v>
      </c>
      <c r="F49" s="67">
        <v>0.12831299999999998</v>
      </c>
      <c r="G49" s="67">
        <v>0.67256999999999989</v>
      </c>
      <c r="H49" s="67">
        <v>0.25002602230483267</v>
      </c>
      <c r="I49" s="67">
        <v>8.0909999999999996E-2</v>
      </c>
      <c r="J49" s="67">
        <v>0.2883</v>
      </c>
      <c r="K49" s="67">
        <v>4.3499999999999997E-3</v>
      </c>
      <c r="L49">
        <v>0.30418899999999999</v>
      </c>
      <c r="M49">
        <v>0.78115999999999997</v>
      </c>
      <c r="N49">
        <v>8.5001088139281838E-2</v>
      </c>
      <c r="O49">
        <v>0.26964000000000005</v>
      </c>
      <c r="P49">
        <v>1.2180000000000002</v>
      </c>
      <c r="Q49">
        <v>0.1897196261682243</v>
      </c>
      <c r="R49">
        <v>5.77</v>
      </c>
      <c r="S49">
        <v>0.12636299999999998</v>
      </c>
      <c r="T49">
        <v>8.6549999999999995E-3</v>
      </c>
      <c r="U49">
        <v>4.2928800000000003</v>
      </c>
      <c r="V49">
        <v>19.060000000000002</v>
      </c>
      <c r="W49">
        <v>3.4307999999999998E-2</v>
      </c>
      <c r="Y49">
        <v>16.258180000000003</v>
      </c>
      <c r="Z49">
        <v>11</v>
      </c>
      <c r="AA49">
        <v>0.11990000000000001</v>
      </c>
      <c r="AB49">
        <v>7.2600000000000012E-2</v>
      </c>
      <c r="AC49">
        <v>7.6559999999999988</v>
      </c>
      <c r="AD49">
        <v>2.76</v>
      </c>
      <c r="AE49">
        <v>7.5899999999999995E-2</v>
      </c>
      <c r="AG49">
        <v>1.9871999999999996</v>
      </c>
    </row>
    <row r="50" spans="1:33" x14ac:dyDescent="0.3">
      <c r="A50" s="22">
        <v>486</v>
      </c>
      <c r="B50" s="27" t="str">
        <f>VLOOKUP($A50, Sheet5!$A$1:$E$119,2,FALSE)</f>
        <v>IBD</v>
      </c>
      <c r="C50" s="27" t="str">
        <f>VLOOKUP($A50, Sheet5!$A$1:$E$119,3,FALSE)</f>
        <v>otu_2</v>
      </c>
      <c r="D50" s="27" t="str">
        <f>VLOOKUP($A50, Sheet5!$A$1:$E$119,4,FALSE)</f>
        <v>F</v>
      </c>
      <c r="E50" s="27">
        <f>VLOOKUP($A50, Sheet5!$A$1:$E$119,5,FALSE)</f>
        <v>4</v>
      </c>
      <c r="F50" s="67">
        <v>0.13943800000000001</v>
      </c>
      <c r="G50" s="67">
        <v>7.9925999999999997E-2</v>
      </c>
      <c r="H50" s="67">
        <v>1.9832754342431761E-2</v>
      </c>
      <c r="I50" s="67">
        <v>4.4159999999999998E-3</v>
      </c>
      <c r="J50" s="67">
        <v>3.5120999999999999E-2</v>
      </c>
      <c r="K50" s="67">
        <v>8.6758349705304521E-4</v>
      </c>
      <c r="L50">
        <v>0.133488</v>
      </c>
      <c r="M50">
        <v>0.18835200000000005</v>
      </c>
      <c r="N50">
        <v>6.0955339805825251E-2</v>
      </c>
      <c r="O50">
        <v>9.5558999999999991E-2</v>
      </c>
      <c r="P50">
        <v>3.8159999999999999E-2</v>
      </c>
      <c r="Q50">
        <v>6.3494176372712145E-3</v>
      </c>
      <c r="R50">
        <v>0.4</v>
      </c>
      <c r="S50">
        <v>4.7200000000000006E-2</v>
      </c>
      <c r="T50">
        <v>3.508E-2</v>
      </c>
      <c r="U50">
        <v>0.13919999999999999</v>
      </c>
      <c r="V50">
        <v>1.86</v>
      </c>
      <c r="W50">
        <v>0.46872000000000003</v>
      </c>
      <c r="X50">
        <v>3.7758E-2</v>
      </c>
      <c r="Y50">
        <v>0.90024000000000004</v>
      </c>
      <c r="Z50">
        <v>0.44</v>
      </c>
      <c r="AA50">
        <v>4.2152000000000002E-2</v>
      </c>
      <c r="AB50">
        <v>2.1604000000000002E-2</v>
      </c>
      <c r="AC50">
        <v>0.14431999999999998</v>
      </c>
      <c r="AD50">
        <v>1.1340000000000001</v>
      </c>
      <c r="AE50">
        <v>0.19278000000000003</v>
      </c>
      <c r="AF50">
        <v>3.6628200000000007E-2</v>
      </c>
      <c r="AG50">
        <v>0.73710000000000009</v>
      </c>
    </row>
    <row r="51" spans="1:33" x14ac:dyDescent="0.3">
      <c r="A51" s="22">
        <v>490</v>
      </c>
      <c r="B51" s="27" t="str">
        <f>VLOOKUP($A51, Sheet5!$A$1:$E$119,2,FALSE)</f>
        <v>IBD</v>
      </c>
      <c r="C51" s="27" t="str">
        <f>VLOOKUP($A51, Sheet5!$A$1:$E$119,3,FALSE)</f>
        <v>otu_2</v>
      </c>
      <c r="D51" s="27" t="str">
        <f>VLOOKUP($A51, Sheet5!$A$1:$E$119,4,FALSE)</f>
        <v>M</v>
      </c>
      <c r="E51" s="27">
        <f>VLOOKUP($A51, Sheet5!$A$1:$E$119,5,FALSE)</f>
        <v>6</v>
      </c>
      <c r="F51" s="86"/>
      <c r="G51" s="86"/>
      <c r="H51" s="86"/>
      <c r="I51" s="67">
        <v>7.7376E-2</v>
      </c>
      <c r="J51" s="67">
        <v>0.11928799999999999</v>
      </c>
      <c r="K51" s="67">
        <v>1.6086486486486487E-2</v>
      </c>
      <c r="L51">
        <v>4.7579999999999997E-2</v>
      </c>
      <c r="M51">
        <v>0.42509999999999998</v>
      </c>
      <c r="N51">
        <v>0.17422131147540984</v>
      </c>
      <c r="R51">
        <v>3.92</v>
      </c>
      <c r="S51">
        <v>0.33516000000000007</v>
      </c>
      <c r="T51">
        <v>1.4504E-2</v>
      </c>
      <c r="U51">
        <v>2.9478399999999998</v>
      </c>
      <c r="V51">
        <v>1.6199999999999999</v>
      </c>
      <c r="Z51">
        <v>4.51</v>
      </c>
      <c r="AD51">
        <v>4</v>
      </c>
      <c r="AE51">
        <v>9.0399999999999994E-2</v>
      </c>
      <c r="AG51">
        <v>2.964</v>
      </c>
    </row>
    <row r="52" spans="1:33" x14ac:dyDescent="0.3">
      <c r="A52" s="33">
        <v>491</v>
      </c>
      <c r="B52" s="27" t="str">
        <f>VLOOKUP($A52, Sheet5!$A$1:$E$119,2,FALSE)</f>
        <v>Healthy</v>
      </c>
      <c r="C52" s="27" t="str">
        <f>VLOOKUP($A52, Sheet5!$A$1:$E$119,3,FALSE)</f>
        <v>otu_2</v>
      </c>
      <c r="D52" s="27" t="str">
        <f>VLOOKUP($A52, Sheet5!$A$1:$E$119,4,FALSE)</f>
        <v>F</v>
      </c>
      <c r="E52" s="27">
        <f>VLOOKUP($A52, Sheet5!$A$1:$E$119,5,FALSE)</f>
        <v>0</v>
      </c>
      <c r="F52" s="67">
        <v>0.26792699999999997</v>
      </c>
      <c r="G52" s="67">
        <v>1.1233200000000001</v>
      </c>
      <c r="H52" s="67">
        <v>0.31822096317280457</v>
      </c>
      <c r="I52" s="67">
        <v>0.40157999999999994</v>
      </c>
      <c r="J52" s="67">
        <v>2.3667999999999996</v>
      </c>
      <c r="K52" s="67">
        <v>1.6458196721311474E-2</v>
      </c>
      <c r="L52" s="95">
        <v>1.3969100000000001</v>
      </c>
      <c r="M52" s="95">
        <v>0.83386100000000019</v>
      </c>
      <c r="N52" s="95">
        <v>5.1157116564417182E-2</v>
      </c>
      <c r="O52">
        <v>1.7556</v>
      </c>
      <c r="P52">
        <v>1.7251999999999998</v>
      </c>
      <c r="Q52">
        <v>0.9826839826839826</v>
      </c>
      <c r="R52">
        <v>7.76</v>
      </c>
      <c r="S52">
        <v>0.110968</v>
      </c>
      <c r="T52">
        <v>7.8376000000000001E-2</v>
      </c>
      <c r="U52">
        <v>2.1495199999999999</v>
      </c>
      <c r="V52">
        <v>12.2</v>
      </c>
      <c r="W52">
        <v>0.16957999999999998</v>
      </c>
      <c r="X52">
        <v>7.5639999999999985E-2</v>
      </c>
      <c r="Y52">
        <v>3.5136000000000003</v>
      </c>
      <c r="Z52">
        <v>12.219999999999999</v>
      </c>
      <c r="AA52">
        <v>0.23951199999999997</v>
      </c>
      <c r="AB52">
        <v>9.8981999999999987E-2</v>
      </c>
      <c r="AC52">
        <v>2.8228199999999997</v>
      </c>
      <c r="AD52">
        <v>11.08</v>
      </c>
      <c r="AE52">
        <v>0.13739200000000001</v>
      </c>
      <c r="AF52">
        <v>6.6479999999999997E-2</v>
      </c>
      <c r="AG52">
        <v>3.5566800000000001</v>
      </c>
    </row>
    <row r="53" spans="1:33" x14ac:dyDescent="0.3">
      <c r="A53" s="22">
        <v>492</v>
      </c>
      <c r="B53" s="27" t="str">
        <f>VLOOKUP($A53, Sheet5!$A$1:$E$119,2,FALSE)</f>
        <v>IBD</v>
      </c>
      <c r="C53" s="27" t="str">
        <f>VLOOKUP($A53, Sheet5!$A$1:$E$119,3,FALSE)</f>
        <v>otu_2</v>
      </c>
      <c r="D53" s="27" t="str">
        <f>VLOOKUP($A53, Sheet5!$A$1:$E$119,4,FALSE)</f>
        <v>F</v>
      </c>
      <c r="E53" s="27">
        <f>VLOOKUP($A53, Sheet5!$A$1:$E$119,5,FALSE)</f>
        <v>5</v>
      </c>
      <c r="F53" s="67">
        <v>4.7208E-2</v>
      </c>
      <c r="G53" s="67">
        <v>4.3343999999999994E-2</v>
      </c>
      <c r="H53" s="67">
        <v>1.542491103202847E-2</v>
      </c>
      <c r="I53" s="60"/>
      <c r="J53" s="60"/>
      <c r="K53" s="60"/>
      <c r="L53">
        <v>0.111426</v>
      </c>
      <c r="M53">
        <v>0.229295</v>
      </c>
      <c r="N53">
        <v>7.7991496598639465E-2</v>
      </c>
      <c r="O53">
        <v>8.2500000000000004E-2</v>
      </c>
      <c r="P53">
        <v>4.7299999999999995E-2</v>
      </c>
      <c r="Q53">
        <v>1.5766666666666665E-2</v>
      </c>
      <c r="R53">
        <v>0.4</v>
      </c>
      <c r="S53">
        <v>2.0240000000000001E-2</v>
      </c>
      <c r="T53">
        <v>1.3920000000000002E-2</v>
      </c>
      <c r="U53">
        <v>9.3200000000000005E-2</v>
      </c>
      <c r="V53">
        <v>0.27900000000000003</v>
      </c>
      <c r="Z53">
        <v>0.62</v>
      </c>
      <c r="AD53">
        <v>0.24</v>
      </c>
    </row>
    <row r="54" spans="1:33" x14ac:dyDescent="0.3">
      <c r="A54" s="22">
        <v>493</v>
      </c>
      <c r="B54" s="27" t="str">
        <f>VLOOKUP($A54, Sheet5!$A$1:$E$119,2,FALSE)</f>
        <v>IBD</v>
      </c>
      <c r="C54" s="27" t="str">
        <f>VLOOKUP($A54, Sheet5!$A$1:$E$119,3,FALSE)</f>
        <v>otu_2</v>
      </c>
      <c r="D54" s="27" t="str">
        <f>VLOOKUP($A54, Sheet5!$A$1:$E$119,4,FALSE)</f>
        <v>M</v>
      </c>
      <c r="E54" s="27">
        <f>VLOOKUP($A54, Sheet5!$A$1:$E$119,5,FALSE)</f>
        <v>5</v>
      </c>
      <c r="F54" s="67">
        <v>2.3051999999999996E-2</v>
      </c>
      <c r="G54" s="67">
        <v>0.33990399999999993</v>
      </c>
      <c r="H54" s="67">
        <v>0.66647843137254892</v>
      </c>
      <c r="I54" s="67">
        <v>1.0010000000000002E-2</v>
      </c>
      <c r="J54" s="67">
        <v>1.8920000000000003E-2</v>
      </c>
      <c r="K54" s="67">
        <v>5.8197674418604657E-3</v>
      </c>
      <c r="L54">
        <v>1.8720000000000001E-2</v>
      </c>
      <c r="M54">
        <v>0.21762000000000001</v>
      </c>
      <c r="N54">
        <v>0.13601249999999998</v>
      </c>
      <c r="O54">
        <v>5.4351999999999998E-2</v>
      </c>
      <c r="P54">
        <v>0.36119999999999997</v>
      </c>
      <c r="Q54">
        <v>0.11430379746835444</v>
      </c>
      <c r="R54">
        <v>3.2300000000000004</v>
      </c>
      <c r="S54">
        <v>0.35853000000000002</v>
      </c>
      <c r="T54">
        <v>1.1628000000000001E-2</v>
      </c>
      <c r="U54">
        <v>2.6259900000000003</v>
      </c>
      <c r="V54">
        <v>1</v>
      </c>
      <c r="Z54">
        <v>13.6</v>
      </c>
      <c r="AA54">
        <v>0.67320000000000002</v>
      </c>
      <c r="AB54">
        <v>1.3464E-2</v>
      </c>
      <c r="AC54">
        <v>11.519200000000001</v>
      </c>
      <c r="AD54">
        <v>0.92999999999999994</v>
      </c>
      <c r="AE54">
        <v>3.3387E-2</v>
      </c>
      <c r="AF54">
        <v>2.0459999999999996E-3</v>
      </c>
      <c r="AG54">
        <v>0.80444999999999989</v>
      </c>
    </row>
    <row r="55" spans="1:33" x14ac:dyDescent="0.3">
      <c r="A55" s="22">
        <v>495</v>
      </c>
      <c r="B55" s="27" t="str">
        <f>VLOOKUP($A55, Sheet5!$A$1:$E$119,2,FALSE)</f>
        <v>IBD</v>
      </c>
      <c r="C55" s="27" t="str">
        <f>VLOOKUP($A55, Sheet5!$A$1:$E$119,3,FALSE)</f>
        <v>otu_2</v>
      </c>
      <c r="D55" s="27" t="str">
        <f>VLOOKUP($A55, Sheet5!$A$1:$E$119,4,FALSE)</f>
        <v>M</v>
      </c>
      <c r="E55" s="27">
        <f>VLOOKUP($A55, Sheet5!$A$1:$E$119,5,FALSE)</f>
        <v>3</v>
      </c>
      <c r="F55" s="86"/>
      <c r="G55" s="86"/>
      <c r="H55" s="86"/>
      <c r="I55" s="67">
        <v>0.10733399999999998</v>
      </c>
      <c r="J55" s="67">
        <v>8.5172999999999985E-2</v>
      </c>
      <c r="K55" s="67">
        <v>3.3647021943573663E-2</v>
      </c>
      <c r="L55">
        <v>3.6445000000000005E-2</v>
      </c>
      <c r="M55">
        <v>0.26201000000000002</v>
      </c>
      <c r="N55">
        <v>0.14162702702702704</v>
      </c>
      <c r="O55">
        <v>3.7232000000000001E-2</v>
      </c>
      <c r="P55">
        <v>0.41600000000000004</v>
      </c>
      <c r="Q55">
        <v>0.23240223463687151</v>
      </c>
      <c r="R55">
        <v>8.2199999999999989</v>
      </c>
      <c r="S55">
        <v>0.11918999999999999</v>
      </c>
      <c r="T55">
        <v>1.1508000000000001E-2</v>
      </c>
      <c r="U55">
        <v>6.1156800000000002</v>
      </c>
      <c r="V55">
        <v>10.42</v>
      </c>
      <c r="W55">
        <v>5.0015999999999998E-2</v>
      </c>
      <c r="X55">
        <v>2.0839999999999999E-3</v>
      </c>
      <c r="Y55">
        <v>8.6486000000000001</v>
      </c>
      <c r="Z55">
        <v>21.2</v>
      </c>
      <c r="AA55">
        <v>0.21411999999999998</v>
      </c>
      <c r="AB55">
        <v>4.8760000000000001E-3</v>
      </c>
      <c r="AC55">
        <v>16.1968</v>
      </c>
      <c r="AD55">
        <v>9.1199999999999992</v>
      </c>
      <c r="AE55">
        <v>0.121296</v>
      </c>
      <c r="AF55">
        <v>2.5535999999999996E-3</v>
      </c>
      <c r="AG55">
        <v>7.2047999999999988</v>
      </c>
    </row>
    <row r="56" spans="1:33" x14ac:dyDescent="0.3">
      <c r="A56" s="7">
        <v>500</v>
      </c>
      <c r="B56" s="27" t="str">
        <f>VLOOKUP($A56, Sheet5!$A$1:$E$119,2,FALSE)</f>
        <v>IBD</v>
      </c>
      <c r="C56" s="27" t="str">
        <f>VLOOKUP($A56, Sheet5!$A$1:$E$119,3,FALSE)</f>
        <v>otu_1</v>
      </c>
      <c r="D56" s="27" t="str">
        <f>VLOOKUP($A56, Sheet5!$A$1:$E$119,4,FALSE)</f>
        <v>M</v>
      </c>
      <c r="E56" s="27">
        <f>VLOOKUP($A56, Sheet5!$A$1:$E$119,5,FALSE)</f>
        <v>6</v>
      </c>
      <c r="F56" s="67">
        <v>0.43406999999999996</v>
      </c>
      <c r="G56" s="67">
        <v>9.2750000000000003E-3</v>
      </c>
      <c r="H56" s="67">
        <v>7.9273504273504264E-4</v>
      </c>
      <c r="I56" s="45">
        <v>7.0586999999999997E-2</v>
      </c>
      <c r="J56" s="45">
        <v>0.88182000000000005</v>
      </c>
      <c r="K56" s="45">
        <v>1.6569718309859152E-3</v>
      </c>
      <c r="L56">
        <v>0.11648000000000001</v>
      </c>
      <c r="M56">
        <v>2.5648000000000004E-2</v>
      </c>
      <c r="N56">
        <v>2.4661538461538462E-3</v>
      </c>
      <c r="O56">
        <v>0.98124000000000011</v>
      </c>
      <c r="P56">
        <v>2.5908E-2</v>
      </c>
      <c r="Q56">
        <v>5.3862785862785856E-4</v>
      </c>
      <c r="R56">
        <v>2.35</v>
      </c>
      <c r="S56">
        <v>6.1100000000000008E-3</v>
      </c>
      <c r="T56">
        <v>7.8255000000000005E-2</v>
      </c>
      <c r="U56">
        <v>1.5275E-2</v>
      </c>
      <c r="V56">
        <v>4.05</v>
      </c>
      <c r="W56">
        <v>7.2900000000000006E-2</v>
      </c>
      <c r="X56">
        <v>0.168075</v>
      </c>
      <c r="Y56">
        <v>0.15309</v>
      </c>
      <c r="Z56">
        <v>2.13</v>
      </c>
      <c r="AA56">
        <v>7.6679999999999995E-3</v>
      </c>
      <c r="AB56">
        <v>4.1747999999999993E-2</v>
      </c>
      <c r="AC56">
        <v>3.4079999999999999E-2</v>
      </c>
      <c r="AD56">
        <v>3.21</v>
      </c>
      <c r="AE56">
        <v>2.4717000000000003E-2</v>
      </c>
      <c r="AF56">
        <v>9.2448000000000002E-2</v>
      </c>
      <c r="AG56">
        <v>7.7681999999999987E-2</v>
      </c>
    </row>
    <row r="57" spans="1:33" x14ac:dyDescent="0.3">
      <c r="A57" s="33">
        <v>504</v>
      </c>
      <c r="B57" s="27" t="str">
        <f>VLOOKUP($A57, Sheet5!$A$1:$E$119,2,FALSE)</f>
        <v>Healthy</v>
      </c>
      <c r="C57" s="27" t="str">
        <f>VLOOKUP($A57, Sheet5!$A$1:$E$119,3,FALSE)</f>
        <v>otu_2</v>
      </c>
      <c r="D57" s="27" t="str">
        <f>VLOOKUP($A57, Sheet5!$A$1:$E$119,4,FALSE)</f>
        <v>F</v>
      </c>
      <c r="E57" s="27">
        <f>VLOOKUP($A57, Sheet5!$A$1:$E$119,5,FALSE)</f>
        <v>0</v>
      </c>
      <c r="F57" s="67">
        <v>0.35305799999999998</v>
      </c>
      <c r="G57" s="67">
        <v>1.8973199999999997</v>
      </c>
      <c r="H57" s="67">
        <v>0.52557340720221601</v>
      </c>
      <c r="I57" s="67">
        <v>0.9770899999999999</v>
      </c>
      <c r="J57" s="67">
        <v>0.48609000000000002</v>
      </c>
      <c r="K57" s="67">
        <v>9.8695959595959587E-2</v>
      </c>
      <c r="L57" s="95">
        <v>0.31724000000000002</v>
      </c>
      <c r="M57" s="95">
        <v>0.55132000000000003</v>
      </c>
      <c r="N57" s="95">
        <v>5.3526213592233002E-2</v>
      </c>
      <c r="O57">
        <v>0.74199999999999999</v>
      </c>
      <c r="P57">
        <v>1.6695</v>
      </c>
      <c r="Q57">
        <v>2.25</v>
      </c>
      <c r="R57">
        <v>11.75</v>
      </c>
      <c r="S57">
        <v>9.9874999999999992E-2</v>
      </c>
      <c r="T57">
        <v>2.8199999999999999E-2</v>
      </c>
      <c r="U57">
        <v>5.8044999999999991</v>
      </c>
      <c r="V57">
        <v>0.64</v>
      </c>
      <c r="W57">
        <v>5.0560000000000006E-3</v>
      </c>
      <c r="X57">
        <v>5.8239999999999995E-4</v>
      </c>
      <c r="Y57">
        <v>0.31424000000000002</v>
      </c>
      <c r="Z57">
        <v>19.399999999999999</v>
      </c>
      <c r="AA57">
        <v>9.1179999999999983E-2</v>
      </c>
      <c r="AB57">
        <v>8.7299999999999982E-3</v>
      </c>
      <c r="AD57">
        <v>11.120000000000001</v>
      </c>
      <c r="AE57">
        <v>7.3392000000000013E-2</v>
      </c>
      <c r="AF57">
        <v>7.784000000000001E-3</v>
      </c>
      <c r="AG57">
        <v>3.8586400000000007</v>
      </c>
    </row>
    <row r="58" spans="1:33" x14ac:dyDescent="0.3">
      <c r="A58" s="33">
        <v>515</v>
      </c>
      <c r="B58" s="27" t="str">
        <f>VLOOKUP($A58, Sheet5!$A$1:$E$119,2,FALSE)</f>
        <v>Healthy</v>
      </c>
      <c r="C58" s="27" t="str">
        <f>VLOOKUP($A58, Sheet5!$A$1:$E$119,3,FALSE)</f>
        <v>otu_2</v>
      </c>
      <c r="D58" s="27" t="str">
        <f>VLOOKUP($A58, Sheet5!$A$1:$E$119,4,FALSE)</f>
        <v>F</v>
      </c>
      <c r="E58" s="27">
        <f>VLOOKUP($A58, Sheet5!$A$1:$E$119,5,FALSE)</f>
        <v>6</v>
      </c>
      <c r="F58" s="67">
        <v>0.26792699999999997</v>
      </c>
      <c r="G58" s="67">
        <v>1.1233200000000001</v>
      </c>
      <c r="H58" s="67">
        <v>0.31822096317280457</v>
      </c>
      <c r="I58" s="67">
        <v>0.57152000000000003</v>
      </c>
      <c r="J58" s="67">
        <v>0.96672000000000002</v>
      </c>
      <c r="K58" s="67">
        <v>3.594465408805031E-2</v>
      </c>
      <c r="L58" s="95">
        <v>0.92462999999999995</v>
      </c>
      <c r="M58" s="95">
        <v>1.07226</v>
      </c>
      <c r="N58" s="95">
        <v>9.0105882352941188E-2</v>
      </c>
      <c r="O58">
        <v>0.664825</v>
      </c>
      <c r="P58">
        <v>0.89175000000000015</v>
      </c>
      <c r="Q58">
        <v>1.3413304252998912</v>
      </c>
      <c r="R58">
        <v>10.23</v>
      </c>
      <c r="S58">
        <v>0.14935799999999999</v>
      </c>
      <c r="T58">
        <v>2.6598E-2</v>
      </c>
      <c r="U58">
        <v>4.1022300000000005</v>
      </c>
      <c r="V58">
        <v>12.06</v>
      </c>
      <c r="W58">
        <v>5.1858000000000001E-2</v>
      </c>
      <c r="X58">
        <v>2.4120000000000001E-3</v>
      </c>
      <c r="Y58">
        <v>4.3416000000000006</v>
      </c>
      <c r="Z58">
        <v>22.8</v>
      </c>
      <c r="AA58">
        <v>0.14136000000000001</v>
      </c>
      <c r="AB58">
        <v>1.6643999999999999E-2</v>
      </c>
      <c r="AC58">
        <v>7.4556000000000004</v>
      </c>
      <c r="AD58">
        <v>12.09</v>
      </c>
      <c r="AE58">
        <v>7.8585000000000002E-2</v>
      </c>
      <c r="AF58">
        <v>3.7479000000000002E-3</v>
      </c>
      <c r="AG58">
        <v>3.8325299999999998</v>
      </c>
    </row>
    <row r="59" spans="1:33" x14ac:dyDescent="0.3">
      <c r="A59" s="33">
        <v>519</v>
      </c>
      <c r="B59" s="27" t="str">
        <f>VLOOKUP($A59, Sheet5!$A$1:$E$119,2,FALSE)</f>
        <v>Healthy</v>
      </c>
      <c r="C59" s="27" t="str">
        <f>VLOOKUP($A59, Sheet5!$A$1:$E$119,3,FALSE)</f>
        <v>otu_2</v>
      </c>
      <c r="D59" s="27" t="str">
        <f>VLOOKUP($A59, Sheet5!$A$1:$E$119,4,FALSE)</f>
        <v>M</v>
      </c>
      <c r="E59" s="27">
        <f>VLOOKUP($A59, Sheet5!$A$1:$E$119,5,FALSE)</f>
        <v>3</v>
      </c>
      <c r="F59" s="67">
        <v>7.3800000000000004E-2</v>
      </c>
      <c r="G59" s="67">
        <v>0.53299999999999992</v>
      </c>
      <c r="H59" s="67">
        <v>0.2961111111111111</v>
      </c>
      <c r="I59" s="95">
        <v>1.9370000000000003</v>
      </c>
      <c r="J59" s="95">
        <v>0.48685</v>
      </c>
      <c r="K59" s="95">
        <v>0.25861148197596795</v>
      </c>
      <c r="L59" s="95">
        <v>0.53100000000000003</v>
      </c>
      <c r="M59" s="95">
        <v>0.48497999999999997</v>
      </c>
      <c r="N59" s="95">
        <v>3.2332E-2</v>
      </c>
      <c r="O59">
        <v>0.33108000000000004</v>
      </c>
      <c r="P59">
        <v>0.90024000000000004</v>
      </c>
      <c r="Q59">
        <v>2.7191011235955056</v>
      </c>
      <c r="R59">
        <v>22.53</v>
      </c>
      <c r="S59">
        <v>1.315752</v>
      </c>
      <c r="T59">
        <v>0.36048000000000002</v>
      </c>
      <c r="U59">
        <v>9.9131999999999998</v>
      </c>
      <c r="V59">
        <v>17.09</v>
      </c>
      <c r="W59">
        <v>0.61694899999999997</v>
      </c>
      <c r="X59">
        <v>0.182863</v>
      </c>
      <c r="Y59">
        <v>5.4858900000000004</v>
      </c>
      <c r="Z59">
        <v>18.78</v>
      </c>
      <c r="AA59">
        <v>0.46950000000000003</v>
      </c>
      <c r="AB59">
        <v>0.10704599999999999</v>
      </c>
      <c r="AC59">
        <v>6.0847199999999999</v>
      </c>
      <c r="AD59">
        <v>16.350000000000001</v>
      </c>
      <c r="AE59">
        <v>0.57225000000000004</v>
      </c>
      <c r="AF59">
        <v>0.14388000000000001</v>
      </c>
      <c r="AG59">
        <v>6.2457000000000003</v>
      </c>
    </row>
    <row r="60" spans="1:33" x14ac:dyDescent="0.3">
      <c r="A60" s="33">
        <v>528</v>
      </c>
      <c r="B60" s="27" t="str">
        <f>VLOOKUP($A60, Sheet5!$A$1:$E$119,2,FALSE)</f>
        <v>Healthy</v>
      </c>
      <c r="C60" s="27" t="str">
        <f>VLOOKUP($A60, Sheet5!$A$1:$E$119,3,FALSE)</f>
        <v>otu_2</v>
      </c>
      <c r="D60" s="27" t="str">
        <f>VLOOKUP($A60, Sheet5!$A$1:$E$119,4,FALSE)</f>
        <v>F</v>
      </c>
      <c r="E60" s="27">
        <f>VLOOKUP($A60, Sheet5!$A$1:$E$119,5,FALSE)</f>
        <v>5</v>
      </c>
      <c r="F60" s="67">
        <v>8.3287999999999987E-2</v>
      </c>
      <c r="G60" s="67">
        <v>0.89032</v>
      </c>
      <c r="H60" s="67">
        <v>0.76751724137931032</v>
      </c>
      <c r="I60" s="95">
        <v>1.0546500000000001</v>
      </c>
      <c r="J60" s="95">
        <v>0.26069999999999999</v>
      </c>
      <c r="K60" s="95">
        <v>0.15979545454545457</v>
      </c>
      <c r="L60" s="95">
        <v>0.17897100000000002</v>
      </c>
      <c r="M60" s="95">
        <v>0.77306999999999992</v>
      </c>
      <c r="N60" s="95">
        <v>0.15247928994082838</v>
      </c>
      <c r="O60">
        <v>0.36802399999999996</v>
      </c>
      <c r="P60">
        <v>2.4344000000000001</v>
      </c>
      <c r="Q60">
        <v>6.6147859922179002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  <c r="AC60" t="e">
        <v>#N/A</v>
      </c>
      <c r="AD60" t="e">
        <v>#N/A</v>
      </c>
      <c r="AE60" t="e">
        <v>#N/A</v>
      </c>
      <c r="AF60" t="e">
        <v>#N/A</v>
      </c>
      <c r="AG60" t="e">
        <v>#N/A</v>
      </c>
    </row>
    <row r="61" spans="1:33" x14ac:dyDescent="0.3">
      <c r="A61" s="33">
        <v>542</v>
      </c>
      <c r="B61" s="27" t="str">
        <f>VLOOKUP($A61, Sheet5!$A$1:$E$119,2,FALSE)</f>
        <v>Healthy</v>
      </c>
      <c r="C61" s="27" t="str">
        <f>VLOOKUP($A61, Sheet5!$A$1:$E$119,3,FALSE)</f>
        <v>otu_2</v>
      </c>
      <c r="D61" s="27" t="str">
        <f>VLOOKUP($A61, Sheet5!$A$1:$E$119,4,FALSE)</f>
        <v>F</v>
      </c>
      <c r="E61" s="27">
        <f>VLOOKUP($A61, Sheet5!$A$1:$E$119,5,FALSE)</f>
        <v>2</v>
      </c>
      <c r="F61" s="67">
        <v>0.10075000000000001</v>
      </c>
      <c r="G61" s="67">
        <v>0.85149999999999992</v>
      </c>
      <c r="H61" s="67">
        <v>0.54935483870967738</v>
      </c>
      <c r="I61" s="95">
        <v>0.42642000000000002</v>
      </c>
      <c r="J61" s="95">
        <v>0.39702599999999999</v>
      </c>
      <c r="K61" s="95">
        <v>4.4465067778936385E-2</v>
      </c>
      <c r="L61" s="95">
        <v>0.48127999999999999</v>
      </c>
      <c r="M61" s="95">
        <v>0.38195200000000001</v>
      </c>
      <c r="N61" s="95">
        <v>4.0633191489361703E-2</v>
      </c>
      <c r="R61">
        <v>20.89</v>
      </c>
      <c r="S61">
        <v>7.9382000000000008E-2</v>
      </c>
      <c r="T61">
        <v>1.60853E-2</v>
      </c>
      <c r="U61">
        <v>8.1679900000000014</v>
      </c>
      <c r="V61">
        <v>19.989999999999998</v>
      </c>
      <c r="W61">
        <v>5.9969999999999989E-2</v>
      </c>
      <c r="Y61">
        <v>8.595699999999999</v>
      </c>
      <c r="Z61">
        <v>28.8</v>
      </c>
      <c r="AA61">
        <v>0.10368000000000001</v>
      </c>
      <c r="AB61">
        <v>1.6416E-2</v>
      </c>
      <c r="AC61">
        <v>13.046399999999998</v>
      </c>
      <c r="AD61">
        <v>16.78</v>
      </c>
      <c r="AE61">
        <v>0.11913800000000001</v>
      </c>
      <c r="AF61">
        <v>7.8866000000000006E-3</v>
      </c>
      <c r="AG61">
        <v>8.1047399999999996</v>
      </c>
    </row>
    <row r="62" spans="1:33" x14ac:dyDescent="0.3">
      <c r="A62" s="33">
        <v>545</v>
      </c>
      <c r="B62" s="27" t="str">
        <f>VLOOKUP($A62, Sheet5!$A$1:$E$119,2,FALSE)</f>
        <v>Healthy</v>
      </c>
      <c r="C62" s="27" t="str">
        <f>VLOOKUP($A62, Sheet5!$A$1:$E$119,3,FALSE)</f>
        <v>otu_2</v>
      </c>
      <c r="D62" s="27" t="str">
        <f>VLOOKUP($A62, Sheet5!$A$1:$E$119,4,FALSE)</f>
        <v>F</v>
      </c>
      <c r="E62" s="27">
        <f>VLOOKUP($A62, Sheet5!$A$1:$E$119,5,FALSE)</f>
        <v>1</v>
      </c>
      <c r="F62" s="67">
        <v>0.265065</v>
      </c>
      <c r="G62" s="67">
        <v>0.94388999999999978</v>
      </c>
      <c r="H62" s="67">
        <v>0.15347804878048776</v>
      </c>
      <c r="I62" s="96"/>
      <c r="J62" s="96"/>
      <c r="K62" s="96"/>
      <c r="L62" s="95">
        <v>0.34476000000000001</v>
      </c>
      <c r="M62" s="95">
        <v>0.25414999999999999</v>
      </c>
      <c r="N62" s="95">
        <v>1.6291666666666666E-2</v>
      </c>
      <c r="O62">
        <v>0.19333599999999998</v>
      </c>
      <c r="P62">
        <v>0.61853999999999998</v>
      </c>
      <c r="Q62">
        <v>3.1993006993006996</v>
      </c>
      <c r="R62">
        <v>16.560000000000002</v>
      </c>
      <c r="S62">
        <v>0.72036</v>
      </c>
      <c r="T62">
        <v>0.39247200000000004</v>
      </c>
      <c r="U62">
        <v>5.3488800000000003</v>
      </c>
      <c r="V62">
        <v>20.18</v>
      </c>
      <c r="W62">
        <v>0.61952600000000002</v>
      </c>
      <c r="X62">
        <v>0.175566</v>
      </c>
      <c r="Y62">
        <v>8.4352399999999985</v>
      </c>
      <c r="Z62">
        <v>14.75</v>
      </c>
      <c r="AA62">
        <v>0.23600000000000002</v>
      </c>
      <c r="AB62">
        <v>0.10619999999999999</v>
      </c>
      <c r="AC62">
        <v>3.0237500000000002</v>
      </c>
      <c r="AD62">
        <v>11.899999999999999</v>
      </c>
      <c r="AE62">
        <v>0.22014999999999996</v>
      </c>
      <c r="AF62">
        <v>7.8539999999999999E-2</v>
      </c>
      <c r="AG62">
        <v>3.6175999999999995</v>
      </c>
    </row>
    <row r="63" spans="1:33" x14ac:dyDescent="0.3">
      <c r="A63" s="22">
        <v>550</v>
      </c>
      <c r="B63" s="27" t="str">
        <f>VLOOKUP($A63, Sheet5!$A$1:$E$119,2,FALSE)</f>
        <v>IBD</v>
      </c>
      <c r="C63" s="27" t="str">
        <f>VLOOKUP($A63, Sheet5!$A$1:$E$119,3,FALSE)</f>
        <v>otu_2</v>
      </c>
      <c r="D63" s="27" t="str">
        <f>VLOOKUP($A63, Sheet5!$A$1:$E$119,4,FALSE)</f>
        <v>M</v>
      </c>
      <c r="E63" s="27">
        <f>VLOOKUP($A63, Sheet5!$A$1:$E$119,5,FALSE)</f>
        <v>5</v>
      </c>
      <c r="F63" s="67">
        <v>0.12487500000000001</v>
      </c>
      <c r="G63" s="67">
        <v>0.55684999999999996</v>
      </c>
      <c r="H63" s="67">
        <v>0.41248148148148145</v>
      </c>
      <c r="I63" s="95">
        <v>9.2231999999999981E-2</v>
      </c>
      <c r="J63" s="95">
        <v>0.20601</v>
      </c>
      <c r="K63" s="95">
        <v>1.6923302752293576E-2</v>
      </c>
      <c r="O63">
        <v>0.24108199999999999</v>
      </c>
      <c r="P63">
        <v>0.72711999999999988</v>
      </c>
      <c r="Q63">
        <v>8.9878862793572309E-2</v>
      </c>
      <c r="R63">
        <v>3.96</v>
      </c>
      <c r="S63">
        <v>0.28591199999999994</v>
      </c>
      <c r="T63">
        <v>8.3160000000000005E-3</v>
      </c>
      <c r="U63">
        <v>3.2590799999999995</v>
      </c>
      <c r="V63">
        <v>8.17</v>
      </c>
      <c r="W63">
        <v>2.5327000000000002E-2</v>
      </c>
      <c r="X63">
        <v>9.8039999999999998E-4</v>
      </c>
      <c r="Y63">
        <v>6.8954800000000001</v>
      </c>
      <c r="Z63">
        <v>5.38</v>
      </c>
      <c r="AD63">
        <v>6.0299999999999994</v>
      </c>
      <c r="AE63">
        <v>5.2460999999999994E-2</v>
      </c>
      <c r="AF63">
        <v>7.8389999999999992E-4</v>
      </c>
      <c r="AG63">
        <v>4.8420899999999998</v>
      </c>
    </row>
    <row r="64" spans="1:33" x14ac:dyDescent="0.3">
      <c r="A64" s="33">
        <v>559</v>
      </c>
      <c r="B64" s="27" t="str">
        <f>VLOOKUP($A64, Sheet5!$A$1:$E$119,2,FALSE)</f>
        <v>Healthy</v>
      </c>
      <c r="C64" s="27" t="str">
        <f>VLOOKUP($A64, Sheet5!$A$1:$E$119,3,FALSE)</f>
        <v>otu_2</v>
      </c>
      <c r="D64" s="27" t="str">
        <f>VLOOKUP($A64, Sheet5!$A$1:$E$119,4,FALSE)</f>
        <v>F</v>
      </c>
      <c r="E64" s="27">
        <f>VLOOKUP($A64, Sheet5!$A$1:$E$119,5,FALSE)</f>
        <v>0</v>
      </c>
      <c r="F64" s="67">
        <v>0.58940199999999998</v>
      </c>
      <c r="G64" s="67">
        <v>1.0643</v>
      </c>
      <c r="H64" s="67">
        <v>0.13254047322540474</v>
      </c>
      <c r="I64" s="95">
        <v>2.6946799999999995</v>
      </c>
      <c r="J64" s="95">
        <v>0.50425199999999992</v>
      </c>
      <c r="K64" s="95">
        <v>0.35643915343915344</v>
      </c>
      <c r="L64" s="95">
        <v>0.88327600000000006</v>
      </c>
      <c r="M64" s="95">
        <v>1.41988</v>
      </c>
      <c r="N64" s="95">
        <v>0.14821294363256787</v>
      </c>
      <c r="O64">
        <v>0.31720599999999999</v>
      </c>
      <c r="P64">
        <v>0.65670000000000006</v>
      </c>
      <c r="Q64">
        <v>2.0702634880803013</v>
      </c>
      <c r="R64">
        <v>10.440000000000001</v>
      </c>
      <c r="S64">
        <v>0.12736800000000001</v>
      </c>
      <c r="T64">
        <v>3.6540000000000003E-2</v>
      </c>
      <c r="U64">
        <v>3.3199200000000006</v>
      </c>
      <c r="V64">
        <v>10.130000000000001</v>
      </c>
      <c r="W64">
        <v>0.11345600000000003</v>
      </c>
      <c r="X64">
        <v>9.9274000000000012E-3</v>
      </c>
      <c r="Y64">
        <v>4.3153800000000011</v>
      </c>
      <c r="Z64">
        <v>19.7</v>
      </c>
      <c r="AA64">
        <v>0.10047</v>
      </c>
      <c r="AB64">
        <v>1.7335999999999997E-2</v>
      </c>
      <c r="AC64">
        <v>7.2298999999999998</v>
      </c>
      <c r="AD64">
        <v>13.49</v>
      </c>
      <c r="AE64">
        <v>7.0148000000000002E-2</v>
      </c>
      <c r="AF64">
        <v>1.3490000000000002E-2</v>
      </c>
      <c r="AG64">
        <v>5.88164</v>
      </c>
    </row>
    <row r="65" spans="1:33" x14ac:dyDescent="0.3">
      <c r="A65" s="33">
        <v>560</v>
      </c>
      <c r="B65" s="27" t="str">
        <f>VLOOKUP($A65, Sheet5!$A$1:$E$119,2,FALSE)</f>
        <v>Healthy</v>
      </c>
      <c r="C65" s="27" t="str">
        <f>VLOOKUP($A65, Sheet5!$A$1:$E$119,3,FALSE)</f>
        <v>otu_2</v>
      </c>
      <c r="D65" s="27" t="str">
        <f>VLOOKUP($A65, Sheet5!$A$1:$E$119,4,FALSE)</f>
        <v>F</v>
      </c>
      <c r="E65" s="27">
        <f>VLOOKUP($A65, Sheet5!$A$1:$E$119,5,FALSE)</f>
        <v>4</v>
      </c>
      <c r="F65" s="67">
        <v>0.22379000000000002</v>
      </c>
      <c r="G65" s="67">
        <v>3.5420000000000003</v>
      </c>
      <c r="H65" s="67">
        <v>2.5482014388489214</v>
      </c>
      <c r="I65" s="95">
        <v>1.93154</v>
      </c>
      <c r="J65" s="95">
        <v>0.44961599999999996</v>
      </c>
      <c r="K65" s="95">
        <v>0.27752011494252871</v>
      </c>
      <c r="L65" s="95">
        <v>0.50749999999999995</v>
      </c>
      <c r="M65" s="95">
        <v>1.5007499999999998</v>
      </c>
      <c r="N65" s="95">
        <v>0.21439285714285714</v>
      </c>
      <c r="O65">
        <v>0.48734399999999994</v>
      </c>
      <c r="P65">
        <v>1.90848</v>
      </c>
      <c r="Q65">
        <v>3.9160839160839163</v>
      </c>
      <c r="R65">
        <v>12.04</v>
      </c>
      <c r="S65">
        <v>0.40695199999999992</v>
      </c>
      <c r="T65">
        <v>0.37203599999999992</v>
      </c>
      <c r="U65">
        <v>2.8294000000000001</v>
      </c>
      <c r="V65">
        <v>14.8</v>
      </c>
      <c r="W65">
        <v>0.39368000000000003</v>
      </c>
      <c r="X65">
        <v>0.17315999999999998</v>
      </c>
      <c r="Y65">
        <v>3.2856000000000001</v>
      </c>
      <c r="Z65">
        <v>14.09</v>
      </c>
      <c r="AA65">
        <v>0.73268</v>
      </c>
      <c r="AB65">
        <v>0.20289599999999999</v>
      </c>
      <c r="AC65">
        <v>4.2410900000000007</v>
      </c>
      <c r="AD65">
        <v>11.39</v>
      </c>
      <c r="AE65">
        <v>0.15376500000000001</v>
      </c>
      <c r="AF65">
        <v>0.10706599999999999</v>
      </c>
      <c r="AG65">
        <v>2.1185400000000003</v>
      </c>
    </row>
    <row r="66" spans="1:33" x14ac:dyDescent="0.3">
      <c r="A66" s="33">
        <v>562</v>
      </c>
      <c r="B66" s="27" t="str">
        <f>VLOOKUP($A66, Sheet5!$A$1:$E$119,2,FALSE)</f>
        <v>Healthy</v>
      </c>
      <c r="C66" s="27" t="str">
        <f>VLOOKUP($A66, Sheet5!$A$1:$E$119,3,FALSE)</f>
        <v>otu_2</v>
      </c>
      <c r="D66" s="27" t="str">
        <f>VLOOKUP($A66, Sheet5!$A$1:$E$119,4,FALSE)</f>
        <v>F</v>
      </c>
      <c r="E66" s="27">
        <f>VLOOKUP($A66, Sheet5!$A$1:$E$119,5,FALSE)</f>
        <v>6</v>
      </c>
      <c r="F66" s="86"/>
      <c r="G66" s="86"/>
      <c r="H66" s="86"/>
      <c r="I66">
        <v>0.78245999999999993</v>
      </c>
      <c r="J66">
        <v>0.48023999999999994</v>
      </c>
      <c r="K66">
        <v>6.7453448275862055E-2</v>
      </c>
      <c r="L66">
        <v>1.3186500000000001</v>
      </c>
      <c r="M66">
        <v>1.3559000000000001</v>
      </c>
      <c r="N66">
        <v>7.6604519774011309E-2</v>
      </c>
      <c r="O66">
        <v>0.29908800000000002</v>
      </c>
      <c r="P66">
        <v>0.93665999999999994</v>
      </c>
      <c r="Q66">
        <v>3.1317204301075265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</row>
    <row r="67" spans="1:33" x14ac:dyDescent="0.3">
      <c r="A67" s="33">
        <v>568</v>
      </c>
      <c r="B67" s="27" t="str">
        <f>VLOOKUP($A67, Sheet5!$A$1:$E$119,2,FALSE)</f>
        <v>Healthy</v>
      </c>
      <c r="C67" s="27" t="str">
        <f>VLOOKUP($A67, Sheet5!$A$1:$E$119,3,FALSE)</f>
        <v>otu_2</v>
      </c>
      <c r="D67" s="27" t="str">
        <f>VLOOKUP($A67, Sheet5!$A$1:$E$119,4,FALSE)</f>
        <v>M</v>
      </c>
      <c r="E67" s="27">
        <f>VLOOKUP($A67, Sheet5!$A$1:$E$119,5,FALSE)</f>
        <v>3</v>
      </c>
      <c r="F67" s="67">
        <v>0.109872</v>
      </c>
      <c r="G67" s="67">
        <v>0.71231999999999995</v>
      </c>
      <c r="H67" s="67">
        <v>0.2178348623853211</v>
      </c>
      <c r="I67" s="95">
        <v>1.7325900000000001</v>
      </c>
      <c r="J67" s="95">
        <v>0.495535</v>
      </c>
      <c r="K67" s="95">
        <v>0.24929352517985609</v>
      </c>
      <c r="L67" s="95">
        <v>0.49137999999999998</v>
      </c>
      <c r="M67" s="95">
        <v>0.43229000000000001</v>
      </c>
      <c r="N67" s="95">
        <v>2.7360126582278477E-2</v>
      </c>
      <c r="O67">
        <v>0.43498500000000001</v>
      </c>
      <c r="P67">
        <v>1.3512299999999999</v>
      </c>
      <c r="Q67">
        <v>3.1063829787234041</v>
      </c>
      <c r="R67">
        <v>4.59</v>
      </c>
      <c r="S67">
        <v>0.90422999999999987</v>
      </c>
      <c r="T67">
        <v>0.21848399999999998</v>
      </c>
      <c r="U67">
        <v>3.2281599999999999</v>
      </c>
      <c r="V67">
        <v>2.14</v>
      </c>
      <c r="X67">
        <v>0.16692000000000001</v>
      </c>
      <c r="Y67">
        <v>0.54569999999999996</v>
      </c>
      <c r="Z67">
        <v>1.26</v>
      </c>
      <c r="AB67">
        <v>6.2117999999999993E-2</v>
      </c>
      <c r="AC67">
        <v>0.42462000000000005</v>
      </c>
      <c r="AD67">
        <v>1.66</v>
      </c>
      <c r="AF67">
        <v>0.1411</v>
      </c>
      <c r="AG67">
        <v>0.42827999999999994</v>
      </c>
    </row>
    <row r="68" spans="1:33" x14ac:dyDescent="0.3">
      <c r="A68" s="33">
        <v>570</v>
      </c>
      <c r="B68" s="27" t="str">
        <f>VLOOKUP($A68, Sheet5!$A$1:$E$119,2,FALSE)</f>
        <v>Healthy</v>
      </c>
      <c r="C68" s="27" t="str">
        <f>VLOOKUP($A68, Sheet5!$A$1:$E$119,3,FALSE)</f>
        <v>otu_2</v>
      </c>
      <c r="D68" s="27" t="str">
        <f>VLOOKUP($A68, Sheet5!$A$1:$E$119,4,FALSE)</f>
        <v>M</v>
      </c>
      <c r="E68" s="27">
        <f>VLOOKUP($A68, Sheet5!$A$1:$E$119,5,FALSE)</f>
        <v>4</v>
      </c>
      <c r="F68" s="67">
        <v>0.17457999999999999</v>
      </c>
      <c r="G68" s="67">
        <v>0.99931999999999999</v>
      </c>
      <c r="H68" s="67">
        <v>0.34459310344827587</v>
      </c>
      <c r="I68" s="95">
        <v>2.1160000000000001</v>
      </c>
      <c r="J68" s="95">
        <v>1.7756000000000001</v>
      </c>
      <c r="K68" s="95">
        <v>0.10963730569948187</v>
      </c>
      <c r="L68" s="95">
        <v>0.64328000000000007</v>
      </c>
      <c r="M68" s="95">
        <v>0.24699199999999999</v>
      </c>
      <c r="N68" s="95">
        <v>1.320812834224599E-2</v>
      </c>
      <c r="O68">
        <v>0.42640500000000003</v>
      </c>
      <c r="P68">
        <v>0.77654999999999996</v>
      </c>
      <c r="Q68">
        <v>1.8211559432933477</v>
      </c>
      <c r="R68">
        <v>1.46</v>
      </c>
      <c r="T68">
        <v>8.3657999999999996E-2</v>
      </c>
      <c r="U68">
        <v>4.0417500000000004</v>
      </c>
      <c r="V68">
        <v>2.1800000000000002</v>
      </c>
      <c r="Y68">
        <v>0.64964000000000011</v>
      </c>
      <c r="Z68">
        <v>1.71</v>
      </c>
      <c r="AB68">
        <v>5.1470999999999989E-2</v>
      </c>
      <c r="AC68">
        <v>0.54549000000000003</v>
      </c>
      <c r="AD68">
        <v>1.04</v>
      </c>
      <c r="AF68">
        <v>7.6024000000000008E-2</v>
      </c>
      <c r="AG68">
        <v>0.34111999999999992</v>
      </c>
    </row>
    <row r="69" spans="1:33" x14ac:dyDescent="0.3">
      <c r="A69" s="33">
        <v>574</v>
      </c>
      <c r="B69" s="27" t="str">
        <f>VLOOKUP($A69, Sheet5!$A$1:$E$119,2,FALSE)</f>
        <v>Healthy</v>
      </c>
      <c r="C69" s="27" t="str">
        <f>VLOOKUP($A69, Sheet5!$A$1:$E$119,3,FALSE)</f>
        <v>otu_2</v>
      </c>
      <c r="D69" s="27" t="str">
        <f>VLOOKUP($A69, Sheet5!$A$1:$E$119,4,FALSE)</f>
        <v>M</v>
      </c>
      <c r="E69" s="27">
        <f>VLOOKUP($A69, Sheet5!$A$1:$E$119,5,FALSE)</f>
        <v>4</v>
      </c>
      <c r="F69" s="67">
        <v>0.50050000000000006</v>
      </c>
      <c r="G69" s="67">
        <v>2.2749999999999999</v>
      </c>
      <c r="H69" s="67">
        <v>0.59090909090909083</v>
      </c>
      <c r="I69" s="95">
        <v>1.5284500000000001</v>
      </c>
      <c r="J69" s="95">
        <v>1.0520499999999999</v>
      </c>
      <c r="K69" s="95">
        <v>5.7677358490566037E-2</v>
      </c>
      <c r="L69" s="95">
        <v>0.39369399999999999</v>
      </c>
      <c r="M69" s="95">
        <v>0.50812999999999997</v>
      </c>
      <c r="N69" s="95">
        <v>5.5111713665943592E-2</v>
      </c>
      <c r="O69">
        <v>0.50568000000000002</v>
      </c>
      <c r="P69">
        <v>0.61919999999999997</v>
      </c>
      <c r="Q69">
        <v>1.2244897959183672</v>
      </c>
      <c r="R69">
        <v>17.190000000000001</v>
      </c>
      <c r="S69">
        <v>0.75807900000000006</v>
      </c>
      <c r="T69">
        <v>0.27504000000000006</v>
      </c>
      <c r="U69">
        <v>5.2945200000000003</v>
      </c>
      <c r="V69">
        <v>13.350000000000001</v>
      </c>
      <c r="W69">
        <v>0.39516000000000007</v>
      </c>
      <c r="X69">
        <v>8.4105000000000013E-2</v>
      </c>
      <c r="Y69">
        <v>4.0050000000000008</v>
      </c>
      <c r="Z69">
        <v>13.79</v>
      </c>
      <c r="AA69">
        <v>0.6343399999999999</v>
      </c>
      <c r="AB69">
        <v>7.4466000000000004E-2</v>
      </c>
      <c r="AC69">
        <v>6.2054999999999998</v>
      </c>
      <c r="AD69">
        <v>18.57</v>
      </c>
      <c r="AE69">
        <v>0.74837100000000012</v>
      </c>
      <c r="AF69">
        <v>0.116991</v>
      </c>
      <c r="AG69">
        <v>7.8551099999999998</v>
      </c>
    </row>
    <row r="70" spans="1:33" x14ac:dyDescent="0.3">
      <c r="A70" s="22">
        <v>575</v>
      </c>
      <c r="B70" s="27" t="str">
        <f>VLOOKUP($A70, Sheet5!$A$1:$E$119,2,FALSE)</f>
        <v>IBD</v>
      </c>
      <c r="C70" s="27" t="str">
        <f>VLOOKUP($A70, Sheet5!$A$1:$E$119,3,FALSE)</f>
        <v>otu_2</v>
      </c>
      <c r="D70" s="27" t="str">
        <f>VLOOKUP($A70, Sheet5!$A$1:$E$119,4,FALSE)</f>
        <v>F</v>
      </c>
      <c r="E70" s="27">
        <f>VLOOKUP($A70, Sheet5!$A$1:$E$119,5,FALSE)</f>
        <v>1</v>
      </c>
      <c r="F70" s="86"/>
      <c r="G70" s="86"/>
      <c r="H70" s="86"/>
      <c r="I70" s="95">
        <v>0.11097899999999999</v>
      </c>
      <c r="J70" s="95">
        <v>1.1522699999999999</v>
      </c>
      <c r="K70" s="95">
        <v>5.1142396313364055E-3</v>
      </c>
      <c r="O70">
        <v>0.76590000000000003</v>
      </c>
      <c r="P70">
        <v>0.13453200000000001</v>
      </c>
      <c r="Q70">
        <v>5.8492173913043477E-3</v>
      </c>
      <c r="R70">
        <v>0.87000000000000011</v>
      </c>
      <c r="S70">
        <v>0.13485000000000003</v>
      </c>
      <c r="U70">
        <v>0.17052000000000003</v>
      </c>
      <c r="V70">
        <v>0.72</v>
      </c>
      <c r="W70">
        <v>8.7839999999999988E-2</v>
      </c>
      <c r="X70">
        <v>3.3695999999999997E-2</v>
      </c>
      <c r="Y70">
        <v>0.41327999999999998</v>
      </c>
      <c r="Z70">
        <v>21</v>
      </c>
      <c r="AA70">
        <v>3.0030000000000001</v>
      </c>
      <c r="AB70">
        <v>0.4158</v>
      </c>
      <c r="AC70">
        <v>7.1610000000000005</v>
      </c>
      <c r="AD70">
        <v>0.78</v>
      </c>
      <c r="AE70">
        <v>0.10452</v>
      </c>
      <c r="AF70">
        <v>2.5272000000000003E-2</v>
      </c>
      <c r="AG70">
        <v>0.37908000000000003</v>
      </c>
    </row>
    <row r="71" spans="1:33" x14ac:dyDescent="0.3">
      <c r="A71" s="22">
        <v>576</v>
      </c>
      <c r="B71" s="27" t="str">
        <f>VLOOKUP($A71, Sheet5!$A$1:$E$119,2,FALSE)</f>
        <v>IBD</v>
      </c>
      <c r="C71" s="27" t="str">
        <f>VLOOKUP($A71, Sheet5!$A$1:$E$119,3,FALSE)</f>
        <v>otu_2</v>
      </c>
      <c r="D71" s="27" t="str">
        <f>VLOOKUP($A71, Sheet5!$A$1:$E$119,4,FALSE)</f>
        <v>F</v>
      </c>
      <c r="E71" s="27">
        <f>VLOOKUP($A71, Sheet5!$A$1:$E$119,5,FALSE)</f>
        <v>2</v>
      </c>
      <c r="F71" s="67">
        <v>0.39822199999999996</v>
      </c>
      <c r="G71" s="67">
        <v>1.3379E-2</v>
      </c>
      <c r="H71" s="67">
        <v>2.6440711462450599E-3</v>
      </c>
      <c r="I71" s="95">
        <v>3.3390000000000004E-3</v>
      </c>
      <c r="J71" s="95">
        <v>0.10112400000000001</v>
      </c>
      <c r="K71" s="95">
        <v>5.2500000000000008E-4</v>
      </c>
      <c r="L71">
        <v>0.95775999999999994</v>
      </c>
      <c r="M71">
        <v>7.8719999999999988E-3</v>
      </c>
      <c r="N71">
        <v>5.391780821917808E-4</v>
      </c>
      <c r="O71">
        <v>0.82944000000000018</v>
      </c>
      <c r="P71">
        <v>1.4256000000000001E-2</v>
      </c>
      <c r="Q71">
        <v>1.1137499999999999E-3</v>
      </c>
      <c r="R71">
        <v>2.31</v>
      </c>
      <c r="T71">
        <v>0.227073</v>
      </c>
      <c r="U71">
        <v>0.49851999999999996</v>
      </c>
      <c r="V71">
        <v>0.19</v>
      </c>
      <c r="W71">
        <v>7.7899999999999996E-4</v>
      </c>
      <c r="X71">
        <v>5.0540000000000003E-3</v>
      </c>
      <c r="Y71">
        <v>1.786E-4</v>
      </c>
      <c r="Z71">
        <v>0.65</v>
      </c>
      <c r="AA71">
        <v>0.17874999999999999</v>
      </c>
      <c r="AB71">
        <v>8.1250000000000003E-2</v>
      </c>
      <c r="AC71">
        <v>0.30095</v>
      </c>
      <c r="AD71">
        <v>1.28</v>
      </c>
      <c r="AE71">
        <v>0.19583999999999999</v>
      </c>
      <c r="AF71">
        <v>9.2672000000000004E-2</v>
      </c>
      <c r="AG71">
        <v>0.68608000000000002</v>
      </c>
    </row>
    <row r="72" spans="1:33" x14ac:dyDescent="0.3">
      <c r="A72" s="22">
        <v>577</v>
      </c>
      <c r="B72" s="27" t="str">
        <f>VLOOKUP($A72, Sheet5!$A$1:$E$119,2,FALSE)</f>
        <v>IBD</v>
      </c>
      <c r="C72" s="27" t="str">
        <f>VLOOKUP($A72, Sheet5!$A$1:$E$119,3,FALSE)</f>
        <v>otu_2</v>
      </c>
      <c r="D72" s="27" t="str">
        <f>VLOOKUP($A72, Sheet5!$A$1:$E$119,4,FALSE)</f>
        <v>M</v>
      </c>
      <c r="E72" s="27">
        <f>VLOOKUP($A72, Sheet5!$A$1:$E$119,5,FALSE)</f>
        <v>5</v>
      </c>
      <c r="F72" s="86"/>
      <c r="G72" s="86"/>
      <c r="H72" s="86"/>
      <c r="I72" s="95">
        <v>1.6049999999999998E-2</v>
      </c>
      <c r="J72" s="95">
        <v>0.21079000000000001</v>
      </c>
      <c r="K72" s="95">
        <v>8.1472081218274121E-4</v>
      </c>
      <c r="L72">
        <v>0.25590999999999997</v>
      </c>
      <c r="M72">
        <v>2.1027000000000001E-2</v>
      </c>
      <c r="N72">
        <v>1.339299363057325E-3</v>
      </c>
      <c r="O72">
        <v>0.49469000000000002</v>
      </c>
      <c r="P72">
        <v>3.4965000000000003E-2</v>
      </c>
      <c r="Q72">
        <v>1.8306282722513089E-3</v>
      </c>
      <c r="R72">
        <v>0.58799999999999997</v>
      </c>
      <c r="S72">
        <v>4.7686800000000001E-2</v>
      </c>
      <c r="T72">
        <v>3.4339199999999993E-2</v>
      </c>
      <c r="U72">
        <v>0.20638799999999999</v>
      </c>
      <c r="V72">
        <v>0.48799999999999999</v>
      </c>
      <c r="W72">
        <v>4.9776000000000001E-2</v>
      </c>
      <c r="X72">
        <v>1.40544E-2</v>
      </c>
      <c r="Y72">
        <v>0.35184799999999994</v>
      </c>
      <c r="Z72">
        <v>28.2</v>
      </c>
      <c r="AA72">
        <v>1.9852799999999999</v>
      </c>
      <c r="AB72">
        <v>0.37788000000000005</v>
      </c>
      <c r="AC72">
        <v>15.368999999999998</v>
      </c>
      <c r="AD72">
        <v>0.75</v>
      </c>
      <c r="AE72">
        <v>0.15675</v>
      </c>
      <c r="AF72">
        <v>0.03</v>
      </c>
      <c r="AG72">
        <v>0.33224999999999993</v>
      </c>
    </row>
    <row r="73" spans="1:33" x14ac:dyDescent="0.3">
      <c r="A73" s="70">
        <v>578</v>
      </c>
      <c r="B73" s="27" t="str">
        <f>VLOOKUP($A73, Sheet5!$A$1:$E$119,2,FALSE)</f>
        <v>IBD</v>
      </c>
      <c r="C73" s="27" t="str">
        <f>VLOOKUP($A73, Sheet5!$A$1:$E$119,3,FALSE)</f>
        <v>otu_2</v>
      </c>
      <c r="D73" s="27" t="str">
        <f>VLOOKUP($A73, Sheet5!$A$1:$E$119,4,FALSE)</f>
        <v>M</v>
      </c>
      <c r="E73" s="27">
        <f>VLOOKUP($A73, Sheet5!$A$1:$E$119,5,FALSE)</f>
        <v>1</v>
      </c>
      <c r="F73" s="67">
        <v>0.15787399999999999</v>
      </c>
      <c r="G73" s="67">
        <v>7.5256000000000003E-2</v>
      </c>
      <c r="H73" s="67">
        <v>1.9496373056994819E-2</v>
      </c>
      <c r="I73" s="95">
        <v>0.18060099999999998</v>
      </c>
      <c r="J73" s="95">
        <v>0.149927</v>
      </c>
      <c r="K73" s="95">
        <v>3.7703757828810018E-2</v>
      </c>
      <c r="L73">
        <v>5.4279999999999988E-2</v>
      </c>
      <c r="M73">
        <v>0.30819999999999997</v>
      </c>
      <c r="N73">
        <v>0.13059322033898307</v>
      </c>
      <c r="O73">
        <v>8.7120000000000003E-2</v>
      </c>
      <c r="P73">
        <v>0.70079999999999998</v>
      </c>
      <c r="Q73">
        <v>0.19305785123966943</v>
      </c>
      <c r="R73">
        <v>4.59</v>
      </c>
      <c r="S73">
        <v>0.19002599999999997</v>
      </c>
      <c r="T73">
        <v>3.4424999999999998E-3</v>
      </c>
      <c r="U73">
        <v>3.4470899999999993</v>
      </c>
      <c r="V73">
        <v>5.64</v>
      </c>
      <c r="W73">
        <v>0.103212</v>
      </c>
      <c r="X73">
        <v>3.0455999999999999E-3</v>
      </c>
      <c r="Y73">
        <v>4.4725199999999994</v>
      </c>
      <c r="Z73">
        <v>6.72</v>
      </c>
      <c r="AA73">
        <v>4.3680000000000004E-2</v>
      </c>
      <c r="AC73">
        <v>5.2483199999999997</v>
      </c>
    </row>
    <row r="74" spans="1:33" x14ac:dyDescent="0.3">
      <c r="A74" s="70">
        <v>601</v>
      </c>
      <c r="B74" s="27" t="str">
        <f>VLOOKUP($A74, Sheet5!$A$1:$E$119,2,FALSE)</f>
        <v>IBD</v>
      </c>
      <c r="C74" s="27" t="str">
        <f>VLOOKUP($A74, Sheet5!$A$1:$E$119,3,FALSE)</f>
        <v>otu_2</v>
      </c>
      <c r="D74" s="27" t="str">
        <f>VLOOKUP($A74, Sheet5!$A$1:$E$119,4,FALSE)</f>
        <v>F</v>
      </c>
      <c r="E74" s="27">
        <f>VLOOKUP($A74, Sheet5!$A$1:$E$119,5,FALSE)</f>
        <v>2</v>
      </c>
      <c r="F74" s="67">
        <v>0.11966000000000002</v>
      </c>
      <c r="G74" s="67">
        <v>6.5619999999999998E-2</v>
      </c>
      <c r="H74" s="67">
        <v>0.21167741935483875</v>
      </c>
      <c r="I74" s="95">
        <v>2.6783999999999999E-2</v>
      </c>
      <c r="J74" s="95">
        <v>1.2383999999999999E-2</v>
      </c>
      <c r="K74" s="95">
        <v>0.62288372093023259</v>
      </c>
    </row>
    <row r="75" spans="1:33" x14ac:dyDescent="0.3">
      <c r="A75" s="27">
        <v>604</v>
      </c>
      <c r="B75" s="27" t="str">
        <f>VLOOKUP($A75, Sheet5!$A$1:$E$119,2,FALSE)</f>
        <v>Healthy</v>
      </c>
      <c r="C75" s="27" t="str">
        <f>VLOOKUP($A75, Sheet5!$A$1:$E$119,3,FALSE)</f>
        <v>otu_1</v>
      </c>
      <c r="D75" s="27" t="str">
        <f>VLOOKUP($A75, Sheet5!$A$1:$E$119,4,FALSE)</f>
        <v>M</v>
      </c>
      <c r="E75" s="27">
        <f>VLOOKUP($A75, Sheet5!$A$1:$E$119,5,FALSE)</f>
        <v>2</v>
      </c>
      <c r="F75" s="67">
        <v>0.10332000000000001</v>
      </c>
      <c r="G75" s="67">
        <v>1.8983999999999997E-2</v>
      </c>
      <c r="H75" s="67">
        <v>1.5434146341463412E-3</v>
      </c>
      <c r="I75" s="95">
        <v>3.4328000000000004E-2</v>
      </c>
      <c r="J75" s="95">
        <v>0.13888</v>
      </c>
      <c r="K75" s="95">
        <v>1.3841935483870967E-3</v>
      </c>
      <c r="L75" s="95">
        <v>0.24150000000000002</v>
      </c>
      <c r="M75" s="95">
        <v>6.0795000000000002E-2</v>
      </c>
      <c r="N75" s="95">
        <v>2.6432608695652177E-3</v>
      </c>
      <c r="O75">
        <v>0.29912999999999995</v>
      </c>
      <c r="P75">
        <v>2.1240000000000002E-2</v>
      </c>
      <c r="Q75">
        <v>7.1005917159763329E-2</v>
      </c>
      <c r="V75">
        <v>1.43</v>
      </c>
      <c r="W75">
        <v>0.40183000000000002</v>
      </c>
      <c r="X75">
        <v>0.61776000000000009</v>
      </c>
      <c r="Y75">
        <v>7.1785999999999989E-2</v>
      </c>
      <c r="Z75">
        <v>0.88</v>
      </c>
      <c r="AA75">
        <v>0.1188</v>
      </c>
      <c r="AB75">
        <v>0.374</v>
      </c>
      <c r="AC75">
        <v>6.1600000000000002E-2</v>
      </c>
      <c r="AD75">
        <v>0.88</v>
      </c>
      <c r="AE75">
        <v>0.11264000000000002</v>
      </c>
      <c r="AF75">
        <v>0.28423999999999994</v>
      </c>
      <c r="AG75">
        <v>6.7496E-2</v>
      </c>
    </row>
    <row r="76" spans="1:33" x14ac:dyDescent="0.3">
      <c r="A76" s="27">
        <v>612</v>
      </c>
      <c r="B76" s="27" t="str">
        <f>VLOOKUP($A76, Sheet5!$A$1:$E$119,2,FALSE)</f>
        <v>Healthy</v>
      </c>
      <c r="C76" s="27" t="str">
        <f>VLOOKUP($A76, Sheet5!$A$1:$E$119,3,FALSE)</f>
        <v>otu_1</v>
      </c>
      <c r="D76" s="27" t="str">
        <f>VLOOKUP($A76, Sheet5!$A$1:$E$119,4,FALSE)</f>
        <v>F</v>
      </c>
      <c r="E76" s="27">
        <f>VLOOKUP($A76, Sheet5!$A$1:$E$119,5,FALSE)</f>
        <v>4</v>
      </c>
      <c r="F76" s="67">
        <v>6.2780000000000002E-2</v>
      </c>
      <c r="G76" s="67">
        <v>2.0951000000000001E-2</v>
      </c>
      <c r="H76" s="67">
        <v>2.4361627906976744E-3</v>
      </c>
      <c r="I76" s="95">
        <v>2.3369999999999998E-2</v>
      </c>
      <c r="J76" s="95">
        <v>0.17712</v>
      </c>
      <c r="K76" s="95">
        <v>1.0819444444444444E-3</v>
      </c>
      <c r="L76" s="95">
        <v>0.51338000000000006</v>
      </c>
      <c r="M76" s="95">
        <v>4.1629000000000006E-2</v>
      </c>
      <c r="N76" s="95">
        <v>1.0784715025906736E-3</v>
      </c>
      <c r="O76">
        <v>0.36936000000000008</v>
      </c>
      <c r="P76">
        <v>2.6352E-2</v>
      </c>
      <c r="Q76">
        <v>7.1345029239766072E-2</v>
      </c>
      <c r="V76">
        <v>1.23</v>
      </c>
      <c r="W76">
        <v>0.48216000000000003</v>
      </c>
      <c r="X76">
        <v>0.44402999999999998</v>
      </c>
      <c r="Y76">
        <v>0.10959300000000001</v>
      </c>
      <c r="Z76">
        <v>0.83</v>
      </c>
      <c r="AA76">
        <v>0.13445999999999997</v>
      </c>
      <c r="AB76">
        <v>0.32203999999999994</v>
      </c>
      <c r="AC76">
        <v>5.9261999999999995E-2</v>
      </c>
      <c r="AD76">
        <v>1.47</v>
      </c>
      <c r="AE76">
        <v>0.42630000000000001</v>
      </c>
      <c r="AF76">
        <v>0.51744000000000001</v>
      </c>
      <c r="AG76">
        <v>0.142149</v>
      </c>
    </row>
    <row r="77" spans="1:33" x14ac:dyDescent="0.3">
      <c r="A77" s="27">
        <v>614</v>
      </c>
      <c r="B77" s="27" t="str">
        <f>VLOOKUP($A77, Sheet5!$A$1:$E$119,2,FALSE)</f>
        <v>Healthy</v>
      </c>
      <c r="C77" s="27" t="str">
        <f>VLOOKUP($A77, Sheet5!$A$1:$E$119,3,FALSE)</f>
        <v>otu_1</v>
      </c>
      <c r="D77" s="27" t="str">
        <f>VLOOKUP($A77, Sheet5!$A$1:$E$119,4,FALSE)</f>
        <v>F</v>
      </c>
      <c r="E77" s="27">
        <f>VLOOKUP($A77, Sheet5!$A$1:$E$119,5,FALSE)</f>
        <v>2</v>
      </c>
      <c r="F77" s="67">
        <v>0.14839999999999998</v>
      </c>
      <c r="G77" s="67">
        <v>2.1139999999999999E-2</v>
      </c>
      <c r="H77" s="67">
        <v>1.994339622641509E-3</v>
      </c>
      <c r="I77" s="67">
        <v>1.1856E-2</v>
      </c>
      <c r="J77" s="67">
        <v>0.28044000000000002</v>
      </c>
      <c r="K77" s="67">
        <v>4.8195121951219509E-4</v>
      </c>
      <c r="L77" s="67">
        <v>0.99059999999999993</v>
      </c>
      <c r="M77" s="67">
        <v>0.12558</v>
      </c>
      <c r="N77" s="67">
        <v>2.4720472440944883E-3</v>
      </c>
      <c r="O77">
        <v>0.40590000000000004</v>
      </c>
      <c r="P77">
        <v>9.2399999999999999E-3</v>
      </c>
      <c r="Q77">
        <v>2.2764227642276421E-2</v>
      </c>
    </row>
    <row r="78" spans="1:33" x14ac:dyDescent="0.3">
      <c r="A78" s="27">
        <v>617</v>
      </c>
      <c r="B78" s="27" t="str">
        <f>VLOOKUP($A78, Sheet5!$A$1:$E$119,2,FALSE)</f>
        <v>Healthy</v>
      </c>
      <c r="C78" s="27" t="str">
        <f>VLOOKUP($A78, Sheet5!$A$1:$E$119,3,FALSE)</f>
        <v>otu_1</v>
      </c>
      <c r="D78" s="27" t="str">
        <f>VLOOKUP($A78, Sheet5!$A$1:$E$119,4,FALSE)</f>
        <v>F</v>
      </c>
      <c r="E78" s="27">
        <f>VLOOKUP($A78, Sheet5!$A$1:$E$119,5,FALSE)</f>
        <v>1</v>
      </c>
      <c r="F78" s="67">
        <v>0.37619999999999998</v>
      </c>
      <c r="G78" s="67">
        <v>0.10545000000000002</v>
      </c>
      <c r="H78" s="67">
        <v>7.9886363636363644E-3</v>
      </c>
      <c r="I78">
        <v>1.7547999999999998E-2</v>
      </c>
      <c r="J78">
        <v>0.27551999999999999</v>
      </c>
      <c r="K78">
        <v>5.2226190476190471E-4</v>
      </c>
      <c r="L78">
        <v>0.11952</v>
      </c>
      <c r="M78">
        <v>4.2335999999999999E-2</v>
      </c>
      <c r="N78">
        <v>2.5503614457831319E-3</v>
      </c>
      <c r="R78">
        <v>6.2200000000000006</v>
      </c>
      <c r="S78">
        <v>0.44473000000000007</v>
      </c>
      <c r="U78">
        <v>0.47272000000000003</v>
      </c>
      <c r="V78">
        <v>7.4</v>
      </c>
      <c r="W78">
        <v>0.79920000000000013</v>
      </c>
      <c r="X78">
        <v>1.7908000000000002</v>
      </c>
      <c r="Y78">
        <v>0.37962000000000001</v>
      </c>
      <c r="Z78">
        <v>3.92</v>
      </c>
      <c r="AA78">
        <v>0.16189599999999998</v>
      </c>
      <c r="AB78">
        <v>1.0387999999999999</v>
      </c>
      <c r="AC78">
        <v>0.15523199999999998</v>
      </c>
      <c r="AD78">
        <v>7.9399999999999995</v>
      </c>
      <c r="AE78">
        <v>0.71380600000000005</v>
      </c>
      <c r="AF78">
        <v>2.1358599999999996</v>
      </c>
      <c r="AG78">
        <v>0.74080199999999996</v>
      </c>
    </row>
    <row r="79" spans="1:33" x14ac:dyDescent="0.3">
      <c r="A79" s="27">
        <v>669</v>
      </c>
      <c r="B79" s="27" t="str">
        <f>VLOOKUP($A79, Sheet5!$A$1:$E$119,2,FALSE)</f>
        <v>Healthy</v>
      </c>
      <c r="C79" s="27" t="str">
        <f>VLOOKUP($A79, Sheet5!$A$1:$E$119,3,FALSE)</f>
        <v>otu_1</v>
      </c>
      <c r="D79" s="27" t="str">
        <f>VLOOKUP($A79, Sheet5!$A$1:$E$119,4,FALSE)</f>
        <v>M</v>
      </c>
      <c r="E79" s="27">
        <f>VLOOKUP($A79, Sheet5!$A$1:$E$119,5,FALSE)</f>
        <v>1</v>
      </c>
      <c r="F79" s="67">
        <v>0.1278</v>
      </c>
      <c r="G79" s="67">
        <v>1.7235E-2</v>
      </c>
      <c r="H79" s="67">
        <v>6.0686619718309869E-4</v>
      </c>
      <c r="I79" s="67">
        <v>2.6774999999999997E-2</v>
      </c>
      <c r="J79" s="67">
        <v>0.33574999999999994</v>
      </c>
      <c r="K79" s="67">
        <v>6.7784810126582276E-4</v>
      </c>
      <c r="L79" s="67">
        <v>0.48424999999999996</v>
      </c>
      <c r="M79" s="67">
        <v>0.10355500000000001</v>
      </c>
      <c r="N79" s="67">
        <v>3.1863076923076923E-3</v>
      </c>
      <c r="O79">
        <v>0.16739999999999999</v>
      </c>
      <c r="P79">
        <v>2.4304000000000003E-2</v>
      </c>
      <c r="Q79">
        <v>0.14518518518518519</v>
      </c>
      <c r="V79">
        <v>1.23</v>
      </c>
      <c r="W79">
        <v>0.32594999999999996</v>
      </c>
      <c r="X79">
        <v>0.35792999999999997</v>
      </c>
      <c r="Y79">
        <v>9.8768999999999996E-2</v>
      </c>
      <c r="Z79">
        <v>1.39</v>
      </c>
      <c r="AA79">
        <v>0.21267</v>
      </c>
      <c r="AB79">
        <v>0.69360999999999995</v>
      </c>
      <c r="AC79">
        <v>8.3122000000000001E-2</v>
      </c>
      <c r="AD79">
        <v>1.23</v>
      </c>
      <c r="AE79">
        <v>0.18695999999999999</v>
      </c>
      <c r="AF79">
        <v>0.54735</v>
      </c>
      <c r="AG79">
        <v>5.2275000000000002E-2</v>
      </c>
    </row>
    <row r="80" spans="1:33" x14ac:dyDescent="0.3">
      <c r="A80" s="27">
        <v>674</v>
      </c>
      <c r="B80" s="27" t="str">
        <f>VLOOKUP($A80, Sheet5!$A$1:$E$119,2,FALSE)</f>
        <v>Healthy</v>
      </c>
      <c r="C80" s="27" t="str">
        <f>VLOOKUP($A80, Sheet5!$A$1:$E$119,3,FALSE)</f>
        <v>otu_1</v>
      </c>
      <c r="D80" s="27" t="str">
        <f>VLOOKUP($A80, Sheet5!$A$1:$E$119,4,FALSE)</f>
        <v>M</v>
      </c>
      <c r="E80" s="27">
        <f>VLOOKUP($A80, Sheet5!$A$1:$E$119,5,FALSE)</f>
        <v>2</v>
      </c>
      <c r="F80" s="67">
        <v>8.9109999999999996</v>
      </c>
      <c r="G80" s="67">
        <v>0.70109999999999995</v>
      </c>
      <c r="H80" s="67">
        <v>1.4948827292110873E-2</v>
      </c>
      <c r="I80">
        <v>0.5865459999999999</v>
      </c>
      <c r="J80">
        <v>4.4415300000000002</v>
      </c>
      <c r="K80">
        <v>1.2453205944798301E-2</v>
      </c>
      <c r="L80">
        <v>3.3832200000000001</v>
      </c>
      <c r="M80">
        <v>0.35798400000000002</v>
      </c>
      <c r="N80">
        <v>7.1740280561122258E-3</v>
      </c>
      <c r="O80">
        <v>0.54991999999999996</v>
      </c>
      <c r="P80">
        <v>0.25591999999999998</v>
      </c>
      <c r="Q80">
        <v>0.46537678207739308</v>
      </c>
      <c r="R80">
        <v>4.67</v>
      </c>
      <c r="S80">
        <v>1.5084099999999998</v>
      </c>
      <c r="T80">
        <v>0.56040000000000001</v>
      </c>
      <c r="U80">
        <v>0.8732899999999999</v>
      </c>
      <c r="V80">
        <v>9.91</v>
      </c>
      <c r="W80">
        <v>2.73516</v>
      </c>
      <c r="X80">
        <v>2.2594799999999999</v>
      </c>
      <c r="Y80">
        <v>1.1594699999999998</v>
      </c>
      <c r="Z80">
        <v>9.83</v>
      </c>
      <c r="AA80">
        <v>1.5531400000000002</v>
      </c>
      <c r="AB80">
        <v>3.4896499999999997</v>
      </c>
      <c r="AC80">
        <v>0.57308899999999996</v>
      </c>
      <c r="AD80">
        <v>9.23</v>
      </c>
      <c r="AE80">
        <v>1.9844500000000003</v>
      </c>
      <c r="AF80">
        <v>2.4736400000000001</v>
      </c>
      <c r="AG80">
        <v>0.57410600000000001</v>
      </c>
    </row>
    <row r="81" spans="1:33" x14ac:dyDescent="0.3">
      <c r="A81" s="27">
        <v>676</v>
      </c>
      <c r="B81" s="27" t="str">
        <f>VLOOKUP($A81, Sheet5!$A$1:$E$119,2,FALSE)</f>
        <v>Healthy</v>
      </c>
      <c r="C81" s="27" t="str">
        <f>VLOOKUP($A81, Sheet5!$A$1:$E$119,3,FALSE)</f>
        <v>otu_1</v>
      </c>
      <c r="D81" s="27" t="str">
        <f>VLOOKUP($A81, Sheet5!$A$1:$E$119,4,FALSE)</f>
        <v>M</v>
      </c>
      <c r="E81" s="27">
        <f>VLOOKUP($A81, Sheet5!$A$1:$E$119,5,FALSE)</f>
        <v>0</v>
      </c>
      <c r="F81" s="67">
        <v>0.14129999999999998</v>
      </c>
      <c r="G81" s="67">
        <v>1.9710000000000002E-2</v>
      </c>
      <c r="H81" s="67">
        <v>6.2770700636942682E-4</v>
      </c>
      <c r="I81" s="95">
        <v>5.3040000000000006E-3</v>
      </c>
      <c r="J81" s="95">
        <v>5.3040000000000004E-2</v>
      </c>
      <c r="K81" s="95">
        <v>1.7000000000000001E-4</v>
      </c>
      <c r="L81" s="95">
        <v>0.26268000000000002</v>
      </c>
      <c r="M81" s="95">
        <v>7.7219999999999997E-2</v>
      </c>
      <c r="N81" s="95">
        <v>3.8804020100502512E-3</v>
      </c>
      <c r="V81">
        <v>0.47</v>
      </c>
      <c r="W81">
        <v>0.11937999999999999</v>
      </c>
      <c r="X81">
        <v>5.5460000000000002E-2</v>
      </c>
      <c r="Y81">
        <v>0.14757999999999999</v>
      </c>
      <c r="Z81">
        <v>0.78</v>
      </c>
      <c r="AA81">
        <v>0.11154000000000001</v>
      </c>
      <c r="AB81">
        <v>0.20826</v>
      </c>
      <c r="AC81">
        <v>0.18408000000000002</v>
      </c>
      <c r="AD81">
        <v>0.61</v>
      </c>
      <c r="AE81">
        <v>0.26229999999999998</v>
      </c>
      <c r="AF81">
        <v>0.15006</v>
      </c>
      <c r="AG81">
        <v>0.10064999999999999</v>
      </c>
    </row>
    <row r="82" spans="1:33" x14ac:dyDescent="0.3">
      <c r="A82" s="27">
        <v>677</v>
      </c>
      <c r="B82" s="27" t="str">
        <f>VLOOKUP($A82, Sheet5!$A$1:$E$119,2,FALSE)</f>
        <v>Healthy</v>
      </c>
      <c r="C82" s="27" t="str">
        <f>VLOOKUP($A82, Sheet5!$A$1:$E$119,3,FALSE)</f>
        <v>otu_1</v>
      </c>
      <c r="D82" s="27" t="str">
        <f>VLOOKUP($A82, Sheet5!$A$1:$E$119,4,FALSE)</f>
        <v>M</v>
      </c>
      <c r="E82" s="27">
        <f>VLOOKUP($A82, Sheet5!$A$1:$E$119,5,FALSE)</f>
        <v>2</v>
      </c>
      <c r="F82" s="67">
        <v>5.2635000000000005</v>
      </c>
      <c r="G82" s="67">
        <v>0.28391</v>
      </c>
      <c r="H82" s="67">
        <v>1.7206666666666665E-2</v>
      </c>
      <c r="I82">
        <v>8.5652000000000006E-2</v>
      </c>
      <c r="J82">
        <v>1.34596</v>
      </c>
      <c r="K82">
        <v>2.7809090909090904E-3</v>
      </c>
      <c r="L82">
        <v>1.72695</v>
      </c>
      <c r="M82">
        <v>0.150945</v>
      </c>
      <c r="N82">
        <v>3.8021410579345081E-3</v>
      </c>
      <c r="O82">
        <v>0.50616000000000005</v>
      </c>
      <c r="P82">
        <v>6.3840000000000008E-2</v>
      </c>
      <c r="Q82">
        <v>0.12612612612612611</v>
      </c>
      <c r="R82">
        <v>9.41</v>
      </c>
      <c r="T82">
        <v>0.84784099999999996</v>
      </c>
      <c r="U82">
        <v>2.1831199999999997</v>
      </c>
      <c r="V82">
        <v>6.6400000000000006</v>
      </c>
      <c r="W82">
        <v>0.72376000000000007</v>
      </c>
      <c r="X82">
        <v>1.5803200000000002</v>
      </c>
      <c r="Y82">
        <v>0.54182400000000008</v>
      </c>
      <c r="Z82">
        <v>11.38</v>
      </c>
      <c r="AA82">
        <v>1.3428400000000003</v>
      </c>
      <c r="AB82">
        <v>5.2689399999999997</v>
      </c>
      <c r="AC82">
        <v>0.30498400000000003</v>
      </c>
      <c r="AD82">
        <v>13</v>
      </c>
      <c r="AF82">
        <v>5.4210000000000003</v>
      </c>
      <c r="AG82">
        <v>0.82810000000000006</v>
      </c>
    </row>
    <row r="83" spans="1:33" x14ac:dyDescent="0.3">
      <c r="A83" s="70">
        <v>689</v>
      </c>
      <c r="B83" s="27" t="str">
        <f>VLOOKUP($A83, Sheet5!$A$1:$E$119,2,FALSE)</f>
        <v>IBD</v>
      </c>
      <c r="C83" s="27" t="str">
        <f>VLOOKUP($A83, Sheet5!$A$1:$E$119,3,FALSE)</f>
        <v>otu_2</v>
      </c>
      <c r="D83" s="27" t="str">
        <f>VLOOKUP($A83, Sheet5!$A$1:$E$119,4,FALSE)</f>
        <v>M</v>
      </c>
      <c r="E83" s="27">
        <f>VLOOKUP($A83, Sheet5!$A$1:$E$119,5,FALSE)</f>
        <v>7</v>
      </c>
      <c r="F83" s="76"/>
      <c r="G83" s="76"/>
      <c r="H83" s="76"/>
      <c r="I83" s="60"/>
      <c r="J83" s="60"/>
      <c r="K83" s="60"/>
      <c r="L83" s="45"/>
      <c r="M83" s="45"/>
      <c r="N83" s="45"/>
    </row>
    <row r="84" spans="1:33" x14ac:dyDescent="0.3">
      <c r="A84" s="27">
        <v>713</v>
      </c>
      <c r="B84" s="27" t="str">
        <f>VLOOKUP($A84, Sheet5!$A$1:$E$119,2,FALSE)</f>
        <v>Healthy</v>
      </c>
      <c r="C84" s="27" t="str">
        <f>VLOOKUP($A84, Sheet5!$A$1:$E$119,3,FALSE)</f>
        <v>otu_1</v>
      </c>
      <c r="D84" s="27" t="str">
        <f>VLOOKUP($A84, Sheet5!$A$1:$E$119,4,FALSE)</f>
        <v>M</v>
      </c>
      <c r="E84" s="27">
        <f>VLOOKUP($A84, Sheet5!$A$1:$E$119,5,FALSE)</f>
        <v>4</v>
      </c>
      <c r="F84" s="67">
        <v>6.3318000000000003</v>
      </c>
      <c r="G84" s="67">
        <v>0.40992000000000006</v>
      </c>
      <c r="H84" s="67">
        <v>2.3694797687861278E-2</v>
      </c>
      <c r="I84" s="45">
        <v>0.47824</v>
      </c>
      <c r="J84" s="45">
        <v>6.9784000000000006</v>
      </c>
      <c r="K84" s="45">
        <v>8.3608391608391581E-3</v>
      </c>
      <c r="L84" s="45">
        <v>2.5161699999999998</v>
      </c>
      <c r="M84" s="45">
        <v>0.40007800000000004</v>
      </c>
      <c r="N84" s="45">
        <v>1.1082493074792244E-2</v>
      </c>
      <c r="R84">
        <v>10.210000000000001</v>
      </c>
      <c r="S84">
        <v>3.0527899999999999</v>
      </c>
      <c r="U84">
        <v>0.74328800000000017</v>
      </c>
      <c r="V84">
        <v>15.620000000000001</v>
      </c>
      <c r="W84">
        <v>4.3111199999999998</v>
      </c>
      <c r="X84">
        <v>6.1699000000000002</v>
      </c>
      <c r="Y84">
        <v>1.024672</v>
      </c>
      <c r="Z84">
        <v>15.99</v>
      </c>
      <c r="AA84">
        <v>2.5584000000000002</v>
      </c>
      <c r="AB84">
        <v>8.0429699999999986</v>
      </c>
      <c r="AC84">
        <v>0.68757000000000001</v>
      </c>
      <c r="AD84">
        <v>2.58</v>
      </c>
      <c r="AF84">
        <v>0.37668000000000001</v>
      </c>
      <c r="AG84">
        <v>0.38184000000000007</v>
      </c>
    </row>
    <row r="85" spans="1:33" x14ac:dyDescent="0.3">
      <c r="A85" s="27">
        <v>722</v>
      </c>
      <c r="B85" s="27" t="str">
        <f>VLOOKUP($A85, Sheet5!$A$1:$E$119,2,FALSE)</f>
        <v>Healthy</v>
      </c>
      <c r="C85" s="27" t="str">
        <f>VLOOKUP($A85, Sheet5!$A$1:$E$119,3,FALSE)</f>
        <v>otu_1</v>
      </c>
      <c r="D85" s="27" t="str">
        <f>VLOOKUP($A85, Sheet5!$A$1:$E$119,4,FALSE)</f>
        <v>F</v>
      </c>
      <c r="E85" s="27">
        <f>VLOOKUP($A85, Sheet5!$A$1:$E$119,5,FALSE)</f>
        <v>4</v>
      </c>
      <c r="F85" s="67">
        <v>0.43176000000000003</v>
      </c>
      <c r="G85" s="67">
        <v>0.27242</v>
      </c>
      <c r="H85" s="67">
        <v>1.6215476190476186E-2</v>
      </c>
      <c r="I85" s="45">
        <v>3.4328000000000004E-2</v>
      </c>
      <c r="J85" s="45">
        <v>0.13888</v>
      </c>
      <c r="K85" s="45">
        <v>1.3841935483870967E-3</v>
      </c>
      <c r="L85" s="45">
        <v>0.24150000000000002</v>
      </c>
      <c r="M85" s="45">
        <v>6.0795000000000002E-2</v>
      </c>
      <c r="N85" s="45">
        <v>2.6432608695652177E-3</v>
      </c>
      <c r="O85">
        <v>0.29912999999999995</v>
      </c>
      <c r="P85">
        <v>2.1240000000000002E-2</v>
      </c>
      <c r="Q85">
        <v>7.1005917159763329E-2</v>
      </c>
      <c r="V85">
        <v>5.15</v>
      </c>
      <c r="W85">
        <v>0.54075000000000006</v>
      </c>
      <c r="X85">
        <v>1.0454500000000002</v>
      </c>
      <c r="Y85">
        <v>1.1484500000000002</v>
      </c>
      <c r="Z85">
        <v>5.9399999999999995</v>
      </c>
      <c r="AA85">
        <v>1.1167199999999999</v>
      </c>
      <c r="AB85">
        <v>2.32254</v>
      </c>
      <c r="AC85">
        <v>0.38728799999999991</v>
      </c>
      <c r="AD85">
        <v>4.12</v>
      </c>
      <c r="AE85">
        <v>0.44908000000000003</v>
      </c>
      <c r="AF85">
        <v>0.82400000000000007</v>
      </c>
      <c r="AG85">
        <v>0.92700000000000005</v>
      </c>
    </row>
    <row r="86" spans="1:33" x14ac:dyDescent="0.3">
      <c r="A86" s="22">
        <v>816</v>
      </c>
      <c r="B86" s="27" t="str">
        <f>VLOOKUP($A86, Sheet5!$A$1:$E$119,2,FALSE)</f>
        <v>IBD</v>
      </c>
      <c r="C86" s="27" t="str">
        <f>VLOOKUP($A86, Sheet5!$A$1:$E$119,3,FALSE)</f>
        <v>otu_2</v>
      </c>
      <c r="D86" s="27" t="str">
        <f>VLOOKUP($A86, Sheet5!$A$1:$E$119,4,FALSE)</f>
        <v>M</v>
      </c>
      <c r="E86" s="27">
        <f>VLOOKUP($A86, Sheet5!$A$1:$E$119,5,FALSE)</f>
        <v>0</v>
      </c>
      <c r="F86" s="67">
        <v>0.12959999999999999</v>
      </c>
      <c r="G86" s="67">
        <v>3.3119999999999997E-2</v>
      </c>
      <c r="H86" s="67">
        <v>9.1999999999999998E-2</v>
      </c>
      <c r="I86" s="95">
        <v>6.7859999999999995E-3</v>
      </c>
      <c r="J86" s="95">
        <v>2.436E-2</v>
      </c>
      <c r="K86" s="95">
        <v>4.8471428571428561E-2</v>
      </c>
    </row>
    <row r="87" spans="1:33" x14ac:dyDescent="0.3">
      <c r="A87" s="70">
        <v>826</v>
      </c>
      <c r="B87" s="27" t="str">
        <f>VLOOKUP($A87, Sheet5!$A$1:$E$119,2,FALSE)</f>
        <v>IBD</v>
      </c>
      <c r="C87" s="27" t="str">
        <f>VLOOKUP($A87, Sheet5!$A$1:$E$119,3,FALSE)</f>
        <v>otu_2</v>
      </c>
      <c r="D87" s="27" t="str">
        <f>VLOOKUP($A87, Sheet5!$A$1:$E$119,4,FALSE)</f>
        <v>M</v>
      </c>
      <c r="E87" s="27">
        <f>VLOOKUP($A87, Sheet5!$A$1:$E$119,5,FALSE)</f>
        <v>4</v>
      </c>
      <c r="F87" s="67">
        <v>1.6768000000000002E-2</v>
      </c>
      <c r="G87" s="67">
        <v>1.1265999999999998E-2</v>
      </c>
      <c r="H87" s="67">
        <v>0.17603124999999994</v>
      </c>
      <c r="I87" s="60"/>
      <c r="J87" s="60"/>
      <c r="K87" s="60"/>
      <c r="L87" s="45"/>
      <c r="M87" s="45"/>
      <c r="N87" s="45"/>
    </row>
    <row r="88" spans="1:33" x14ac:dyDescent="0.3">
      <c r="A88" s="70">
        <v>834</v>
      </c>
      <c r="B88" s="27" t="str">
        <f>VLOOKUP($A88, Sheet5!$A$1:$E$119,2,FALSE)</f>
        <v>IBD</v>
      </c>
      <c r="C88" s="27" t="str">
        <f>VLOOKUP($A88, Sheet5!$A$1:$E$119,3,FALSE)</f>
        <v>otu_2</v>
      </c>
      <c r="D88" s="27" t="str">
        <f>VLOOKUP($A88, Sheet5!$A$1:$E$119,4,FALSE)</f>
        <v>F</v>
      </c>
      <c r="E88" s="27">
        <f>VLOOKUP($A88, Sheet5!$A$1:$E$119,5,FALSE)</f>
        <v>1</v>
      </c>
      <c r="F88" s="76"/>
      <c r="G88" s="76"/>
      <c r="H88" s="76"/>
      <c r="I88" s="60"/>
      <c r="J88" s="60"/>
      <c r="K88" s="60"/>
      <c r="L88" s="45"/>
      <c r="M88" s="45"/>
      <c r="N88" s="45"/>
    </row>
    <row r="89" spans="1:33" x14ac:dyDescent="0.3">
      <c r="A89" s="70">
        <v>835</v>
      </c>
      <c r="B89" s="27" t="str">
        <f>VLOOKUP($A89, Sheet5!$A$1:$E$119,2,FALSE)</f>
        <v>IBD</v>
      </c>
      <c r="C89" s="27" t="str">
        <f>VLOOKUP($A89, Sheet5!$A$1:$E$119,3,FALSE)</f>
        <v>otu_2</v>
      </c>
      <c r="D89" s="27" t="str">
        <f>VLOOKUP($A89, Sheet5!$A$1:$E$119,4,FALSE)</f>
        <v>F</v>
      </c>
      <c r="E89" s="27">
        <f>VLOOKUP($A89, Sheet5!$A$1:$E$119,5,FALSE)</f>
        <v>3</v>
      </c>
      <c r="F89" s="67">
        <v>3.168E-2</v>
      </c>
      <c r="G89" s="67">
        <v>2.6495999999999999E-2</v>
      </c>
      <c r="H89" s="67">
        <v>0.24087272727272727</v>
      </c>
      <c r="I89" s="60"/>
      <c r="J89" s="60"/>
      <c r="K89" s="60"/>
      <c r="L89" s="45"/>
      <c r="M89" s="45"/>
      <c r="N89" s="45"/>
    </row>
    <row r="90" spans="1:33" x14ac:dyDescent="0.3">
      <c r="A90" s="70">
        <v>843</v>
      </c>
      <c r="B90" s="27" t="str">
        <f>VLOOKUP($A90, Sheet5!$A$1:$E$119,2,FALSE)</f>
        <v>IBD</v>
      </c>
      <c r="C90" s="27" t="str">
        <f>VLOOKUP($A90, Sheet5!$A$1:$E$119,3,FALSE)</f>
        <v>otu_2</v>
      </c>
      <c r="D90" s="27" t="str">
        <f>VLOOKUP($A90, Sheet5!$A$1:$E$119,4,FALSE)</f>
        <v>M</v>
      </c>
      <c r="E90" s="27">
        <f>VLOOKUP($A90, Sheet5!$A$1:$E$119,5,FALSE)</f>
        <v>3</v>
      </c>
      <c r="F90" s="67">
        <v>3.7199999999999997E-2</v>
      </c>
      <c r="G90" s="67">
        <v>4.6499999999999993E-2</v>
      </c>
      <c r="H90" s="67">
        <v>0.38750000000000001</v>
      </c>
      <c r="I90" s="60"/>
      <c r="J90" s="60"/>
      <c r="K90" s="60"/>
      <c r="L90" s="45"/>
      <c r="M90" s="45"/>
      <c r="N90" s="45"/>
    </row>
    <row r="91" spans="1:33" x14ac:dyDescent="0.3">
      <c r="A91" s="70">
        <v>855</v>
      </c>
      <c r="B91" s="27" t="str">
        <f>VLOOKUP($A91, Sheet5!$A$1:$E$119,2,FALSE)</f>
        <v>IBD</v>
      </c>
      <c r="C91" s="27" t="str">
        <f>VLOOKUP($A91, Sheet5!$A$1:$E$119,3,FALSE)</f>
        <v>otu_2</v>
      </c>
      <c r="D91" s="27" t="str">
        <f>VLOOKUP($A91, Sheet5!$A$1:$E$119,4,FALSE)</f>
        <v>F</v>
      </c>
      <c r="E91" s="27">
        <f>VLOOKUP($A91, Sheet5!$A$1:$E$119,5,FALSE)</f>
        <v>6</v>
      </c>
      <c r="F91" s="76"/>
      <c r="G91" s="76"/>
      <c r="H91" s="76"/>
      <c r="I91" s="60"/>
      <c r="J91" s="60"/>
      <c r="K91" s="60"/>
      <c r="L91" s="45"/>
      <c r="M91" s="45"/>
      <c r="N91" s="45"/>
    </row>
    <row r="92" spans="1:33" x14ac:dyDescent="0.3">
      <c r="A92" s="33">
        <v>1537</v>
      </c>
      <c r="B92" s="27" t="str">
        <f>VLOOKUP($A92, Sheet5!$A$1:$E$119,2,FALSE)</f>
        <v>Healthy</v>
      </c>
      <c r="C92" s="27" t="str">
        <f>VLOOKUP($A92, Sheet5!$A$1:$E$119,3,FALSE)</f>
        <v>otu_2</v>
      </c>
      <c r="D92" s="27" t="str">
        <f>VLOOKUP($A92, Sheet5!$A$1:$E$119,4,FALSE)</f>
        <v>M</v>
      </c>
      <c r="E92" s="27">
        <f>VLOOKUP($A92, Sheet5!$A$1:$E$119,5,FALSE)</f>
        <v>2</v>
      </c>
      <c r="F92" s="67">
        <v>0.35914200000000002</v>
      </c>
      <c r="G92" s="67">
        <v>0.15945100000000001</v>
      </c>
      <c r="H92" s="67">
        <v>2.2332072829131654E-2</v>
      </c>
      <c r="I92" s="45">
        <v>8.702E-2</v>
      </c>
      <c r="J92" s="45">
        <v>0.86259999999999992</v>
      </c>
      <c r="K92" s="45">
        <v>3.8334801762114541E-3</v>
      </c>
      <c r="L92" s="45">
        <v>0.52415999999999996</v>
      </c>
      <c r="M92" s="45">
        <v>0.13727999999999999</v>
      </c>
      <c r="N92" s="45">
        <v>1.0895238095238095E-2</v>
      </c>
      <c r="O92">
        <v>0.35258</v>
      </c>
      <c r="P92">
        <v>1.5606000000000002E-2</v>
      </c>
      <c r="Q92">
        <v>4.4262295081967218E-2</v>
      </c>
      <c r="R92">
        <v>0.46</v>
      </c>
      <c r="T92">
        <v>4.301E-2</v>
      </c>
      <c r="U92">
        <v>0.16149999999999998</v>
      </c>
      <c r="V92">
        <v>0.75</v>
      </c>
      <c r="W92">
        <v>0.20399999999999999</v>
      </c>
      <c r="X92">
        <v>3.4950000000000002E-2</v>
      </c>
      <c r="Y92">
        <v>0.32700000000000001</v>
      </c>
      <c r="Z92">
        <v>0.69</v>
      </c>
      <c r="AA92">
        <v>7.8659999999999994E-2</v>
      </c>
      <c r="AB92">
        <v>2.9531999999999999E-2</v>
      </c>
      <c r="AC92">
        <v>0.27806999999999993</v>
      </c>
      <c r="AD92">
        <v>0.32</v>
      </c>
      <c r="AE92">
        <v>5.824E-2</v>
      </c>
      <c r="AF92">
        <v>1.8047999999999998E-2</v>
      </c>
      <c r="AG92">
        <v>0.15615999999999999</v>
      </c>
    </row>
    <row r="93" spans="1:33" x14ac:dyDescent="0.3">
      <c r="A93" s="33">
        <v>1535</v>
      </c>
      <c r="B93" s="27" t="str">
        <f>VLOOKUP($A93, Sheet5!$A$1:$E$119,2,FALSE)</f>
        <v>Healthy</v>
      </c>
      <c r="C93" s="27" t="str">
        <f>VLOOKUP($A93, Sheet5!$A$1:$E$119,3,FALSE)</f>
        <v>otu_2</v>
      </c>
      <c r="D93" s="27" t="str">
        <f>VLOOKUP($A93, Sheet5!$A$1:$E$119,4,FALSE)</f>
        <v>M</v>
      </c>
      <c r="E93" s="27">
        <f>VLOOKUP($A93, Sheet5!$A$1:$E$119,5,FALSE)</f>
        <v>4</v>
      </c>
      <c r="F93" s="67">
        <v>0.238288</v>
      </c>
      <c r="G93" s="67">
        <v>0.10345600000000001</v>
      </c>
      <c r="H93" s="67">
        <v>3.6817081850533812E-2</v>
      </c>
      <c r="I93" s="67">
        <v>0.44850000000000001</v>
      </c>
      <c r="J93" s="67">
        <v>2.1942000000000004</v>
      </c>
      <c r="K93" s="67">
        <v>2.8207547169811317E-2</v>
      </c>
      <c r="L93" s="67">
        <v>0.36654000000000003</v>
      </c>
      <c r="M93" s="67">
        <v>0.21180599999999999</v>
      </c>
      <c r="N93" s="67">
        <v>1.4215167785234897E-2</v>
      </c>
      <c r="O93">
        <v>1.3665599999999998</v>
      </c>
      <c r="P93">
        <v>4.2631999999999996E-2</v>
      </c>
      <c r="Q93">
        <v>3.11965811965812E-2</v>
      </c>
      <c r="R93">
        <v>0.74</v>
      </c>
      <c r="S93">
        <v>7.9920000000000005E-2</v>
      </c>
      <c r="T93">
        <v>6.5638000000000002E-2</v>
      </c>
      <c r="U93">
        <v>0.35076000000000002</v>
      </c>
      <c r="V93">
        <v>2.4699999999999998</v>
      </c>
      <c r="Y93">
        <v>1.0522199999999999</v>
      </c>
      <c r="Z93">
        <v>0.7</v>
      </c>
      <c r="AA93">
        <v>4.4940000000000001E-2</v>
      </c>
      <c r="AB93">
        <v>2.0720000000000002E-2</v>
      </c>
      <c r="AC93">
        <v>0.22469999999999998</v>
      </c>
      <c r="AD93">
        <v>0.58000000000000007</v>
      </c>
      <c r="AE93">
        <v>8.4100000000000008E-2</v>
      </c>
      <c r="AF93">
        <v>2.7956000000000002E-2</v>
      </c>
      <c r="AG93">
        <v>0.16240000000000002</v>
      </c>
    </row>
    <row r="94" spans="1:33" x14ac:dyDescent="0.3">
      <c r="A94" s="33">
        <v>1540</v>
      </c>
      <c r="B94" s="27" t="str">
        <f>VLOOKUP($A94, Sheet5!$A$1:$E$119,2,FALSE)</f>
        <v>Healthy</v>
      </c>
      <c r="C94" s="27" t="str">
        <f>VLOOKUP($A94, Sheet5!$A$1:$E$119,3,FALSE)</f>
        <v>otu_2</v>
      </c>
      <c r="D94" s="27" t="str">
        <f>VLOOKUP($A94, Sheet5!$A$1:$E$119,4,FALSE)</f>
        <v>M</v>
      </c>
      <c r="E94" s="27">
        <f>VLOOKUP($A94, Sheet5!$A$1:$E$119,5,FALSE)</f>
        <v>0</v>
      </c>
      <c r="F94" s="67">
        <v>0.72390600000000005</v>
      </c>
      <c r="G94" s="67">
        <v>6.8154000000000006E-2</v>
      </c>
      <c r="H94" s="67">
        <v>8.6709923664122154E-3</v>
      </c>
      <c r="I94" s="67">
        <v>0.27434399999999998</v>
      </c>
      <c r="J94" s="67">
        <v>1.4654399999999999</v>
      </c>
      <c r="K94" s="67">
        <v>1.5950232558139536E-2</v>
      </c>
      <c r="L94" s="67">
        <v>0.79632000000000003</v>
      </c>
      <c r="M94" s="67">
        <v>0.26417600000000002</v>
      </c>
      <c r="N94" s="67">
        <v>2.0966349206349207E-2</v>
      </c>
      <c r="O94">
        <v>0.80459999999999998</v>
      </c>
      <c r="P94">
        <v>4.172E-2</v>
      </c>
      <c r="Q94">
        <v>5.185185185185185E-2</v>
      </c>
      <c r="R94">
        <v>0.75</v>
      </c>
      <c r="T94">
        <v>5.9549999999999999E-2</v>
      </c>
      <c r="U94">
        <v>0.23156999999999997</v>
      </c>
      <c r="V94">
        <v>1.29</v>
      </c>
      <c r="X94">
        <v>9.4427999999999998E-2</v>
      </c>
      <c r="Y94">
        <v>0.41538000000000003</v>
      </c>
      <c r="Z94">
        <v>0.78</v>
      </c>
      <c r="AA94">
        <v>0.11778000000000001</v>
      </c>
      <c r="AB94">
        <v>3.8064000000000001E-2</v>
      </c>
      <c r="AC94">
        <v>0.28703999999999996</v>
      </c>
      <c r="AD94">
        <v>0.42</v>
      </c>
      <c r="AE94">
        <v>6.216E-2</v>
      </c>
      <c r="AF94">
        <v>3.4188000000000003E-2</v>
      </c>
    </row>
    <row r="95" spans="1:33" x14ac:dyDescent="0.3">
      <c r="A95" s="33">
        <v>1802</v>
      </c>
      <c r="B95" s="27" t="str">
        <f>VLOOKUP($A95, Sheet5!$A$1:$E$119,2,FALSE)</f>
        <v>Healthy</v>
      </c>
      <c r="C95" s="27" t="str">
        <f>VLOOKUP($A95, Sheet5!$A$1:$E$119,3,FALSE)</f>
        <v>otu_2</v>
      </c>
      <c r="D95" s="27" t="str">
        <f>VLOOKUP($A95, Sheet5!$A$1:$E$119,4,FALSE)</f>
        <v>M</v>
      </c>
      <c r="E95" s="27">
        <f>VLOOKUP($A95, Sheet5!$A$1:$E$119,5,FALSE)</f>
        <v>2</v>
      </c>
      <c r="F95" s="67">
        <v>0.89154</v>
      </c>
      <c r="G95" s="67">
        <v>0.10249199999999999</v>
      </c>
      <c r="H95" s="67">
        <v>8.0702362204724404E-3</v>
      </c>
      <c r="I95" s="67">
        <v>0.15289200000000003</v>
      </c>
      <c r="J95" s="67">
        <v>1.2722400000000003</v>
      </c>
      <c r="K95" s="67">
        <v>4.4705263157894734E-3</v>
      </c>
      <c r="L95" s="67">
        <v>0.87287000000000003</v>
      </c>
      <c r="M95" s="67">
        <v>8.1346000000000002E-2</v>
      </c>
      <c r="N95" s="67">
        <v>4.2589528795811517E-3</v>
      </c>
      <c r="O95">
        <v>0.80057</v>
      </c>
      <c r="P95">
        <v>7.5748999999999997E-2</v>
      </c>
      <c r="Q95">
        <v>9.4618834080717487E-2</v>
      </c>
      <c r="R95">
        <v>0.79</v>
      </c>
      <c r="S95">
        <v>9.401000000000001E-2</v>
      </c>
      <c r="U95">
        <v>0.23225999999999999</v>
      </c>
      <c r="V95">
        <v>1.5</v>
      </c>
      <c r="W95">
        <v>0.12269999999999999</v>
      </c>
      <c r="X95">
        <v>6.1050000000000007E-2</v>
      </c>
      <c r="Y95">
        <v>0.72</v>
      </c>
      <c r="Z95">
        <v>1.37</v>
      </c>
      <c r="AA95">
        <v>3.6031000000000001E-2</v>
      </c>
      <c r="AB95">
        <v>3.9593000000000003E-2</v>
      </c>
      <c r="AC95">
        <v>0.30825000000000002</v>
      </c>
      <c r="AD95">
        <v>0.97</v>
      </c>
      <c r="AE95">
        <v>0.14065</v>
      </c>
      <c r="AF95">
        <v>6.2564999999999996E-2</v>
      </c>
      <c r="AG95">
        <v>0.35017000000000004</v>
      </c>
    </row>
    <row r="96" spans="1:33" x14ac:dyDescent="0.3">
      <c r="A96" s="33">
        <v>1806</v>
      </c>
      <c r="B96" s="27" t="str">
        <f>VLOOKUP($A96, Sheet5!$A$1:$E$119,2,FALSE)</f>
        <v>Healthy</v>
      </c>
      <c r="C96" s="27" t="str">
        <f>VLOOKUP($A96, Sheet5!$A$1:$E$119,3,FALSE)</f>
        <v>otu_2</v>
      </c>
      <c r="D96" s="27" t="str">
        <f>VLOOKUP($A96, Sheet5!$A$1:$E$119,4,FALSE)</f>
        <v>M</v>
      </c>
      <c r="E96" s="27">
        <f>VLOOKUP($A96, Sheet5!$A$1:$E$119,5,FALSE)</f>
        <v>1</v>
      </c>
      <c r="F96" s="60"/>
      <c r="G96" s="60"/>
      <c r="H96" s="60"/>
      <c r="I96" s="67">
        <v>0.19755</v>
      </c>
      <c r="J96" s="67">
        <v>1.7998999999999998</v>
      </c>
      <c r="K96" s="67">
        <v>4.8182926829268289E-3</v>
      </c>
      <c r="L96" s="67">
        <v>1.1765000000000001</v>
      </c>
      <c r="M96" s="67">
        <v>0.24017499999999997</v>
      </c>
      <c r="N96" s="67">
        <v>6.6346685082872914E-3</v>
      </c>
      <c r="O96">
        <v>1.35582</v>
      </c>
      <c r="P96">
        <v>5.2088000000000002E-2</v>
      </c>
      <c r="Q96">
        <v>3.84180790960452E-2</v>
      </c>
      <c r="R96">
        <v>1</v>
      </c>
      <c r="S96">
        <v>4.24E-2</v>
      </c>
      <c r="T96">
        <v>3.04E-2</v>
      </c>
      <c r="U96">
        <v>0.78700000000000003</v>
      </c>
      <c r="V96">
        <v>1.1300000000000001</v>
      </c>
      <c r="W96">
        <v>0.14351</v>
      </c>
      <c r="X96">
        <v>4.791200000000001E-2</v>
      </c>
      <c r="Y96">
        <v>0.50059000000000009</v>
      </c>
      <c r="Z96">
        <v>1.1299999999999999</v>
      </c>
      <c r="AA96">
        <v>1.5819999999999997E-2</v>
      </c>
      <c r="AB96">
        <v>2.7571999999999996E-2</v>
      </c>
      <c r="AC96">
        <v>0.32317999999999997</v>
      </c>
      <c r="AD96">
        <v>0.64</v>
      </c>
      <c r="AE96">
        <v>6.4639999999999989E-2</v>
      </c>
      <c r="AF96">
        <v>2.656E-2</v>
      </c>
      <c r="AG96">
        <v>0.25984000000000002</v>
      </c>
    </row>
    <row r="97" spans="1:33" x14ac:dyDescent="0.3">
      <c r="A97" s="33">
        <v>1811</v>
      </c>
      <c r="B97" s="27" t="str">
        <f>VLOOKUP($A97, Sheet5!$A$1:$E$119,2,FALSE)</f>
        <v>Healthy</v>
      </c>
      <c r="C97" s="27" t="str">
        <f>VLOOKUP($A97, Sheet5!$A$1:$E$119,3,FALSE)</f>
        <v>otu_2</v>
      </c>
      <c r="D97" s="27" t="str">
        <f>VLOOKUP($A97, Sheet5!$A$1:$E$119,4,FALSE)</f>
        <v>M</v>
      </c>
      <c r="E97" s="27">
        <f>VLOOKUP($A97, Sheet5!$A$1:$E$119,5,FALSE)</f>
        <v>5</v>
      </c>
      <c r="F97" s="67">
        <v>1.2648999999999999</v>
      </c>
      <c r="G97" s="67">
        <v>0.16957999999999998</v>
      </c>
      <c r="H97" s="67">
        <v>9.3175824175824179E-3</v>
      </c>
      <c r="I97" s="67">
        <v>0.11220000000000001</v>
      </c>
      <c r="J97" s="67">
        <v>0.81950000000000001</v>
      </c>
      <c r="K97" s="67">
        <v>3.7651006711409397E-3</v>
      </c>
      <c r="L97" s="67">
        <v>0.7365600000000001</v>
      </c>
      <c r="M97" s="67">
        <v>0.20385600000000004</v>
      </c>
      <c r="N97" s="67">
        <v>1.0295757575757576E-2</v>
      </c>
      <c r="O97">
        <v>0.58157999999999999</v>
      </c>
      <c r="P97">
        <v>5.2772999999999994E-2</v>
      </c>
      <c r="Q97">
        <v>9.0740740740740733E-2</v>
      </c>
      <c r="R97">
        <v>0.44</v>
      </c>
      <c r="T97">
        <v>2.5256000000000004E-2</v>
      </c>
      <c r="U97">
        <v>0.12528</v>
      </c>
      <c r="V97">
        <v>0.53</v>
      </c>
      <c r="W97">
        <v>6.9430000000000006E-2</v>
      </c>
      <c r="X97">
        <v>8.2150000000000018E-3</v>
      </c>
      <c r="Y97">
        <v>0.29256000000000004</v>
      </c>
      <c r="Z97">
        <v>0.32</v>
      </c>
      <c r="AA97">
        <v>4.6080000000000003E-2</v>
      </c>
      <c r="AB97">
        <v>1.1136E-2</v>
      </c>
      <c r="AC97">
        <v>0.17792000000000002</v>
      </c>
      <c r="AD97">
        <v>0.28000000000000003</v>
      </c>
      <c r="AF97">
        <v>1.4084000000000001E-2</v>
      </c>
      <c r="AG97">
        <v>0.12852</v>
      </c>
    </row>
    <row r="98" spans="1:33" x14ac:dyDescent="0.3">
      <c r="A98" s="33">
        <v>1826</v>
      </c>
      <c r="B98" s="27" t="str">
        <f>VLOOKUP($A98, Sheet5!$A$1:$E$119,2,FALSE)</f>
        <v>Healthy</v>
      </c>
      <c r="C98" s="27" t="str">
        <f>VLOOKUP($A98, Sheet5!$A$1:$E$119,3,FALSE)</f>
        <v>otu_2</v>
      </c>
      <c r="D98" s="27" t="str">
        <f>VLOOKUP($A98, Sheet5!$A$1:$E$119,4,FALSE)</f>
        <v>M</v>
      </c>
      <c r="E98" s="27">
        <f>VLOOKUP($A98, Sheet5!$A$1:$E$119,5,FALSE)</f>
        <v>4</v>
      </c>
      <c r="F98" s="67">
        <v>1.2927199999999999</v>
      </c>
      <c r="G98" s="67">
        <v>0.49267999999999995</v>
      </c>
      <c r="H98" s="67">
        <v>1.7226573426573424E-2</v>
      </c>
      <c r="I98" s="67">
        <v>0.57600000000000007</v>
      </c>
      <c r="J98" s="67">
        <v>2.8288000000000006</v>
      </c>
      <c r="K98" s="67">
        <v>2.6063348416289593E-2</v>
      </c>
      <c r="L98" s="67">
        <v>2.1879</v>
      </c>
      <c r="M98" s="67">
        <v>0.29483999999999999</v>
      </c>
      <c r="N98" s="67">
        <v>1.5766844919786097E-2</v>
      </c>
      <c r="O98">
        <v>2.02224</v>
      </c>
      <c r="P98">
        <v>0.59748000000000001</v>
      </c>
      <c r="Q98">
        <v>0.29545454545454547</v>
      </c>
      <c r="R98">
        <v>3.34</v>
      </c>
      <c r="S98">
        <v>0.14862999999999998</v>
      </c>
      <c r="T98">
        <v>0.15096799999999999</v>
      </c>
      <c r="U98">
        <v>0.71810000000000007</v>
      </c>
      <c r="V98">
        <v>6.17</v>
      </c>
      <c r="W98">
        <v>5.0593999999999993E-2</v>
      </c>
      <c r="X98">
        <v>1.7276000000000003E-2</v>
      </c>
      <c r="Y98">
        <v>2.9986200000000003</v>
      </c>
      <c r="Z98">
        <v>2.65</v>
      </c>
      <c r="AA98">
        <v>1.8814999999999998E-2</v>
      </c>
      <c r="AB98">
        <v>1.3514999999999999E-2</v>
      </c>
      <c r="AC98">
        <v>0.68370000000000009</v>
      </c>
      <c r="AD98">
        <v>2.2800000000000002</v>
      </c>
      <c r="AE98">
        <v>6.817200000000001E-2</v>
      </c>
      <c r="AF98">
        <v>2.2572000000000002E-2</v>
      </c>
      <c r="AG98">
        <v>0.71592</v>
      </c>
    </row>
    <row r="99" spans="1:33" x14ac:dyDescent="0.3">
      <c r="A99" s="33">
        <v>1827</v>
      </c>
      <c r="B99" s="27" t="str">
        <f>VLOOKUP($A99, Sheet5!$A$1:$E$119,2,FALSE)</f>
        <v>Healthy</v>
      </c>
      <c r="C99" s="27" t="str">
        <f>VLOOKUP($A99, Sheet5!$A$1:$E$119,3,FALSE)</f>
        <v>otu_2</v>
      </c>
      <c r="D99" s="27" t="str">
        <f>VLOOKUP($A99, Sheet5!$A$1:$E$119,4,FALSE)</f>
        <v>M</v>
      </c>
      <c r="E99" s="27">
        <f>VLOOKUP($A99, Sheet5!$A$1:$E$119,5,FALSE)</f>
        <v>1</v>
      </c>
      <c r="F99" s="60"/>
      <c r="G99" s="60"/>
      <c r="H99" s="60"/>
      <c r="I99" s="67">
        <v>6.3990000000000005E-2</v>
      </c>
      <c r="J99" s="67">
        <v>0.75195000000000012</v>
      </c>
      <c r="K99" s="67">
        <v>1.1488330341113105E-3</v>
      </c>
      <c r="L99" s="67">
        <v>2.7241999999999997</v>
      </c>
      <c r="M99" s="67">
        <v>0.42353600000000002</v>
      </c>
      <c r="N99" s="67">
        <v>7.991245283018868E-3</v>
      </c>
      <c r="O99">
        <v>1.4416</v>
      </c>
      <c r="P99">
        <v>0.18428</v>
      </c>
      <c r="Q99">
        <v>0.12783018867924528</v>
      </c>
      <c r="R99">
        <v>4.12</v>
      </c>
      <c r="S99">
        <v>0.14296400000000001</v>
      </c>
      <c r="T99">
        <v>0.1133</v>
      </c>
      <c r="U99">
        <v>1.1948000000000001</v>
      </c>
      <c r="V99">
        <v>5.75</v>
      </c>
      <c r="W99">
        <v>0.25587500000000002</v>
      </c>
      <c r="X99">
        <v>6.4399999999999999E-2</v>
      </c>
      <c r="Y99">
        <v>3.2717499999999999</v>
      </c>
      <c r="Z99">
        <v>4.9800000000000004</v>
      </c>
      <c r="AA99">
        <v>7.2209999999999996E-2</v>
      </c>
      <c r="AB99">
        <v>3.5358000000000001E-2</v>
      </c>
      <c r="AC99">
        <v>1.5288599999999999</v>
      </c>
    </row>
    <row r="100" spans="1:33" x14ac:dyDescent="0.3">
      <c r="A100" s="33">
        <v>1829</v>
      </c>
      <c r="B100" s="27" t="str">
        <f>VLOOKUP($A100, Sheet5!$A$1:$E$119,2,FALSE)</f>
        <v>Healthy</v>
      </c>
      <c r="C100" s="27" t="str">
        <f>VLOOKUP($A100, Sheet5!$A$1:$E$119,3,FALSE)</f>
        <v>otu_2</v>
      </c>
      <c r="D100" s="27" t="str">
        <f>VLOOKUP($A100, Sheet5!$A$1:$E$119,4,FALSE)</f>
        <v>M</v>
      </c>
      <c r="E100" s="27">
        <f>VLOOKUP($A100, Sheet5!$A$1:$E$119,5,FALSE)</f>
        <v>2</v>
      </c>
      <c r="F100" s="67">
        <v>0.67347999999999997</v>
      </c>
      <c r="G100" s="67">
        <v>0.490508</v>
      </c>
      <c r="H100" s="67">
        <v>4.3407787610619468E-2</v>
      </c>
      <c r="I100" s="67">
        <v>0.11303199999999998</v>
      </c>
      <c r="J100" s="67">
        <v>1.0706800000000001</v>
      </c>
      <c r="K100" s="67">
        <v>2.9981962864721484E-3</v>
      </c>
      <c r="L100" s="67">
        <v>1.6918799999999998</v>
      </c>
      <c r="M100" s="67">
        <v>0.42227999999999999</v>
      </c>
      <c r="N100" s="67">
        <v>6.8887438825448611E-3</v>
      </c>
      <c r="R100">
        <v>3.71</v>
      </c>
      <c r="S100">
        <v>0.14951300000000001</v>
      </c>
      <c r="T100">
        <v>0.11575200000000001</v>
      </c>
      <c r="U100">
        <v>0.81899999999999995</v>
      </c>
      <c r="V100">
        <v>6.57</v>
      </c>
      <c r="W100">
        <v>0.24440400000000004</v>
      </c>
      <c r="X100">
        <v>7.9496999999999998E-2</v>
      </c>
      <c r="Y100">
        <v>2.40462</v>
      </c>
      <c r="Z100">
        <v>4.46</v>
      </c>
      <c r="AA100">
        <v>8.2956000000000002E-2</v>
      </c>
      <c r="AB100">
        <v>2.8544E-2</v>
      </c>
      <c r="AC100">
        <v>1.0704</v>
      </c>
      <c r="AD100">
        <v>3.21</v>
      </c>
      <c r="AE100">
        <v>0.17269799999999999</v>
      </c>
      <c r="AF100">
        <v>4.9434000000000006E-2</v>
      </c>
      <c r="AG100">
        <v>0.66768000000000005</v>
      </c>
    </row>
    <row r="101" spans="1:33" x14ac:dyDescent="0.3">
      <c r="A101" s="33">
        <v>1832</v>
      </c>
      <c r="B101" s="27" t="str">
        <f>VLOOKUP($A101, Sheet5!$A$1:$E$119,2,FALSE)</f>
        <v>Healthy</v>
      </c>
      <c r="C101" s="27" t="str">
        <f>VLOOKUP($A101, Sheet5!$A$1:$E$119,3,FALSE)</f>
        <v>otu_2</v>
      </c>
      <c r="D101" s="27" t="str">
        <f>VLOOKUP($A101, Sheet5!$A$1:$E$119,4,FALSE)</f>
        <v>F</v>
      </c>
      <c r="E101" s="27">
        <f>VLOOKUP($A101, Sheet5!$A$1:$E$119,5,FALSE)</f>
        <v>0</v>
      </c>
      <c r="F101" s="67">
        <v>0.72</v>
      </c>
      <c r="G101" s="67">
        <v>0.19800000000000001</v>
      </c>
      <c r="H101" s="67">
        <v>1.3749999999999998E-2</v>
      </c>
      <c r="I101" s="67">
        <v>8.3160000000000005E-3</v>
      </c>
      <c r="J101" s="67">
        <v>0.58463999999999994</v>
      </c>
      <c r="K101" s="67">
        <v>3.5844827586206901E-4</v>
      </c>
      <c r="L101" s="67">
        <v>1.27095</v>
      </c>
      <c r="M101" s="67">
        <v>0.45571</v>
      </c>
      <c r="N101" s="67">
        <v>8.2109909909909903E-3</v>
      </c>
      <c r="O101">
        <v>1.4732500000000002</v>
      </c>
      <c r="P101">
        <v>0.41914999999999997</v>
      </c>
      <c r="Q101">
        <v>0.28450704225352108</v>
      </c>
      <c r="R101">
        <v>2.33</v>
      </c>
      <c r="S101">
        <v>9.8792000000000005E-2</v>
      </c>
      <c r="T101">
        <v>3.4949999999999998E-3</v>
      </c>
      <c r="U101">
        <v>0.87141999999999997</v>
      </c>
      <c r="V101">
        <v>5.96</v>
      </c>
      <c r="W101">
        <v>4.8871999999999999E-2</v>
      </c>
      <c r="X101">
        <v>1.3111999999999998E-3</v>
      </c>
      <c r="Y101">
        <v>3.2243599999999999</v>
      </c>
      <c r="Z101">
        <v>21.8</v>
      </c>
      <c r="AA101">
        <v>0.16786000000000001</v>
      </c>
      <c r="AB101">
        <v>5.886000000000001E-2</v>
      </c>
      <c r="AC101">
        <v>5.4063999999999997</v>
      </c>
      <c r="AD101">
        <v>3.23</v>
      </c>
      <c r="AE101">
        <v>9.9483999999999989E-2</v>
      </c>
      <c r="AF101">
        <v>2.4870999999999999E-3</v>
      </c>
    </row>
    <row r="102" spans="1:33" x14ac:dyDescent="0.3">
      <c r="A102" s="33">
        <v>1835</v>
      </c>
      <c r="B102" s="27" t="str">
        <f>VLOOKUP($A102, Sheet5!$A$1:$E$119,2,FALSE)</f>
        <v>Healthy</v>
      </c>
      <c r="C102" s="27" t="str">
        <f>VLOOKUP($A102, Sheet5!$A$1:$E$119,3,FALSE)</f>
        <v>otu_2</v>
      </c>
      <c r="D102" s="27" t="str">
        <f>VLOOKUP($A102, Sheet5!$A$1:$E$119,4,FALSE)</f>
        <v>M</v>
      </c>
      <c r="E102" s="27">
        <f>VLOOKUP($A102, Sheet5!$A$1:$E$119,5,FALSE)</f>
        <v>6</v>
      </c>
      <c r="F102" s="86"/>
      <c r="G102" s="86"/>
      <c r="H102" s="86"/>
      <c r="I102" s="67">
        <v>3.7422000000000004E-2</v>
      </c>
      <c r="J102" s="67">
        <v>0.77436000000000005</v>
      </c>
      <c r="K102" s="67">
        <v>7.8288702928870299E-4</v>
      </c>
      <c r="L102" s="67">
        <v>4.42598</v>
      </c>
      <c r="M102" s="67">
        <v>1.4175200000000001</v>
      </c>
      <c r="N102" s="67">
        <v>2.414855195911414E-2</v>
      </c>
      <c r="O102">
        <v>1.08016</v>
      </c>
      <c r="P102">
        <v>0.14310400000000001</v>
      </c>
      <c r="Q102">
        <v>0.13248407643312102</v>
      </c>
      <c r="V102">
        <v>2.81</v>
      </c>
      <c r="W102">
        <v>1.8546E-2</v>
      </c>
      <c r="X102">
        <v>2.4727999999999998E-3</v>
      </c>
      <c r="Y102">
        <v>1.4836799999999999</v>
      </c>
      <c r="AD102">
        <v>1.38</v>
      </c>
      <c r="AE102">
        <v>1.5731999999999996E-2</v>
      </c>
      <c r="AF102">
        <v>2.0699999999999998E-3</v>
      </c>
      <c r="AG102">
        <v>0.57821999999999996</v>
      </c>
    </row>
    <row r="103" spans="1:33" x14ac:dyDescent="0.3">
      <c r="A103" s="33">
        <v>1836</v>
      </c>
      <c r="B103" s="27" t="str">
        <f>VLOOKUP($A103, Sheet5!$A$1:$E$119,2,FALSE)</f>
        <v>Healthy</v>
      </c>
      <c r="C103" s="27" t="str">
        <f>VLOOKUP($A103, Sheet5!$A$1:$E$119,3,FALSE)</f>
        <v>otu_2</v>
      </c>
      <c r="D103" s="27" t="str">
        <f>VLOOKUP($A103, Sheet5!$A$1:$E$119,4,FALSE)</f>
        <v>M</v>
      </c>
      <c r="E103" s="27">
        <f>VLOOKUP($A103, Sheet5!$A$1:$E$119,5,FALSE)</f>
        <v>4</v>
      </c>
      <c r="F103" s="67">
        <v>1.1052299999999999</v>
      </c>
      <c r="G103" s="67">
        <v>0.53067000000000009</v>
      </c>
      <c r="H103" s="67">
        <v>1.9157761732851986E-2</v>
      </c>
      <c r="I103" s="45"/>
      <c r="J103" s="45"/>
      <c r="K103" s="45"/>
      <c r="L103" s="45"/>
      <c r="M103" s="45"/>
      <c r="N103" s="45"/>
    </row>
    <row r="104" spans="1:33" x14ac:dyDescent="0.3">
      <c r="A104" s="7">
        <v>1854</v>
      </c>
      <c r="B104" s="27" t="str">
        <f>VLOOKUP($A104, Sheet5!$A$1:$E$119,2,FALSE)</f>
        <v>IBD</v>
      </c>
      <c r="C104" s="27" t="str">
        <f>VLOOKUP($A104, Sheet5!$A$1:$E$119,3,FALSE)</f>
        <v>otu_1</v>
      </c>
      <c r="D104" s="27" t="str">
        <f>VLOOKUP($A104, Sheet5!$A$1:$E$119,4,FALSE)</f>
        <v>M</v>
      </c>
      <c r="E104" s="27">
        <f>VLOOKUP($A104, Sheet5!$A$1:$E$119,5,FALSE)</f>
        <v>5</v>
      </c>
      <c r="F104" s="67">
        <v>1.7554500000000002</v>
      </c>
      <c r="G104" s="67">
        <v>1.0955699999999999</v>
      </c>
      <c r="H104" s="67">
        <v>2.6399277108433736E-2</v>
      </c>
      <c r="I104" s="45"/>
      <c r="J104" s="45"/>
      <c r="K104" s="45"/>
      <c r="L104" s="45">
        <v>0.44351999999999997</v>
      </c>
      <c r="M104" s="45">
        <v>0.30071999999999993</v>
      </c>
      <c r="N104" s="45">
        <v>1.1390909090909089E-2</v>
      </c>
      <c r="O104">
        <v>0.45526000000000005</v>
      </c>
      <c r="P104">
        <v>0.26058999999999999</v>
      </c>
      <c r="Q104">
        <v>5.8957013574660634E-3</v>
      </c>
      <c r="R104">
        <v>10.39</v>
      </c>
      <c r="S104">
        <v>0.40313200000000005</v>
      </c>
      <c r="T104">
        <v>0.24832100000000004</v>
      </c>
      <c r="U104">
        <v>0.68885700000000005</v>
      </c>
      <c r="V104">
        <v>10.36</v>
      </c>
      <c r="W104">
        <v>9.4275999999999999E-2</v>
      </c>
      <c r="X104">
        <v>6.3195999999999988E-2</v>
      </c>
      <c r="Y104">
        <v>0.81118799999999991</v>
      </c>
      <c r="Z104">
        <v>10.87</v>
      </c>
      <c r="AA104">
        <v>0.10869999999999999</v>
      </c>
      <c r="AB104">
        <v>7.2828999999999991E-2</v>
      </c>
      <c r="AC104">
        <v>0.66198299999999988</v>
      </c>
      <c r="AD104">
        <v>6.8100000000000005</v>
      </c>
      <c r="AE104">
        <v>5.9247000000000008E-2</v>
      </c>
      <c r="AF104">
        <v>4.2222000000000003E-2</v>
      </c>
      <c r="AG104">
        <v>0.43515900000000002</v>
      </c>
    </row>
    <row r="105" spans="1:33" x14ac:dyDescent="0.3">
      <c r="A105" s="33">
        <v>1816</v>
      </c>
      <c r="B105" s="27" t="str">
        <f>VLOOKUP($A105, Sheet5!$A$1:$E$119,2,FALSE)</f>
        <v>Healthy</v>
      </c>
      <c r="C105" s="27" t="str">
        <f>VLOOKUP($A105, Sheet5!$A$1:$E$119,3,FALSE)</f>
        <v>otu_2</v>
      </c>
      <c r="D105" s="27" t="str">
        <f>VLOOKUP($A105, Sheet5!$A$1:$E$119,4,FALSE)</f>
        <v>M</v>
      </c>
      <c r="E105" s="27">
        <f>VLOOKUP($A105, Sheet5!$A$1:$E$119,5,FALSE)</f>
        <v>4</v>
      </c>
      <c r="F105" s="67">
        <v>2.5564</v>
      </c>
      <c r="G105" s="67">
        <v>1.3244</v>
      </c>
      <c r="H105" s="67">
        <v>3.9891566265060234E-2</v>
      </c>
      <c r="I105" s="45">
        <v>0.30888000000000004</v>
      </c>
      <c r="J105" s="45">
        <v>1.2533400000000001</v>
      </c>
      <c r="K105" s="45">
        <v>7.3194312796208538E-3</v>
      </c>
      <c r="L105" s="45">
        <v>1.9631499999999997</v>
      </c>
      <c r="M105" s="45">
        <v>0.49699999999999994</v>
      </c>
      <c r="N105" s="45">
        <v>8.9873417721518991E-3</v>
      </c>
      <c r="O105">
        <v>0.70735000000000003</v>
      </c>
      <c r="P105">
        <v>0.20575499999999999</v>
      </c>
      <c r="Q105">
        <v>0.29088145896656531</v>
      </c>
      <c r="R105">
        <v>1.63</v>
      </c>
      <c r="S105">
        <v>0.29503000000000001</v>
      </c>
      <c r="T105">
        <v>7.0741999999999999E-2</v>
      </c>
      <c r="U105">
        <v>0.82368000000000008</v>
      </c>
      <c r="V105">
        <v>3.97</v>
      </c>
      <c r="W105">
        <v>0.231848</v>
      </c>
      <c r="X105">
        <v>4.7640000000000002E-2</v>
      </c>
      <c r="Y105">
        <v>1.9095700000000002</v>
      </c>
      <c r="Z105">
        <v>1.4</v>
      </c>
      <c r="AA105">
        <v>0.14000000000000001</v>
      </c>
      <c r="AB105">
        <v>2.1139999999999999E-2</v>
      </c>
      <c r="AC105">
        <v>0.55019999999999991</v>
      </c>
      <c r="AD105">
        <v>0.94</v>
      </c>
      <c r="AE105">
        <v>7.4730000000000005E-2</v>
      </c>
      <c r="AF105">
        <v>1.0527999999999999E-2</v>
      </c>
      <c r="AG105">
        <v>0.44179999999999997</v>
      </c>
    </row>
    <row r="106" spans="1:33" x14ac:dyDescent="0.3">
      <c r="A106" s="33">
        <v>1868</v>
      </c>
      <c r="B106" s="27" t="str">
        <f>VLOOKUP($A106, Sheet5!$A$1:$E$119,2,FALSE)</f>
        <v>Healthy</v>
      </c>
      <c r="C106" s="27" t="str">
        <f>VLOOKUP($A106, Sheet5!$A$1:$E$119,3,FALSE)</f>
        <v>otu_2</v>
      </c>
      <c r="D106" s="27" t="str">
        <f>VLOOKUP($A106, Sheet5!$A$1:$E$119,4,FALSE)</f>
        <v>F</v>
      </c>
      <c r="E106" s="27">
        <f>VLOOKUP($A106, Sheet5!$A$1:$E$119,5,FALSE)</f>
        <v>5</v>
      </c>
      <c r="F106" s="67">
        <v>0.47334000000000004</v>
      </c>
      <c r="G106" s="67">
        <v>9.6725999999999993E-2</v>
      </c>
      <c r="H106" s="67">
        <v>7.0091304347826089E-3</v>
      </c>
      <c r="I106" s="67">
        <v>0.34720000000000001</v>
      </c>
      <c r="J106" s="67">
        <v>0.85870000000000002</v>
      </c>
      <c r="K106" s="67">
        <v>6.2671480144404334E-3</v>
      </c>
      <c r="L106" s="67">
        <v>1.56006</v>
      </c>
      <c r="M106" s="67">
        <v>0.17205600000000001</v>
      </c>
      <c r="N106" s="67">
        <v>3.5402469135802465E-3</v>
      </c>
      <c r="R106">
        <v>2.13</v>
      </c>
      <c r="S106">
        <v>8.5413000000000003E-2</v>
      </c>
      <c r="T106">
        <v>8.9459999999999991E-3</v>
      </c>
      <c r="U106">
        <v>0.66669</v>
      </c>
      <c r="V106">
        <v>2.2999999999999998</v>
      </c>
      <c r="W106">
        <v>7.1300000000000001E-3</v>
      </c>
      <c r="X106">
        <v>2.0009999999999997E-3</v>
      </c>
      <c r="Y106">
        <v>1.0304</v>
      </c>
      <c r="Z106">
        <v>18.600000000000001</v>
      </c>
      <c r="AA106">
        <v>0.74585999999999997</v>
      </c>
      <c r="AB106">
        <v>8.184000000000001E-2</v>
      </c>
      <c r="AC106">
        <v>6.2123999999999997</v>
      </c>
      <c r="AD106">
        <v>2.46</v>
      </c>
      <c r="AE106">
        <v>4.3541999999999997E-2</v>
      </c>
      <c r="AF106">
        <v>4.4279999999999996E-3</v>
      </c>
      <c r="AG106">
        <v>0.91512000000000004</v>
      </c>
    </row>
    <row r="107" spans="1:33" x14ac:dyDescent="0.3">
      <c r="A107" s="33">
        <v>1870</v>
      </c>
      <c r="B107" s="27" t="str">
        <f>VLOOKUP($A107, Sheet5!$A$1:$E$119,2,FALSE)</f>
        <v>Healthy</v>
      </c>
      <c r="C107" s="27" t="str">
        <f>VLOOKUP($A107, Sheet5!$A$1:$E$119,3,FALSE)</f>
        <v>otu_2</v>
      </c>
      <c r="D107" s="27" t="str">
        <f>VLOOKUP($A107, Sheet5!$A$1:$E$119,4,FALSE)</f>
        <v>F</v>
      </c>
      <c r="E107" s="27">
        <f>VLOOKUP($A107, Sheet5!$A$1:$E$119,5,FALSE)</f>
        <v>2</v>
      </c>
      <c r="F107" s="60"/>
      <c r="G107" s="60"/>
      <c r="H107" s="60"/>
      <c r="I107" s="67">
        <v>5.518E-2</v>
      </c>
      <c r="J107" s="67">
        <v>2.4119000000000002</v>
      </c>
      <c r="K107" s="67">
        <v>1.0180811808118081E-3</v>
      </c>
      <c r="L107" s="67">
        <v>2.1941000000000002</v>
      </c>
      <c r="M107" s="67">
        <v>0.52910000000000001</v>
      </c>
      <c r="N107" s="67">
        <v>8.9224283305227668E-3</v>
      </c>
      <c r="O107">
        <v>1.2224699999999999</v>
      </c>
      <c r="P107">
        <v>0.30634</v>
      </c>
      <c r="Q107">
        <v>0.25059101654846339</v>
      </c>
      <c r="R107">
        <v>4.8900000000000006</v>
      </c>
      <c r="S107">
        <v>4.8900000000000006E-2</v>
      </c>
      <c r="U107">
        <v>2.5574700000000004</v>
      </c>
      <c r="V107">
        <v>5.3599999999999994</v>
      </c>
      <c r="W107">
        <v>1.6079999999999997E-2</v>
      </c>
      <c r="X107">
        <v>2.1439999999999996E-3</v>
      </c>
      <c r="Y107">
        <v>1.0934399999999997</v>
      </c>
      <c r="Z107">
        <v>29.4</v>
      </c>
      <c r="AD107">
        <v>3.46</v>
      </c>
      <c r="AE107">
        <v>4.1520000000000001E-2</v>
      </c>
      <c r="AF107">
        <v>1.4186000000000001E-3</v>
      </c>
      <c r="AG107">
        <v>1.3909200000000002</v>
      </c>
    </row>
    <row r="108" spans="1:33" x14ac:dyDescent="0.3">
      <c r="A108" s="33">
        <v>1871</v>
      </c>
      <c r="B108" s="27" t="str">
        <f>VLOOKUP($A108, Sheet5!$A$1:$E$119,2,FALSE)</f>
        <v>Healthy</v>
      </c>
      <c r="C108" s="27" t="str">
        <f>VLOOKUP($A108, Sheet5!$A$1:$E$119,3,FALSE)</f>
        <v>otu_2</v>
      </c>
      <c r="D108" s="27" t="str">
        <f>VLOOKUP($A108, Sheet5!$A$1:$E$119,4,FALSE)</f>
        <v>F</v>
      </c>
      <c r="E108" s="27">
        <f>VLOOKUP($A108, Sheet5!$A$1:$E$119,5,FALSE)</f>
        <v>2</v>
      </c>
      <c r="F108" s="67">
        <v>1.1222000000000001</v>
      </c>
      <c r="G108" s="67">
        <v>0.46064500000000003</v>
      </c>
      <c r="H108" s="67">
        <v>3.7148790322580644E-2</v>
      </c>
      <c r="I108" s="67">
        <v>0.16899</v>
      </c>
      <c r="J108" s="67">
        <v>0.58557000000000015</v>
      </c>
      <c r="K108" s="67">
        <v>3.7805369127516773E-3</v>
      </c>
      <c r="L108" s="67">
        <v>0.83979000000000004</v>
      </c>
      <c r="M108" s="67">
        <v>6.1920000000000003E-2</v>
      </c>
      <c r="N108" s="67">
        <v>2.8534562211981569E-3</v>
      </c>
      <c r="O108">
        <v>1.1760699999999999</v>
      </c>
      <c r="P108">
        <v>0.234101</v>
      </c>
      <c r="Q108">
        <v>0.19905362776025237</v>
      </c>
      <c r="R108">
        <v>2.99</v>
      </c>
      <c r="S108">
        <v>5.9800000000000006E-2</v>
      </c>
      <c r="T108">
        <v>1.3156000000000001E-2</v>
      </c>
      <c r="U108">
        <v>1.3514800000000002</v>
      </c>
      <c r="V108">
        <v>3.75</v>
      </c>
      <c r="W108">
        <v>1.9875E-2</v>
      </c>
      <c r="Z108">
        <v>24</v>
      </c>
      <c r="AA108">
        <v>0.98159999999999992</v>
      </c>
      <c r="AB108">
        <v>0.24480000000000002</v>
      </c>
      <c r="AC108">
        <v>7.5120000000000005</v>
      </c>
      <c r="AD108">
        <v>0.92</v>
      </c>
      <c r="AE108">
        <v>4.0663999999999999E-2</v>
      </c>
      <c r="AF108">
        <v>2.392E-3</v>
      </c>
    </row>
    <row r="109" spans="1:33" x14ac:dyDescent="0.3">
      <c r="A109" s="7">
        <v>1874</v>
      </c>
      <c r="B109" s="27" t="str">
        <f>VLOOKUP($A109, Sheet5!$A$1:$E$119,2,FALSE)</f>
        <v>IBD</v>
      </c>
      <c r="C109" s="27" t="str">
        <f>VLOOKUP($A109, Sheet5!$A$1:$E$119,3,FALSE)</f>
        <v>otu_1</v>
      </c>
      <c r="D109" s="27" t="str">
        <f>VLOOKUP($A109, Sheet5!$A$1:$E$119,4,FALSE)</f>
        <v>M</v>
      </c>
      <c r="E109" s="27">
        <f>VLOOKUP($A109, Sheet5!$A$1:$E$119,5,FALSE)</f>
        <v>2</v>
      </c>
      <c r="F109" s="86"/>
      <c r="G109" s="86"/>
      <c r="H109" s="86"/>
      <c r="I109" s="45"/>
      <c r="J109" s="45"/>
      <c r="K109" s="45"/>
      <c r="L109" s="45"/>
      <c r="M109" s="45"/>
      <c r="N109" s="45"/>
      <c r="R109">
        <v>11.8</v>
      </c>
      <c r="S109">
        <v>0.15222000000000002</v>
      </c>
      <c r="T109">
        <v>6.8440000000000001E-2</v>
      </c>
      <c r="Z109">
        <v>7.8999999999999995</v>
      </c>
      <c r="AA109">
        <v>7.5049999999999992E-2</v>
      </c>
      <c r="AB109">
        <v>4.5029999999999994E-2</v>
      </c>
      <c r="AC109">
        <v>0.71652999999999989</v>
      </c>
      <c r="AD109">
        <v>5.28</v>
      </c>
      <c r="AE109">
        <v>4.9104000000000002E-2</v>
      </c>
      <c r="AF109">
        <v>3.0623999999999998E-2</v>
      </c>
      <c r="AG109">
        <v>0.81840000000000002</v>
      </c>
    </row>
    <row r="110" spans="1:33" x14ac:dyDescent="0.3">
      <c r="A110" s="7">
        <v>1875</v>
      </c>
      <c r="B110" s="27" t="str">
        <f>VLOOKUP($A110, Sheet5!$A$1:$E$119,2,FALSE)</f>
        <v>IBD</v>
      </c>
      <c r="C110" s="27" t="str">
        <f>VLOOKUP($A110, Sheet5!$A$1:$E$119,3,FALSE)</f>
        <v>otu_1</v>
      </c>
      <c r="D110" s="27" t="str">
        <f>VLOOKUP($A110, Sheet5!$A$1:$E$119,4,FALSE)</f>
        <v>F</v>
      </c>
      <c r="E110" s="27">
        <f>VLOOKUP($A110, Sheet5!$A$1:$E$119,5,FALSE)</f>
        <v>3</v>
      </c>
      <c r="F110" s="67">
        <v>0.24567200000000003</v>
      </c>
      <c r="G110" s="67">
        <v>0.70314999999999994</v>
      </c>
      <c r="H110" s="67">
        <v>8.2143691588785039E-2</v>
      </c>
      <c r="I110" s="45">
        <v>0.48391000000000001</v>
      </c>
      <c r="J110" s="45">
        <v>0.90315000000000001</v>
      </c>
      <c r="K110" s="45">
        <v>1.1948395061728394E-2</v>
      </c>
      <c r="L110" s="45">
        <v>0.57607999999999993</v>
      </c>
      <c r="M110" s="45">
        <v>0.68220000000000003</v>
      </c>
      <c r="N110" s="45">
        <v>4.4881578947368432E-2</v>
      </c>
      <c r="O110">
        <v>0.53148000000000006</v>
      </c>
      <c r="P110">
        <v>0.72755999999999998</v>
      </c>
      <c r="Q110">
        <v>3.5318446601941743E-2</v>
      </c>
      <c r="V110">
        <v>12.850000000000001</v>
      </c>
      <c r="W110">
        <v>9.8945000000000005E-2</v>
      </c>
      <c r="X110">
        <v>4.8830000000000012E-2</v>
      </c>
      <c r="Y110">
        <v>1.4520500000000001</v>
      </c>
      <c r="Z110">
        <v>6.9399999999999995</v>
      </c>
      <c r="AA110">
        <v>3.5393999999999995E-2</v>
      </c>
      <c r="AB110">
        <v>3.7475999999999995E-2</v>
      </c>
      <c r="AC110">
        <v>0.49135199999999996</v>
      </c>
      <c r="AD110">
        <v>7.72</v>
      </c>
      <c r="AE110">
        <v>6.6391999999999993E-2</v>
      </c>
      <c r="AF110">
        <v>3.3195999999999996E-2</v>
      </c>
      <c r="AG110">
        <v>0.57977199999999995</v>
      </c>
    </row>
    <row r="111" spans="1:33" x14ac:dyDescent="0.3">
      <c r="A111" s="7">
        <v>1877</v>
      </c>
      <c r="B111" s="27" t="str">
        <f>VLOOKUP($A111, Sheet5!$A$1:$E$119,2,FALSE)</f>
        <v>IBD</v>
      </c>
      <c r="C111" s="27" t="str">
        <f>VLOOKUP($A111, Sheet5!$A$1:$E$119,3,FALSE)</f>
        <v>otu_1</v>
      </c>
      <c r="D111" s="27" t="str">
        <f>VLOOKUP($A111, Sheet5!$A$1:$E$119,4,FALSE)</f>
        <v>M</v>
      </c>
      <c r="E111" s="27">
        <f>VLOOKUP($A111, Sheet5!$A$1:$E$119,5,FALSE)</f>
        <v>5</v>
      </c>
      <c r="F111" s="86"/>
      <c r="G111" s="86"/>
      <c r="H111" s="86"/>
      <c r="R111">
        <v>6.15</v>
      </c>
      <c r="S111">
        <v>0.10147500000000001</v>
      </c>
      <c r="T111">
        <v>0.11254500000000002</v>
      </c>
      <c r="U111">
        <v>0.32718000000000003</v>
      </c>
      <c r="V111">
        <v>9.620000000000001</v>
      </c>
      <c r="W111">
        <v>7.7922000000000005E-2</v>
      </c>
      <c r="X111">
        <v>4.2328000000000005E-2</v>
      </c>
      <c r="Y111">
        <v>1.1640200000000001</v>
      </c>
      <c r="Z111">
        <v>9.49</v>
      </c>
      <c r="AA111">
        <v>6.9276999999999991E-2</v>
      </c>
      <c r="AB111">
        <v>3.6062000000000004E-2</v>
      </c>
      <c r="AC111">
        <v>1.0059399999999998</v>
      </c>
      <c r="AD111">
        <v>8.86</v>
      </c>
      <c r="AE111">
        <v>3.6325999999999997E-2</v>
      </c>
      <c r="AF111">
        <v>2.215E-2</v>
      </c>
      <c r="AG111">
        <v>1.11636</v>
      </c>
    </row>
    <row r="112" spans="1:33" x14ac:dyDescent="0.3">
      <c r="A112" s="7">
        <v>1881</v>
      </c>
      <c r="B112" s="27" t="str">
        <f>VLOOKUP($A112, Sheet5!$A$1:$E$119,2,FALSE)</f>
        <v>IBD</v>
      </c>
      <c r="C112" s="27" t="str">
        <f>VLOOKUP($A112, Sheet5!$A$1:$E$119,3,FALSE)</f>
        <v>otu_1</v>
      </c>
      <c r="D112" s="27" t="str">
        <f>VLOOKUP($A112, Sheet5!$A$1:$E$119,4,FALSE)</f>
        <v>M</v>
      </c>
      <c r="E112" s="27">
        <f>VLOOKUP($A112, Sheet5!$A$1:$E$119,5,FALSE)</f>
        <v>6</v>
      </c>
      <c r="F112" s="67">
        <v>1.4187299999999998</v>
      </c>
      <c r="G112" s="67">
        <v>1.1191</v>
      </c>
      <c r="H112" s="67">
        <v>2.847582697201018E-2</v>
      </c>
      <c r="R112">
        <v>1.21</v>
      </c>
      <c r="S112">
        <v>5.0093999999999993E-2</v>
      </c>
      <c r="T112">
        <v>7.586699999999999E-2</v>
      </c>
      <c r="U112">
        <v>9.1597000000000012E-2</v>
      </c>
      <c r="V112">
        <v>9.58</v>
      </c>
      <c r="W112">
        <v>4.3110000000000002E-2</v>
      </c>
      <c r="X112">
        <v>3.832E-2</v>
      </c>
      <c r="Y112">
        <v>0.70987800000000012</v>
      </c>
      <c r="Z112">
        <v>6.45</v>
      </c>
      <c r="AA112">
        <v>3.0960000000000001E-2</v>
      </c>
      <c r="AB112">
        <v>1.677E-2</v>
      </c>
      <c r="AC112">
        <v>0.230265</v>
      </c>
      <c r="AD112">
        <v>4.3599999999999994</v>
      </c>
      <c r="AE112">
        <v>3.0955999999999994E-2</v>
      </c>
      <c r="AF112">
        <v>1.9183999999999996E-2</v>
      </c>
      <c r="AG112">
        <v>0.64527999999999996</v>
      </c>
    </row>
    <row r="113" spans="1:33" x14ac:dyDescent="0.3">
      <c r="A113" s="7">
        <v>1885</v>
      </c>
      <c r="B113" s="27" t="str">
        <f>VLOOKUP($A113, Sheet5!$A$1:$E$119,2,FALSE)</f>
        <v>IBD</v>
      </c>
      <c r="C113" s="27" t="str">
        <f>VLOOKUP($A113, Sheet5!$A$1:$E$119,3,FALSE)</f>
        <v>otu_1</v>
      </c>
      <c r="D113" s="27" t="str">
        <f>VLOOKUP($A113, Sheet5!$A$1:$E$119,4,FALSE)</f>
        <v>F</v>
      </c>
      <c r="E113" s="27">
        <f>VLOOKUP($A113, Sheet5!$A$1:$E$119,5,FALSE)</f>
        <v>6</v>
      </c>
      <c r="F113" s="67">
        <v>0.40017999999999998</v>
      </c>
      <c r="G113" s="67">
        <v>6.2458E-2</v>
      </c>
      <c r="H113" s="67">
        <v>2.9185981308411219E-3</v>
      </c>
      <c r="I113" s="45">
        <v>0.41958000000000001</v>
      </c>
      <c r="J113" s="45">
        <v>0.89873000000000003</v>
      </c>
      <c r="K113" s="45">
        <v>1.2091642651296829E-2</v>
      </c>
      <c r="L113" s="45">
        <v>0.42965999999999999</v>
      </c>
      <c r="M113" s="45">
        <v>0.21916999999999998</v>
      </c>
      <c r="N113" s="45">
        <v>1.1069191919191918E-2</v>
      </c>
      <c r="O113">
        <v>1.11612</v>
      </c>
      <c r="P113">
        <v>0.63048000000000004</v>
      </c>
      <c r="Q113">
        <v>2.4064122137404581E-2</v>
      </c>
      <c r="R113">
        <v>8.0300000000000011</v>
      </c>
      <c r="S113">
        <v>0.54202500000000009</v>
      </c>
      <c r="T113">
        <v>0.59823500000000007</v>
      </c>
      <c r="U113">
        <v>0.32280599999999998</v>
      </c>
      <c r="V113">
        <v>0.72</v>
      </c>
      <c r="W113">
        <v>3.1031999999999997E-2</v>
      </c>
      <c r="X113">
        <v>1.7135999999999998E-2</v>
      </c>
      <c r="Y113">
        <v>7.9199999999999993E-2</v>
      </c>
      <c r="Z113">
        <v>6.9600000000000009</v>
      </c>
      <c r="AA113">
        <v>6.0552000000000009E-2</v>
      </c>
      <c r="AB113">
        <v>5.2896000000000012E-2</v>
      </c>
      <c r="AC113">
        <v>0.31041600000000003</v>
      </c>
      <c r="AD113">
        <v>7.5</v>
      </c>
      <c r="AE113">
        <v>9.0749999999999997E-2</v>
      </c>
      <c r="AF113">
        <v>6.6000000000000003E-2</v>
      </c>
      <c r="AG113">
        <v>0.40875</v>
      </c>
    </row>
    <row r="114" spans="1:33" x14ac:dyDescent="0.3">
      <c r="A114" s="7">
        <v>1886</v>
      </c>
      <c r="B114" s="27" t="str">
        <f>VLOOKUP($A114, Sheet5!$A$1:$E$119,2,FALSE)</f>
        <v>IBD</v>
      </c>
      <c r="C114" s="27" t="str">
        <f>VLOOKUP($A114, Sheet5!$A$1:$E$119,3,FALSE)</f>
        <v>otu_1</v>
      </c>
      <c r="D114" s="27" t="str">
        <f>VLOOKUP($A114, Sheet5!$A$1:$E$119,4,FALSE)</f>
        <v>M</v>
      </c>
      <c r="E114" s="27">
        <f>VLOOKUP($A114, Sheet5!$A$1:$E$119,5,FALSE)</f>
        <v>5</v>
      </c>
      <c r="F114" s="67">
        <v>0.73919999999999997</v>
      </c>
      <c r="G114" s="67">
        <v>0.39038999999999996</v>
      </c>
      <c r="H114" s="67">
        <v>1.2199687499999999E-2</v>
      </c>
      <c r="I114" s="45"/>
      <c r="J114" s="45"/>
      <c r="K114" s="45"/>
      <c r="L114" s="45"/>
      <c r="M114" s="45"/>
      <c r="N114" s="45"/>
      <c r="R114">
        <v>12.84</v>
      </c>
      <c r="S114">
        <v>0.74600399999999989</v>
      </c>
      <c r="T114">
        <v>0.94117200000000001</v>
      </c>
      <c r="V114">
        <v>12.8</v>
      </c>
      <c r="W114">
        <v>7.0400000000000004E-2</v>
      </c>
      <c r="X114">
        <v>1.6640000000000002E-2</v>
      </c>
      <c r="Z114">
        <v>10</v>
      </c>
      <c r="AA114">
        <v>7.2999999999999995E-2</v>
      </c>
      <c r="AB114">
        <v>6.6000000000000003E-2</v>
      </c>
      <c r="AC114">
        <v>0.52</v>
      </c>
      <c r="AD114">
        <v>4.62</v>
      </c>
      <c r="AE114">
        <v>3.4188000000000003E-2</v>
      </c>
      <c r="AF114">
        <v>3.1877999999999997E-2</v>
      </c>
      <c r="AG114">
        <v>0.66528000000000009</v>
      </c>
    </row>
    <row r="115" spans="1:33" x14ac:dyDescent="0.3">
      <c r="A115" s="7">
        <v>1894</v>
      </c>
      <c r="B115" s="27" t="str">
        <f>VLOOKUP($A115, Sheet5!$A$1:$E$119,2,FALSE)</f>
        <v>IBD</v>
      </c>
      <c r="C115" s="27" t="str">
        <f>VLOOKUP($A115, Sheet5!$A$1:$E$119,3,FALSE)</f>
        <v>otu_1</v>
      </c>
      <c r="D115" s="27" t="str">
        <f>VLOOKUP($A115, Sheet5!$A$1:$E$119,4,FALSE)</f>
        <v>F</v>
      </c>
      <c r="E115" s="27">
        <f>VLOOKUP($A115, Sheet5!$A$1:$E$119,5,FALSE)</f>
        <v>8</v>
      </c>
      <c r="F115" s="67">
        <v>2.5796399999999999</v>
      </c>
      <c r="G115" s="67">
        <v>0.49617399999999989</v>
      </c>
      <c r="H115" s="67">
        <v>1.1175090090090087E-2</v>
      </c>
      <c r="I115" s="45">
        <v>0.40233600000000003</v>
      </c>
      <c r="J115" s="45">
        <v>1.524</v>
      </c>
      <c r="K115" s="45">
        <v>1.3411200000000002E-2</v>
      </c>
      <c r="L115" s="45">
        <v>0.54810000000000003</v>
      </c>
      <c r="M115" s="45">
        <v>0.4239</v>
      </c>
      <c r="N115" s="45">
        <v>2.0881773399014779E-2</v>
      </c>
      <c r="O115">
        <v>0.87965000000000004</v>
      </c>
      <c r="P115">
        <v>0.80665000000000009</v>
      </c>
      <c r="Q115">
        <v>3.3470954356846466E-2</v>
      </c>
    </row>
    <row r="116" spans="1:33" x14ac:dyDescent="0.3">
      <c r="A116" s="7">
        <v>1899</v>
      </c>
      <c r="B116" s="27" t="str">
        <f>VLOOKUP($A116, Sheet5!$A$1:$E$119,2,FALSE)</f>
        <v>IBD</v>
      </c>
      <c r="C116" s="27" t="str">
        <f>VLOOKUP($A116, Sheet5!$A$1:$E$119,3,FALSE)</f>
        <v>otu_1</v>
      </c>
      <c r="D116" s="27" t="str">
        <f>VLOOKUP($A116, Sheet5!$A$1:$E$119,4,FALSE)</f>
        <v>F</v>
      </c>
      <c r="E116" s="27">
        <f>VLOOKUP($A116, Sheet5!$A$1:$E$119,5,FALSE)</f>
        <v>2</v>
      </c>
      <c r="F116" s="86"/>
      <c r="G116" s="86"/>
      <c r="H116" s="86"/>
      <c r="I116">
        <v>0.24129300000000001</v>
      </c>
      <c r="J116">
        <v>0.65635999999999994</v>
      </c>
      <c r="K116">
        <v>9.8890573770491815E-3</v>
      </c>
      <c r="L116">
        <v>0.71148000000000011</v>
      </c>
      <c r="M116">
        <v>0.48971999999999999</v>
      </c>
      <c r="N116">
        <v>2.12E-2</v>
      </c>
      <c r="O116">
        <v>0.43939999999999996</v>
      </c>
      <c r="P116">
        <v>0.3614</v>
      </c>
      <c r="Q116">
        <v>2.1384615384615387E-2</v>
      </c>
      <c r="R116">
        <v>6.4399999999999995</v>
      </c>
      <c r="S116">
        <v>7.2128000000000012E-2</v>
      </c>
      <c r="T116">
        <v>6.3112000000000001E-2</v>
      </c>
      <c r="U116">
        <v>0.22797599999999998</v>
      </c>
      <c r="V116">
        <v>5.55</v>
      </c>
      <c r="W116">
        <v>8.657999999999999E-2</v>
      </c>
      <c r="X116">
        <v>4.4954999999999995E-2</v>
      </c>
      <c r="Y116">
        <v>0.90465000000000007</v>
      </c>
      <c r="Z116">
        <v>8.82</v>
      </c>
      <c r="AA116">
        <v>0.10936799999999999</v>
      </c>
      <c r="AB116">
        <v>8.2026000000000002E-2</v>
      </c>
      <c r="AC116">
        <v>0.56712600000000002</v>
      </c>
      <c r="AD116">
        <v>6.2</v>
      </c>
      <c r="AE116">
        <v>0.12151999999999999</v>
      </c>
      <c r="AF116">
        <v>7.3160000000000003E-2</v>
      </c>
      <c r="AG116">
        <v>0.50343999999999989</v>
      </c>
    </row>
    <row r="117" spans="1:33" x14ac:dyDescent="0.3">
      <c r="A117" s="7">
        <v>1900</v>
      </c>
      <c r="B117" s="27" t="str">
        <f>VLOOKUP($A117, Sheet5!$A$1:$E$119,2,FALSE)</f>
        <v>IBD</v>
      </c>
      <c r="C117" s="27" t="str">
        <f>VLOOKUP($A117, Sheet5!$A$1:$E$119,3,FALSE)</f>
        <v>otu_1</v>
      </c>
      <c r="D117" s="27" t="str">
        <f>VLOOKUP($A117, Sheet5!$A$1:$E$119,4,FALSE)</f>
        <v>F</v>
      </c>
      <c r="E117" s="27">
        <f>VLOOKUP($A117, Sheet5!$A$1:$E$119,5,FALSE)</f>
        <v>6</v>
      </c>
      <c r="F117" s="67">
        <v>0.44402000000000003</v>
      </c>
      <c r="G117" s="67">
        <v>0.50809000000000004</v>
      </c>
      <c r="H117" s="67">
        <v>1.7049999999999999E-2</v>
      </c>
      <c r="I117">
        <v>0.48</v>
      </c>
      <c r="J117">
        <v>1.1097599999999999</v>
      </c>
      <c r="K117">
        <v>1.6608996539792385E-2</v>
      </c>
      <c r="L117">
        <v>0.70455000000000001</v>
      </c>
      <c r="M117">
        <v>1.0504199999999999</v>
      </c>
      <c r="N117">
        <v>6.3661818181818181E-2</v>
      </c>
      <c r="O117">
        <v>0.56399999999999995</v>
      </c>
      <c r="P117">
        <v>0.64296000000000009</v>
      </c>
      <c r="Q117">
        <v>4.2864000000000006E-2</v>
      </c>
      <c r="R117">
        <v>8.86</v>
      </c>
      <c r="S117">
        <v>0.32781999999999994</v>
      </c>
      <c r="T117">
        <v>0.31895999999999997</v>
      </c>
      <c r="U117">
        <v>0.56083799999999995</v>
      </c>
      <c r="V117">
        <v>8.3099999999999987</v>
      </c>
      <c r="W117">
        <v>0.13129799999999997</v>
      </c>
      <c r="X117">
        <v>7.5620999999999994E-2</v>
      </c>
      <c r="Y117">
        <v>0.92240999999999984</v>
      </c>
      <c r="Z117">
        <v>9.82</v>
      </c>
      <c r="AA117">
        <v>7.4632000000000004E-2</v>
      </c>
      <c r="AB117">
        <v>5.9901999999999997E-2</v>
      </c>
      <c r="AC117">
        <v>1.05074</v>
      </c>
      <c r="AD117">
        <v>9.1999999999999993</v>
      </c>
      <c r="AE117">
        <v>8.924E-2</v>
      </c>
      <c r="AF117">
        <v>5.7959999999999991E-2</v>
      </c>
      <c r="AG117">
        <v>1.2879999999999998</v>
      </c>
    </row>
  </sheetData>
  <autoFilter ref="A1:AG1" xr:uid="{0C2496FA-BD4A-4834-ACDB-065059BEBD6F}">
    <sortState xmlns:xlrd2="http://schemas.microsoft.com/office/spreadsheetml/2017/richdata2" ref="A2:AG123">
      <sortCondition ref="A1"/>
    </sortState>
  </autoFilter>
  <conditionalFormatting sqref="A27:A49">
    <cfRule type="duplicateValues" dxfId="12" priority="12"/>
  </conditionalFormatting>
  <conditionalFormatting sqref="A50">
    <cfRule type="duplicateValues" dxfId="11" priority="10"/>
  </conditionalFormatting>
  <conditionalFormatting sqref="A51">
    <cfRule type="duplicateValues" dxfId="10" priority="11"/>
  </conditionalFormatting>
  <conditionalFormatting sqref="A52">
    <cfRule type="duplicateValues" dxfId="9" priority="9"/>
  </conditionalFormatting>
  <conditionalFormatting sqref="A53">
    <cfRule type="duplicateValues" dxfId="8" priority="8"/>
  </conditionalFormatting>
  <conditionalFormatting sqref="A54">
    <cfRule type="duplicateValues" dxfId="7" priority="7"/>
  </conditionalFormatting>
  <conditionalFormatting sqref="A55">
    <cfRule type="duplicateValues" dxfId="6" priority="6"/>
  </conditionalFormatting>
  <conditionalFormatting sqref="A56">
    <cfRule type="duplicateValues" dxfId="5" priority="5"/>
  </conditionalFormatting>
  <conditionalFormatting sqref="A57">
    <cfRule type="duplicateValues" dxfId="4" priority="4"/>
  </conditionalFormatting>
  <conditionalFormatting sqref="A58">
    <cfRule type="duplicateValues" dxfId="3" priority="3"/>
  </conditionalFormatting>
  <conditionalFormatting sqref="A59:A64">
    <cfRule type="duplicateValues" dxfId="2" priority="13"/>
  </conditionalFormatting>
  <conditionalFormatting sqref="A65:A89">
    <cfRule type="duplicateValues" dxfId="1" priority="398"/>
  </conditionalFormatting>
  <conditionalFormatting sqref="A90:A117">
    <cfRule type="duplicateValues" dxfId="0" priority="399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82AD0AF05AA73C4FB76A2A5E696543D1" ma:contentTypeVersion="17" ma:contentTypeDescription="Δημιουργία νέου εγγράφου" ma:contentTypeScope="" ma:versionID="9b68f914ff0b458d5bbff21c322c2c5e">
  <xsd:schema xmlns:xsd="http://www.w3.org/2001/XMLSchema" xmlns:xs="http://www.w3.org/2001/XMLSchema" xmlns:p="http://schemas.microsoft.com/office/2006/metadata/properties" xmlns:ns3="047cf241-388a-4422-bba2-9539b5a58828" xmlns:ns4="b35df00e-9a9c-482c-bffa-690472b45c8d" targetNamespace="http://schemas.microsoft.com/office/2006/metadata/properties" ma:root="true" ma:fieldsID="cacd1f43f2a44d530a316dbf2a065d8f" ns3:_="" ns4:_="">
    <xsd:import namespace="047cf241-388a-4422-bba2-9539b5a58828"/>
    <xsd:import namespace="b35df00e-9a9c-482c-bffa-690472b45c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OCR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cf241-388a-4422-bba2-9539b5a588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Κοινή χρήση κατακερματισμού υπόδειξης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df00e-9a9c-482c-bffa-690472b45c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5df00e-9a9c-482c-bffa-690472b45c8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062D4E-609F-41E6-9264-3E42DDB7B2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7cf241-388a-4422-bba2-9539b5a58828"/>
    <ds:schemaRef ds:uri="b35df00e-9a9c-482c-bffa-690472b45c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E13DB8-A295-432A-83A5-54A18AB672AF}">
  <ds:schemaRefs>
    <ds:schemaRef ds:uri="http://purl.org/dc/elements/1.1/"/>
    <ds:schemaRef ds:uri="http://purl.org/dc/terms/"/>
    <ds:schemaRef ds:uri="047cf241-388a-4422-bba2-9539b5a58828"/>
    <ds:schemaRef ds:uri="http://schemas.microsoft.com/office/2006/documentManagement/types"/>
    <ds:schemaRef ds:uri="b35df00e-9a9c-482c-bffa-690472b45c8d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AAF0FB-C4B5-4334-97D1-2A0129C649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 (2)</vt:lpstr>
      <vt:lpstr>Sheet1</vt:lpstr>
      <vt:lpstr>Sheet2</vt:lpstr>
      <vt:lpstr>Sheet4</vt:lpstr>
      <vt:lpstr>Sheet5</vt:lpstr>
      <vt:lpstr>Sheet6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AFRODITI MOULARA</dc:creator>
  <cp:lastModifiedBy>Franciscus Chandra</cp:lastModifiedBy>
  <dcterms:created xsi:type="dcterms:W3CDTF">2023-11-16T21:23:39Z</dcterms:created>
  <dcterms:modified xsi:type="dcterms:W3CDTF">2023-11-21T23:33:55Z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0x01010082AD0AF05AA73C4FB76A2A5E696543D1</vt:lpwstr>
  </property>
</Properties>
</file>