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s et données" sheetId="1" state="visible" r:id="rId2"/>
    <sheet name="tableau maslow" sheetId="2" state="visible" r:id="rId3"/>
    <sheet name="Graph_maslow" sheetId="3" state="visible" r:id="rId4"/>
    <sheet name="data_Maslow" sheetId="4" state="visible" r:id="rId5"/>
    <sheet name="motifs_maslow" sheetId="5" state="visible" r:id="rId6"/>
    <sheet name="Graph_empreinte" sheetId="6" state="visible" r:id="rId7"/>
    <sheet name="data_empreinte" sheetId="7" state="visible" r:id="rId8"/>
    <sheet name="empreinte (tableau)" sheetId="8" state="visible" r:id="rId9"/>
    <sheet name="batiment" sheetId="9" state="visible" r:id="rId10"/>
  </sheets>
  <definedNames>
    <definedName function="false" hidden="false" localSheetId="7" name="_xlnm.Print_Area" vbProcedure="false">'empreinte (tableau)'!$D$10:$M$79</definedName>
    <definedName function="false" hidden="false" localSheetId="1" name="_xlnm.Print_Area" vbProcedure="false">'tableau maslow'!$D$9:$M$82</definedName>
    <definedName function="false" hidden="false" name="_Order1" vbProcedure="false">255</definedName>
    <definedName function="false" hidden="false" name="_Order2" vbProcedure="false">255</definedName>
    <definedName function="false" hidden="false" localSheetId="1" name="_xlnm.Print_Area" vbProcedure="false">'tableau maslow'!$D$9:$M$82</definedName>
    <definedName function="false" hidden="false" localSheetId="6" name="_xlnm.Print_Area" vbProcedure="false">data_empreinte!#ref!</definedName>
    <definedName function="false" hidden="false" localSheetId="7" name="_xlnm.Print_Area" vbProcedure="false">'empreinte (tableau)'!$D$10:$M$79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CA GSB 25 10e9 € 
20% entretien
intensité co2 0.5 kg/€
estimation à 80% de PDM
estimation 25% entretien
</t>
        </r>
      </text>
    </comment>
    <comment ref="H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425 kg/m2 ademe
bilans-ges-ademe.fr</t>
        </r>
      </text>
    </comment>
    <comment ref="H1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sur une base de 500 m2 habitable par ha artificialisé
200 T CO2 lié à l'artificialisation</t>
        </r>
      </text>
    </comment>
    <comment ref="N1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surf logt France
</t>
        </r>
      </text>
    </comment>
    <comment ref="P1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5 lgt/ha
 7 10e6 ha sur 50 ans
140 000 ha/an --&gt;40% logement
56 000 ha
</t>
        </r>
      </text>
    </comment>
    <comment ref="S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Régis Janvier:
</t>
        </r>
        <r>
          <rPr>
            <sz val="9"/>
            <color rgb="FF000000"/>
            <rFont val="Tahoma"/>
            <family val="2"/>
            <charset val="1"/>
          </rPr>
          <t xml:space="preserve">prise en compte de l'acroissmement de vol 20% et accroissement de l'intensité carbone 33%
1.6= 1.2*1.33
L'intensité carbone est évalué sur le matériel informatique (nbre et taille des écrans).
</t>
        </r>
      </text>
    </comment>
    <comment ref="V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de 4.3 à 5.5 selon les fromages
</t>
        </r>
      </text>
    </comment>
    <comment ref="V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3.6 pour poulet entier
</t>
        </r>
      </text>
    </comment>
    <comment ref="V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valeur pour un Kg eq carcasse 25
valeur viande dessossée 28.5
</t>
        </r>
      </text>
    </comment>
  </commentList>
</comments>
</file>

<file path=xl/sharedStrings.xml><?xml version="1.0" encoding="utf-8"?>
<sst xmlns="http://schemas.openxmlformats.org/spreadsheetml/2006/main" count="327" uniqueCount="207">
  <si>
    <t xml:space="preserve">Année 2010 (Carbone 4)</t>
  </si>
  <si>
    <t xml:space="preserve">2012</t>
  </si>
  <si>
    <t xml:space="preserve">2015 / 2016</t>
  </si>
  <si>
    <t xml:space="preserve">conso/pers</t>
  </si>
  <si>
    <t xml:space="preserve">CO2 eq/kg</t>
  </si>
  <si>
    <t xml:space="preserve">Source</t>
  </si>
  <si>
    <t xml:space="preserve">Empreinte carbone</t>
  </si>
  <si>
    <t xml:space="preserve">Alimentation</t>
  </si>
  <si>
    <t xml:space="preserve">g/j</t>
  </si>
  <si>
    <t xml:space="preserve"> kg/an</t>
  </si>
  <si>
    <t xml:space="preserve">Boissons</t>
  </si>
  <si>
    <t xml:space="preserve">x</t>
  </si>
  <si>
    <t xml:space="preserve">Eau en bouteilles</t>
  </si>
  <si>
    <t xml:space="preserve">https://eaumineralenaturelle.fr/chambre-syndicale/leau-minerale-en-chiffres</t>
  </si>
  <si>
    <t xml:space="preserve">Soft drinks ou BRSA</t>
  </si>
  <si>
    <t xml:space="preserve">https://www.lsa-conso.fr/decouvrez-la-consommation-d-eaux-et-de-soft-en-europe-en-temps-reel-infographie-interactive,216333</t>
  </si>
  <si>
    <t xml:space="preserve">Vins</t>
  </si>
  <si>
    <t xml:space="preserve">http://www.vinetsociete.fr/magazine/article/le-vin-en-quelques-chiffres-cles</t>
  </si>
  <si>
    <t xml:space="preserve">https://www.bonial.fr/info/conso-boissons-sans-alcool-europe/</t>
  </si>
  <si>
    <t xml:space="preserve">Bierre</t>
  </si>
  <si>
    <t xml:space="preserve">http://www.lefigaro.fr/conso/2018/03/17/20010-20180317ARTFIG00024-apres-36-ans-de-recul-la-consommation-de-biere-repart-en-france.php</t>
  </si>
  <si>
    <t xml:space="preserve">Féculents et bases</t>
  </si>
  <si>
    <t xml:space="preserve">riz</t>
  </si>
  <si>
    <t xml:space="preserve">https://www.passioncereales.fr/dossier-thematique/les-filieres-riz-et-autres-cereales-en-chiffres</t>
  </si>
  <si>
    <t xml:space="preserve">pain</t>
  </si>
  <si>
    <t xml:space="preserve">Pomme de terre</t>
  </si>
  <si>
    <t xml:space="preserve">http://agreste.agriculture.gouv.fr/IMG/pdf/Gaf2017p100-105.pdf</t>
  </si>
  <si>
    <t xml:space="preserve">Huiles</t>
  </si>
  <si>
    <t xml:space="preserve">Sucre</t>
  </si>
  <si>
    <t xml:space="preserve">Pates</t>
  </si>
  <si>
    <t xml:space="preserve">Fruit et légumes</t>
  </si>
  <si>
    <t xml:space="preserve">(synthèse entre import et produit de saison)</t>
  </si>
  <si>
    <t xml:space="preserve"> </t>
  </si>
  <si>
    <t xml:space="preserve">Non réparti</t>
  </si>
  <si>
    <t xml:space="preserve">Condiments, café, déssert viénoiserie…</t>
  </si>
  <si>
    <t xml:space="preserve">Produits laitiers</t>
  </si>
  <si>
    <t xml:space="preserve">lait</t>
  </si>
  <si>
    <t xml:space="preserve">http://agriculture.gouv.fr/infographie-production-et-consommation-de-produits-laitiers-en-France</t>
  </si>
  <si>
    <t xml:space="preserve">yaourt</t>
  </si>
  <si>
    <t xml:space="preserve">fromage</t>
  </si>
  <si>
    <t xml:space="preserve">fromage frais</t>
  </si>
  <si>
    <t xml:space="preserve">https://cnd.elsevierresource.com/les-produits-laitiers-en-france-evolution-du-marche-et-place-dans-la-diete</t>
  </si>
  <si>
    <t xml:space="preserve">Beurre</t>
  </si>
  <si>
    <t xml:space="preserve">Œuf</t>
  </si>
  <si>
    <t xml:space="preserve">http://www.franceagrimer.fr/content/download/39054/361017/file/Fiche%20fili%C3%A8re%202014%20-%20Oeufs%20-%20FR.pdf</t>
  </si>
  <si>
    <t xml:space="preserve">Viandes</t>
  </si>
  <si>
    <t xml:space="preserve">poisson</t>
  </si>
  <si>
    <t xml:space="preserve">http://www.franceagrimer.fr/content/download/52763/508694/file/STA-MER-CONSO%202016-juil2017.pdf</t>
  </si>
  <si>
    <t xml:space="preserve">dont porc</t>
  </si>
  <si>
    <t xml:space="preserve">http://www.franceagrimer.fr/content/download/40104/372599/file/STA-VIA-CONSO%202014-aout2015.pdf</t>
  </si>
  <si>
    <t xml:space="preserve">dont volailles</t>
  </si>
  <si>
    <t xml:space="preserve">dont bœuf (hors veau)</t>
  </si>
  <si>
    <t xml:space="preserve">dont veau</t>
  </si>
  <si>
    <t xml:space="preserve">dont ovin caprin</t>
  </si>
  <si>
    <t xml:space="preserve">autres</t>
  </si>
  <si>
    <t xml:space="preserve">Biens de consommations</t>
  </si>
  <si>
    <t xml:space="preserve">Habillement</t>
  </si>
  <si>
    <t xml:space="preserve">taux d'actualisation</t>
  </si>
  <si>
    <t xml:space="preserve">(donnée insee % VOL)</t>
  </si>
  <si>
    <t xml:space="preserve">Biens courants Vétements</t>
  </si>
  <si>
    <t xml:space="preserve">Autres Bien et Services</t>
  </si>
  <si>
    <t xml:space="preserve">Informatiques HIFI</t>
  </si>
  <si>
    <t xml:space="preserve">T</t>
  </si>
  <si>
    <t xml:space="preserve">Fret et distribution</t>
  </si>
  <si>
    <t xml:space="preserve">chgt cat</t>
  </si>
  <si>
    <t xml:space="preserve">Distribution</t>
  </si>
  <si>
    <t xml:space="preserve">L</t>
  </si>
  <si>
    <t xml:space="preserve">Gros électroménager</t>
  </si>
  <si>
    <t xml:space="preserve">Mobilier</t>
  </si>
  <si>
    <t xml:space="preserve">autres biens durables</t>
  </si>
  <si>
    <t xml:space="preserve">Services privés (Resto Banques…) </t>
  </si>
  <si>
    <t xml:space="preserve">Internet (usage des réseaux)</t>
  </si>
  <si>
    <t xml:space="preserve">Voitures (achat)</t>
  </si>
  <si>
    <t xml:space="preserve">Transports</t>
  </si>
  <si>
    <t xml:space="preserve">Transport</t>
  </si>
  <si>
    <t xml:space="preserve">idem achat voiture (poids plus lourd mais moins de vente moins nombreuse)intensité carbone en augmentation (électronique)</t>
  </si>
  <si>
    <t xml:space="preserve">Voiture (usage)</t>
  </si>
  <si>
    <t xml:space="preserve">Avion</t>
  </si>
  <si>
    <t xml:space="preserve">Autres</t>
  </si>
  <si>
    <t xml:space="preserve">Services</t>
  </si>
  <si>
    <t xml:space="preserve">Serv Pub</t>
  </si>
  <si>
    <t xml:space="preserve">Services d'utilité publique</t>
  </si>
  <si>
    <t xml:space="preserve">Logement</t>
  </si>
  <si>
    <t xml:space="preserve">Energie des logements</t>
  </si>
  <si>
    <t xml:space="preserve">Gaz</t>
  </si>
  <si>
    <t xml:space="preserve">PP</t>
  </si>
  <si>
    <t xml:space="preserve">Spécifique</t>
  </si>
  <si>
    <t xml:space="preserve">Electricité</t>
  </si>
  <si>
    <t xml:space="preserve">chaleur reseau</t>
  </si>
  <si>
    <t xml:space="preserve">eau et déchets</t>
  </si>
  <si>
    <t xml:space="preserve">Construction gros entretien logement</t>
  </si>
  <si>
    <t xml:space="preserve">Neufs</t>
  </si>
  <si>
    <t xml:space="preserve">Rénovation</t>
  </si>
  <si>
    <t xml:space="preserve">autres travaux / entretiens </t>
  </si>
  <si>
    <t xml:space="preserve">Equipement des logements</t>
  </si>
  <si>
    <t xml:space="preserve">renovation conventionnelle</t>
  </si>
  <si>
    <t xml:space="preserve">kg/m2</t>
  </si>
  <si>
    <t xml:space="preserve">https://www.novethic.fr/actualite/energie/efficacite-energetique/isr-rse/energie-grise-la-face-cachee-de-l-eco-construction-122077.html</t>
  </si>
  <si>
    <t xml:space="preserve">renov eco</t>
  </si>
  <si>
    <t xml:space="preserve">surface</t>
  </si>
  <si>
    <t xml:space="preserve">https://www.ademe.fr/sites/default/files/assets/documents/ademe_mag108_dossier.pdf</t>
  </si>
  <si>
    <t xml:space="preserve">http://www.o-immobilierdurable.fr/wp-content/uploads/2016/12/SINTEO_Livre-Blanc-bas-carbone.pdf</t>
  </si>
  <si>
    <t xml:space="preserve">Bricolage</t>
  </si>
  <si>
    <t xml:space="preserve">https://www.economie-magazine.com/dossier-30-marche-bricolage-france.html</t>
  </si>
  <si>
    <t xml:space="preserve">http://www.fmbricolage.com/page?n=40</t>
  </si>
  <si>
    <t xml:space="preserve">Construction</t>
  </si>
  <si>
    <t xml:space="preserve">m2 logement construit/an</t>
  </si>
  <si>
    <t xml:space="preserve">calcul artificialisation</t>
  </si>
  <si>
    <t xml:space="preserve">T co2/ha Agri--&gt;ville</t>
  </si>
  <si>
    <t xml:space="preserve">CO2/m2</t>
  </si>
  <si>
    <t xml:space="preserve">kg co2/m2 de voirie</t>
  </si>
  <si>
    <t xml:space="preserve">CO2/an</t>
  </si>
  <si>
    <t xml:space="preserve">m2 voirie/ha</t>
  </si>
  <si>
    <t xml:space="preserve">https://www.lesechos.fr/13/01/2018/lesechos.fr/0301123997829_quand-la-ville-ensevelit-les-sols.htm</t>
  </si>
  <si>
    <t xml:space="preserve">aménagement</t>
  </si>
  <si>
    <t xml:space="preserve">CO2/hab</t>
  </si>
  <si>
    <t xml:space="preserve">CO2 eq/u</t>
  </si>
  <si>
    <t xml:space="preserve">Hifi</t>
  </si>
  <si>
    <t xml:space="preserve">u/f</t>
  </si>
  <si>
    <t xml:space="preserve">smartphone</t>
  </si>
  <si>
    <t xml:space="preserve">https://www.zdnet.fr/actualites/chiffres-cles-les-ventes-de-mobiles-et-de-smartphones-39789928.htm</t>
  </si>
  <si>
    <t xml:space="preserve">Tablettes</t>
  </si>
  <si>
    <t xml:space="preserve">https://www.zdnet.fr/actualites/chiffres-cles-le-marche-des-tablettes-39789571.htm</t>
  </si>
  <si>
    <t xml:space="preserve">Notebook</t>
  </si>
  <si>
    <t xml:space="preserve">PC bureau</t>
  </si>
  <si>
    <t xml:space="preserve">netbook</t>
  </si>
  <si>
    <t xml:space="preserve">pc hybrides</t>
  </si>
  <si>
    <t xml:space="preserve">nb unité (millier)</t>
  </si>
  <si>
    <t xml:space="preserve">Internet</t>
  </si>
  <si>
    <t xml:space="preserve">emission mondiale</t>
  </si>
  <si>
    <t xml:space="preserve">gT</t>
  </si>
  <si>
    <t xml:space="preserve">https://theshiftproject.org/wp-content/uploads/2018/10/2018-10-04_Rapport_Pour-une-sobri%C3%A9t%C3%A9-num%C3%A9rique_Rapport_The-Shift-Project.pdf</t>
  </si>
  <si>
    <t xml:space="preserve">kg</t>
  </si>
  <si>
    <t xml:space="preserve">internautes mondiaux</t>
  </si>
  <si>
    <t xml:space="preserve">millions</t>
  </si>
  <si>
    <t xml:space="preserve">https://www.internetworldstats.com/stats4.htm</t>
  </si>
  <si>
    <t xml:space="preserve">France</t>
  </si>
  <si>
    <t xml:space="preserve">quotepart atribuable au français</t>
  </si>
  <si>
    <t xml:space="preserve">part lié à l'usage des réseaux</t>
  </si>
  <si>
    <t xml:space="preserve">Répartition</t>
  </si>
  <si>
    <t xml:space="preserve">Répartition de la consommation</t>
  </si>
  <si>
    <t xml:space="preserve">P</t>
  </si>
  <si>
    <t xml:space="preserve">S</t>
  </si>
  <si>
    <t xml:space="preserve">G</t>
  </si>
  <si>
    <t xml:space="preserve">H&amp;A</t>
  </si>
  <si>
    <t xml:space="preserve">Base</t>
  </si>
  <si>
    <t xml:space="preserve">Motivationnel</t>
  </si>
  <si>
    <t xml:space="preserve">Base de pondération</t>
  </si>
  <si>
    <t xml:space="preserve">Physio</t>
  </si>
  <si>
    <t xml:space="preserve">Secu</t>
  </si>
  <si>
    <t xml:space="preserve">Groupe</t>
  </si>
  <si>
    <t xml:space="preserve">Alcool</t>
  </si>
  <si>
    <t xml:space="preserve">Sans alcool (soft drink)</t>
  </si>
  <si>
    <t xml:space="preserve">(Fruits et légumes, féculents plats élaborés,  condiments, etc )</t>
  </si>
  <si>
    <t xml:space="preserve">Produits laitiers et œufs</t>
  </si>
  <si>
    <t xml:space="preserve">yaourt &amp; Pdt frais</t>
  </si>
  <si>
    <t xml:space="preserve">Viandes et Poissons</t>
  </si>
  <si>
    <t xml:space="preserve">Produit de la mer</t>
  </si>
  <si>
    <t xml:space="preserve">Ruminants</t>
  </si>
  <si>
    <t xml:space="preserve">Autres Biens et Services</t>
  </si>
  <si>
    <t xml:space="preserve">Informatiques électroniques</t>
  </si>
  <si>
    <t xml:space="preserve">Autres biens</t>
  </si>
  <si>
    <t xml:space="preserve">Internet (usages)</t>
  </si>
  <si>
    <t xml:space="preserve">Voiture</t>
  </si>
  <si>
    <t xml:space="preserve">Trains et bus</t>
  </si>
  <si>
    <t xml:space="preserve">Fret et messagerie</t>
  </si>
  <si>
    <t xml:space="preserve">Services Publics,  Santé</t>
  </si>
  <si>
    <t xml:space="preserve">Energie et utilités</t>
  </si>
  <si>
    <t xml:space="preserve">Construction &amp; gros entretien</t>
  </si>
  <si>
    <t xml:space="preserve">Entetiens bricolage</t>
  </si>
  <si>
    <t xml:space="preserve">Sécurité</t>
  </si>
  <si>
    <t xml:space="preserve">Appartenance</t>
  </si>
  <si>
    <t xml:space="preserve">Hierarchie et accomplissement</t>
  </si>
  <si>
    <t xml:space="preserve">L'alcool et les sodas sont reconnus comme néfastes pour la santé. L'eau en bouteille n'est pas utile.</t>
  </si>
  <si>
    <t xml:space="preserve">Retranchement d'une partie d'aliment non apportant de nutriments et à fort impact (café thé… etc ) ou fortement transformés.</t>
  </si>
  <si>
    <t xml:space="preserve">100 kcal de produits laitiers émettent en moyenne 297 g de CO2. La substitution de ceux-ci par des fruits et légumes 50% et des feculent 50%, ne serait que peu avantageuse. Le ratio sera de  (306*.5+46*.5)/297)=59% sur la quotepart substituée.
 Le PNNS recommande de conserver cette famille de produit dans l'alimentation. 
Toutefois, nous retenons une baisse de consommation de 40%</t>
  </si>
  <si>
    <t xml:space="preserve">Selon le PNNS, il serait possible de réduire notre consommation de viande de sans risques pour la santé. WWF propose de réduire cette consommation de 66% pour les ruminants, et 40% pour les poissons sauvages, et de conserver identique notre consommation de volaille.
Ces produits ont été remplacé par 50% fruits et légumes et 50% de féculents. soit une économie selon le ratio ((306*50%+46*50%)/505 )=35 % sur la quotepart substituée  </t>
  </si>
  <si>
    <t xml:space="preserve">En Europe, 80% des vetements sont jetés encore neuf ou peu usagé.</t>
  </si>
  <si>
    <t xml:space="preserve">Nous sommes à plus de 5.5 écran par foyer pour 2.2 personnes. Cela ne répond pas à un besoin de base. Les services privés idem. Il serait probablement possible de complétement exclure cette catégories des besoins de base. Nous en conservons 20% (prise en compte des besoins minimum de communication, de services etc...)</t>
  </si>
  <si>
    <t xml:space="preserve">En France  20% de l'usage des véhicules est liées aux déplacements professionnels</t>
  </si>
  <si>
    <t xml:space="preserve">La répartition des services publiques est peu aisée en l'absence de données détaillées.
Les dépenses de santé sont assimilables à des besoins physiologiques ou de sécurité. Il en va de même pour une partie des dépenses de police et militaires (sécurité) ou d'enseignement. 
Les dépenses d'enseignement répondent aussi à des besoins d'apartenance groupale ou de hiérarchie sociale.</t>
  </si>
  <si>
    <t xml:space="preserve">Sur la base de 22m2 d'habitat par personne, réduction des besoins d'énergie au prorata
Economie de 10% en chauffage en respectant les préconisatons de températures.
Il serait en outre possible de réduire notre consommation des usages spécifiques de l'énergie (fer à repasser , taille des écrans..etc...)
Le non-achat de produits suremballés réduira notre poubelle, et donc son traitement.</t>
  </si>
  <si>
    <t xml:space="preserve">Quotepart du neuf correspondant à la construction de 5.3 millions de m2 sur base de 22m2/pers et d'un  accroissement de 240 000 pers/an
Quotepart entretien-renov Sur la base du besoin de rénovation thermique de l'habitat</t>
  </si>
  <si>
    <t xml:space="preserve">Sur la base d'une économie circulaire sobre. Basé sur la réutilisation des objets</t>
  </si>
  <si>
    <t xml:space="preserve">tri</t>
  </si>
  <si>
    <t xml:space="preserve">titre</t>
  </si>
  <si>
    <t xml:space="preserve">Bien conso</t>
  </si>
  <si>
    <t xml:space="preserve">Achat et usages Internet et technologies</t>
  </si>
  <si>
    <t xml:space="preserve">Train et bus</t>
  </si>
  <si>
    <t xml:space="preserve">Empreinte Carbone Français</t>
  </si>
  <si>
    <t xml:space="preserve">Végétaux, plats élaborés ….</t>
  </si>
  <si>
    <t xml:space="preserve">Rénovations</t>
  </si>
  <si>
    <t xml:space="preserve">Entretiens bricolage</t>
  </si>
  <si>
    <t xml:space="preserve">Viandes et Poisson</t>
  </si>
  <si>
    <t xml:space="preserve">Autres transport de personnes</t>
  </si>
  <si>
    <t xml:space="preserve">Habillements </t>
  </si>
  <si>
    <t xml:space="preserve">Internet (serveur/réseau)</t>
  </si>
  <si>
    <t xml:space="preserve">Consommation d'énergie par personne</t>
  </si>
  <si>
    <t xml:space="preserve">Energie primaire</t>
  </si>
  <si>
    <t xml:space="preserve">Surface</t>
  </si>
  <si>
    <t xml:space="preserve">Consommation</t>
  </si>
  <si>
    <t xml:space="preserve">kwh/m2/an</t>
  </si>
  <si>
    <t xml:space="preserve">m2/pers</t>
  </si>
  <si>
    <t xml:space="preserve">kwh/pers/an</t>
  </si>
  <si>
    <t xml:space="preserve">période 1970-1973</t>
  </si>
  <si>
    <t xml:space="preserve">période 2008-2013</t>
  </si>
  <si>
    <t xml:space="preserve">Evolution</t>
  </si>
</sst>
</file>

<file path=xl/styles.xml><?xml version="1.0" encoding="utf-8"?>
<styleSheet xmlns="http://schemas.openxmlformats.org/spreadsheetml/2006/main">
  <numFmts count="36">
    <numFmt numFmtId="164" formatCode="General"/>
    <numFmt numFmtId="165" formatCode="#,##0.00"/>
    <numFmt numFmtId="166" formatCode="@"/>
    <numFmt numFmtId="167" formatCode="_-* #,##0.00_-;\-* #,##0.00_-;_-* \-??_-;_-@_-"/>
    <numFmt numFmtId="168" formatCode="_(* #,##0.00_);_(* \(#,##0.00\);_(* \-??_);_(@_)"/>
    <numFmt numFmtId="169" formatCode="_-* #,##0.00\ _F_-;\-* #,##0.00\ _F_-;_-* \-??\ _F_-;_-@_-"/>
    <numFmt numFmtId="170" formatCode="_-* #,##0.00,_D_M_-;\-* #,##0.00,_D_M_-;_-* \-??\ _D_M_-;_-@_-"/>
    <numFmt numFmtId="171" formatCode="_(* #,##0_);_(* \(#,##0\);_(* \-_);_(@_)"/>
    <numFmt numFmtId="172" formatCode="_(\$* #,##0_);_(\$* \(#,##0\);_(\$* \-_);_(@_)"/>
    <numFmt numFmtId="173" formatCode="#,##0"/>
    <numFmt numFmtId="174" formatCode="#,##0.0"/>
    <numFmt numFmtId="175" formatCode="#,##0.000"/>
    <numFmt numFmtId="176" formatCode="#,##0.0000"/>
    <numFmt numFmtId="177" formatCode="_-* #,##0.00,\€_-;\-* #,##0.00,\€_-;_-* \-??&quot; €&quot;_-;_-@_-"/>
    <numFmt numFmtId="178" formatCode="_-* #,##0,_D_M_-;\-* #,##0,_D_M_-;_-* &quot;- &quot;_D_M_-;_-@_-"/>
    <numFmt numFmtId="179" formatCode="0"/>
    <numFmt numFmtId="180" formatCode="_-* #,##0.00,_€_-;\-* #,##0.00,_€_-;_-* \-??\ _€_-;_-@_-"/>
    <numFmt numFmtId="181" formatCode="_-* #,##0.00,\F_-;\-* #,##0.00,\F_-;_-* \-??&quot; F&quot;_-;_-@_-"/>
    <numFmt numFmtId="182" formatCode="\$#,##0,;&quot;($&quot;#,##0\)"/>
    <numFmt numFmtId="183" formatCode="\(##\);\(##\)"/>
    <numFmt numFmtId="184" formatCode="0\ %"/>
    <numFmt numFmtId="185" formatCode="_-* #,##0,&quot;DM&quot;_-;\-* #,##0,&quot;DM&quot;_-;_-* &quot;- DM&quot;_-;_-@_-"/>
    <numFmt numFmtId="186" formatCode="_-* #,##0.00,&quot;DM&quot;_-;\-* #,##0.00,&quot;DM&quot;_-;_-* \-??&quot; DM&quot;_-;_-@_-"/>
    <numFmt numFmtId="187" formatCode="#,###,##0;\-#,###,##0"/>
    <numFmt numFmtId="188" formatCode="#,##0.0,\F"/>
    <numFmt numFmtId="189" formatCode="#,##0.00,\F"/>
    <numFmt numFmtId="190" formatCode="#,##0,\F"/>
    <numFmt numFmtId="191" formatCode="0.0%"/>
    <numFmt numFmtId="192" formatCode="0.00\ %"/>
    <numFmt numFmtId="193" formatCode="_-&quot;F &quot;* #,##0_-;_-&quot;F &quot;* #,##0\-;_-&quot;F &quot;* \-_-;_-@_-"/>
    <numFmt numFmtId="194" formatCode="_-&quot;F &quot;* #,##0.00_-;_-&quot;F &quot;* #,##0.00\-;_-&quot;F &quot;* \-??_-;_-@_-"/>
    <numFmt numFmtId="195" formatCode="0.00"/>
    <numFmt numFmtId="196" formatCode="_-* #,##0,_€_-;\-* #,##0,_€_-;_-* \-??\ _€_-;_-@_-"/>
    <numFmt numFmtId="197" formatCode="#,##0_ ;\-#,##0,"/>
    <numFmt numFmtId="198" formatCode="0.0"/>
    <numFmt numFmtId="199" formatCode="0.00%"/>
  </numFmts>
  <fonts count="1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86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186"/>
    </font>
    <font>
      <sz val="10"/>
      <name val="Arial"/>
      <family val="2"/>
      <charset val="1"/>
    </font>
    <font>
      <u val="single"/>
      <sz val="10"/>
      <color rgb="FF0000FF"/>
      <name val="Times New Roman"/>
      <family val="1"/>
      <charset val="1"/>
    </font>
    <font>
      <b val="true"/>
      <sz val="9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86"/>
    </font>
    <font>
      <sz val="11"/>
      <color rgb="FFFF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0080"/>
      <name val="Calibri"/>
      <family val="2"/>
      <charset val="186"/>
    </font>
    <font>
      <b val="true"/>
      <sz val="11"/>
      <color rgb="FFFF9900"/>
      <name val="Calibri"/>
      <family val="2"/>
      <charset val="1"/>
    </font>
    <font>
      <b val="true"/>
      <sz val="11"/>
      <color rgb="FFFF9900"/>
      <name val="Calibri"/>
      <family val="2"/>
      <charset val="186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86"/>
    </font>
    <font>
      <sz val="10"/>
      <color rgb="FF808080"/>
      <name val="Courier New"/>
      <family val="3"/>
      <charset val="1"/>
    </font>
    <font>
      <sz val="10"/>
      <name val="Courier New"/>
      <family val="3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Courier New"/>
      <family val="3"/>
      <charset val="1"/>
    </font>
    <font>
      <sz val="8"/>
      <name val="Courier New"/>
      <family val="3"/>
      <charset val="1"/>
    </font>
    <font>
      <b val="true"/>
      <i val="true"/>
      <sz val="10"/>
      <color rgb="FF993300"/>
      <name val="Courier New"/>
      <family val="3"/>
      <charset val="1"/>
    </font>
    <font>
      <i val="true"/>
      <sz val="10"/>
      <color rgb="FF0000FF"/>
      <name val="Courier New"/>
      <family val="3"/>
      <charset val="1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color rgb="FF0000FF"/>
      <name val="Arial"/>
      <family val="2"/>
      <charset val="204"/>
    </font>
    <font>
      <sz val="10"/>
      <color rgb="FF003366"/>
      <name val="Arial"/>
      <family val="2"/>
      <charset val="1"/>
    </font>
    <font>
      <b val="true"/>
      <sz val="10"/>
      <color rgb="FF003366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333399"/>
      <name val="Calibri"/>
      <family val="2"/>
      <charset val="186"/>
    </font>
    <font>
      <sz val="18"/>
      <color rgb="FF9999FF"/>
      <name val="Arial"/>
      <family val="2"/>
      <charset val="1"/>
    </font>
    <font>
      <sz val="8"/>
      <color rgb="FF9999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color rgb="FF33996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86"/>
    </font>
    <font>
      <i val="true"/>
      <sz val="11"/>
      <color rgb="FF808080"/>
      <name val="Calibri"/>
      <family val="2"/>
      <charset val="1"/>
    </font>
    <font>
      <i val="true"/>
      <sz val="11"/>
      <color rgb="FF808080"/>
      <name val="Calibri"/>
      <family val="2"/>
      <charset val="186"/>
    </font>
    <font>
      <sz val="11"/>
      <color rgb="FF008000"/>
      <name val="Calibri"/>
      <family val="2"/>
      <charset val="186"/>
    </font>
    <font>
      <b val="true"/>
      <sz val="15"/>
      <color rgb="FF003366"/>
      <name val="Calibri"/>
      <family val="2"/>
      <charset val="1"/>
    </font>
    <font>
      <b val="true"/>
      <sz val="15"/>
      <color rgb="FF003366"/>
      <name val="Calibri"/>
      <family val="2"/>
      <charset val="186"/>
    </font>
    <font>
      <b val="true"/>
      <sz val="13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86"/>
    </font>
    <font>
      <b val="true"/>
      <sz val="11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86"/>
    </font>
    <font>
      <b val="true"/>
      <sz val="12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u val="single"/>
      <sz val="9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9900"/>
      <name val="Calibri"/>
      <family val="2"/>
      <charset val="186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93300"/>
      <name val="Calibri"/>
      <family val="2"/>
      <charset val="186"/>
    </font>
    <font>
      <sz val="11"/>
      <color rgb="FF808000"/>
      <name val="Calibri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86"/>
    </font>
    <font>
      <sz val="10"/>
      <name val="Times New Roman"/>
      <family val="1"/>
      <charset val="1"/>
    </font>
    <font>
      <sz val="10"/>
      <name val="MS Sans Serif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204"/>
    </font>
    <font>
      <sz val="11"/>
      <name val="Arial"/>
      <family val="2"/>
      <charset val="1"/>
    </font>
    <font>
      <sz val="10"/>
      <name val="Arial CE"/>
      <family val="0"/>
      <charset val="238"/>
    </font>
    <font>
      <sz val="10"/>
      <color rgb="FF66669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2"/>
      <color rgb="FF666699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i val="true"/>
      <sz val="8"/>
      <color rgb="FF008080"/>
      <name val="Arial"/>
      <family val="2"/>
      <charset val="1"/>
    </font>
    <font>
      <sz val="6.5"/>
      <name val="Univers"/>
      <family val="2"/>
      <charset val="1"/>
    </font>
    <font>
      <sz val="12"/>
      <name val="Courier New"/>
      <family val="3"/>
      <charset val="1"/>
    </font>
    <font>
      <sz val="9"/>
      <name val="Verdana"/>
      <family val="2"/>
      <charset val="1"/>
    </font>
    <font>
      <sz val="10"/>
      <color rgb="FF008080"/>
      <name val="Courier New"/>
      <family val="3"/>
      <charset val="1"/>
    </font>
    <font>
      <sz val="10"/>
      <color rgb="FF008000"/>
      <name val="Courier New"/>
      <family val="3"/>
      <charset val="1"/>
    </font>
    <font>
      <i val="true"/>
      <sz val="9"/>
      <color rgb="FF993300"/>
      <name val="Verdana"/>
      <family val="2"/>
      <charset val="1"/>
    </font>
    <font>
      <sz val="9"/>
      <color rgb="FF000080"/>
      <name val="Verdana"/>
      <family val="2"/>
      <charset val="1"/>
    </font>
    <font>
      <sz val="9"/>
      <color rgb="FF0000FF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0"/>
      <color rgb="FF008080"/>
      <name val="Courier New"/>
      <family val="3"/>
      <charset val="1"/>
    </font>
    <font>
      <b val="true"/>
      <sz val="10"/>
      <color rgb="FF008000"/>
      <name val="Courier New"/>
      <family val="3"/>
      <charset val="1"/>
    </font>
    <font>
      <b val="true"/>
      <i val="true"/>
      <sz val="9"/>
      <color rgb="FF993300"/>
      <name val="Verdana"/>
      <family val="2"/>
      <charset val="1"/>
    </font>
    <font>
      <b val="true"/>
      <sz val="9"/>
      <color rgb="FF000080"/>
      <name val="Verdana"/>
      <family val="2"/>
      <charset val="1"/>
    </font>
    <font>
      <b val="true"/>
      <sz val="9"/>
      <color rgb="FF0000FF"/>
      <name val="Verdana"/>
      <family val="2"/>
      <charset val="1"/>
    </font>
    <font>
      <sz val="10"/>
      <color rgb="FFCCFF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CFFCC"/>
      <name val="Arial"/>
      <family val="2"/>
      <charset val="1"/>
    </font>
    <font>
      <b val="true"/>
      <sz val="18"/>
      <color rgb="FF003366"/>
      <name val="Cambria"/>
      <family val="2"/>
      <charset val="186"/>
    </font>
    <font>
      <b val="true"/>
      <sz val="18"/>
      <color rgb="FF333399"/>
      <name val="Cambria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i val="true"/>
      <sz val="8"/>
      <color rgb="FF99CC00"/>
      <name val="Arial"/>
      <family val="2"/>
      <charset val="1"/>
    </font>
    <font>
      <sz val="11"/>
      <color rgb="FFFF0000"/>
      <name val="Calibri"/>
      <family val="2"/>
      <charset val="186"/>
    </font>
    <font>
      <b val="true"/>
      <sz val="12"/>
      <color rgb="FF0000FF"/>
      <name val="Arial"/>
      <family val="2"/>
      <charset val="1"/>
    </font>
    <font>
      <u val="single"/>
      <sz val="10"/>
      <color rgb="FF0000FF"/>
      <name val="Times New Roman"/>
      <family val="1"/>
      <charset val="186"/>
    </font>
    <font>
      <b val="true"/>
      <u val="single"/>
      <sz val="1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color rgb="FF0070C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20"/>
      <name val="Arial"/>
      <family val="2"/>
      <charset val="1"/>
    </font>
    <font>
      <b val="true"/>
      <u val="single"/>
      <sz val="18"/>
      <name val="Arial"/>
      <family val="2"/>
      <charset val="1"/>
    </font>
    <font>
      <sz val="14"/>
      <name val="Arial"/>
      <family val="2"/>
      <charset val="1"/>
    </font>
    <font>
      <b val="true"/>
      <sz val="10"/>
      <color rgb="FF7030A0"/>
      <name val="Arial"/>
      <family val="2"/>
      <charset val="1"/>
    </font>
    <font>
      <sz val="10"/>
      <color rgb="FF7030A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70C0"/>
      <name val="Arial"/>
      <family val="2"/>
      <charset val="1"/>
    </font>
    <font>
      <b val="true"/>
      <sz val="24"/>
      <color rgb="FFFFFFFF"/>
      <name val="Calibri"/>
      <family val="2"/>
    </font>
    <font>
      <sz val="10"/>
      <color rgb="FF000000"/>
      <name val="Calibri"/>
      <family val="2"/>
    </font>
    <font>
      <b val="true"/>
      <sz val="24"/>
      <name val="Calibri"/>
      <family val="0"/>
    </font>
    <font>
      <sz val="24"/>
      <name val="Calibri"/>
      <family val="0"/>
    </font>
    <font>
      <sz val="16"/>
      <name val="Calibri"/>
      <family val="0"/>
    </font>
    <font>
      <b val="true"/>
      <sz val="24"/>
      <name val="Times New Roman"/>
      <family val="1"/>
    </font>
    <font>
      <b val="true"/>
      <sz val="32"/>
      <name val="Times New Roman"/>
      <family val="1"/>
    </font>
    <font>
      <sz val="11"/>
      <name val="Times New Roman"/>
      <family val="1"/>
    </font>
    <font>
      <b val="true"/>
      <sz val="24"/>
      <color rgb="FFFFFFFF"/>
      <name val="Calibri"/>
      <family val="0"/>
    </font>
    <font>
      <b val="true"/>
      <sz val="20"/>
      <color rgb="FFFFFFFF"/>
      <name val="Calibri"/>
      <family val="0"/>
    </font>
    <font>
      <b val="true"/>
      <sz val="12"/>
      <color rgb="FF000000"/>
      <name val="Calibri"/>
      <family val="2"/>
    </font>
    <font>
      <b val="true"/>
      <sz val="14"/>
      <color rgb="FF00000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CCCCFF"/>
        <bgColor rgb="FFC8C9DC"/>
      </patternFill>
    </fill>
    <fill>
      <patternFill patternType="solid">
        <fgColor rgb="FFFF99CC"/>
        <bgColor rgb="FFFF9F9F"/>
      </patternFill>
    </fill>
    <fill>
      <patternFill patternType="solid">
        <fgColor rgb="FFCCFFCC"/>
        <bgColor rgb="FFCDFFCD"/>
      </patternFill>
    </fill>
    <fill>
      <patternFill patternType="solid">
        <fgColor rgb="FFD396FF"/>
        <bgColor rgb="FFCCB2E5"/>
      </patternFill>
    </fill>
    <fill>
      <patternFill patternType="solid">
        <fgColor rgb="FFCCFFFF"/>
        <bgColor rgb="FFCDFFCD"/>
      </patternFill>
    </fill>
    <fill>
      <patternFill patternType="solid">
        <fgColor rgb="FFFFCC99"/>
        <bgColor rgb="FFFFCC7F"/>
      </patternFill>
    </fill>
    <fill>
      <patternFill patternType="solid">
        <fgColor rgb="FF99CCFF"/>
        <bgColor rgb="FFACC6E0"/>
      </patternFill>
    </fill>
    <fill>
      <patternFill patternType="solid">
        <fgColor rgb="FFFF807F"/>
        <bgColor rgb="FFFF9F9F"/>
      </patternFill>
    </fill>
    <fill>
      <patternFill patternType="solid">
        <fgColor rgb="FFFFFF99"/>
        <bgColor rgb="FFFFFF7F"/>
      </patternFill>
    </fill>
    <fill>
      <patternFill patternType="solid">
        <fgColor rgb="FF00FF00"/>
        <bgColor rgb="FF00B14C"/>
      </patternFill>
    </fill>
    <fill>
      <patternFill patternType="solid">
        <fgColor rgb="FFFFCC00"/>
        <bgColor rgb="FFFFFF00"/>
      </patternFill>
    </fill>
    <fill>
      <patternFill patternType="solid">
        <fgColor rgb="FFFFFFCC"/>
        <bgColor rgb="FFF6FDB3"/>
      </patternFill>
    </fill>
    <fill>
      <patternFill patternType="solid">
        <fgColor rgb="FF006AC6"/>
        <bgColor rgb="FF353398"/>
      </patternFill>
    </fill>
    <fill>
      <patternFill patternType="solid">
        <fgColor rgb="FF800080"/>
        <bgColor rgb="FF353398"/>
      </patternFill>
    </fill>
    <fill>
      <patternFill patternType="solid">
        <fgColor rgb="FF31CCCD"/>
        <bgColor rgb="FF7EE9FD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353398"/>
        <bgColor rgb="FF333333"/>
      </patternFill>
    </fill>
    <fill>
      <patternFill patternType="solid">
        <fgColor rgb="FFFF0000"/>
        <bgColor rgb="FFFF6600"/>
      </patternFill>
    </fill>
    <fill>
      <patternFill patternType="solid">
        <fgColor rgb="FF339967"/>
        <bgColor rgb="FF00B14C"/>
      </patternFill>
    </fill>
    <fill>
      <patternFill patternType="solid">
        <fgColor rgb="FFC0C0C0"/>
        <bgColor rgb="FFC8C9DC"/>
      </patternFill>
    </fill>
    <fill>
      <patternFill patternType="solid">
        <fgColor rgb="FFFFFFFF"/>
        <bgColor rgb="FFEFFFFC"/>
      </patternFill>
    </fill>
    <fill>
      <patternFill patternType="solid">
        <fgColor rgb="FF959895"/>
        <bgColor rgb="FF7F7F81"/>
      </patternFill>
    </fill>
    <fill>
      <patternFill patternType="darkGray">
        <fgColor rgb="FFD396FF"/>
        <bgColor rgb="FFFF99CC"/>
      </patternFill>
    </fill>
    <fill>
      <patternFill patternType="solid">
        <fgColor rgb="FFCCB2E5"/>
        <bgColor rgb="FFC0C0C0"/>
      </patternFill>
    </fill>
    <fill>
      <patternFill patternType="solid">
        <fgColor rgb="FFFFCCE5"/>
        <bgColor rgb="FFFFBFBF"/>
      </patternFill>
    </fill>
    <fill>
      <patternFill patternType="darkGray">
        <fgColor rgb="FF959895"/>
        <bgColor rgb="FFACC6E0"/>
      </patternFill>
    </fill>
    <fill>
      <patternFill patternType="solid">
        <fgColor rgb="FF008000"/>
        <bgColor rgb="FF00B14C"/>
      </patternFill>
    </fill>
    <fill>
      <patternFill patternType="darkGray">
        <fgColor rgb="FFEFFFFC"/>
        <bgColor rgb="FFFFFFFF"/>
      </patternFill>
    </fill>
    <fill>
      <patternFill patternType="mediumGray">
        <fgColor rgb="FFEBF1DE"/>
        <bgColor rgb="FFDFEF9F"/>
      </patternFill>
    </fill>
    <fill>
      <patternFill patternType="solid">
        <fgColor rgb="FFCCFFCC"/>
        <bgColor rgb="FFCDFFCD"/>
      </patternFill>
    </fill>
    <fill>
      <patternFill patternType="solid">
        <fgColor rgb="FF77A10F"/>
        <bgColor rgb="FF339967"/>
      </patternFill>
    </fill>
    <fill>
      <patternFill patternType="solid">
        <fgColor rgb="FFDFEF9F"/>
        <bgColor rgb="FFFFE57F"/>
      </patternFill>
    </fill>
    <fill>
      <patternFill patternType="darkGray">
        <fgColor rgb="FFEFFFFC"/>
        <bgColor rgb="FFCCFFFF"/>
      </patternFill>
    </fill>
    <fill>
      <patternFill patternType="solid">
        <fgColor rgb="FFFF9F9F"/>
        <bgColor rgb="FFFF99CC"/>
      </patternFill>
    </fill>
    <fill>
      <patternFill patternType="solid">
        <fgColor rgb="FFFFBFBF"/>
        <bgColor rgb="FFFFCCE5"/>
      </patternFill>
    </fill>
    <fill>
      <patternFill patternType="mediumGray">
        <fgColor rgb="FF7EE9FD"/>
        <bgColor rgb="FF31CCCD"/>
      </patternFill>
    </fill>
    <fill>
      <patternFill patternType="mediumGray">
        <fgColor rgb="FF7EE9FD"/>
        <bgColor rgb="FF99CCFF"/>
      </patternFill>
    </fill>
    <fill>
      <patternFill patternType="darkGray">
        <fgColor rgb="FFC8C9DC"/>
        <bgColor rgb="FFC0C0C0"/>
      </patternFill>
    </fill>
    <fill>
      <patternFill patternType="darkGray">
        <fgColor rgb="FFDCDCDC"/>
        <bgColor rgb="FFDCE6F2"/>
      </patternFill>
    </fill>
    <fill>
      <patternFill patternType="solid">
        <fgColor rgb="FFFFCC7F"/>
        <bgColor rgb="FFFFCC99"/>
      </patternFill>
    </fill>
    <fill>
      <patternFill patternType="solid">
        <fgColor rgb="FFFFE57F"/>
        <bgColor rgb="FFFFCC7F"/>
      </patternFill>
    </fill>
    <fill>
      <patternFill patternType="solid">
        <fgColor rgb="FFFFFF7F"/>
        <bgColor rgb="FFFFFF99"/>
      </patternFill>
    </fill>
    <fill>
      <patternFill patternType="solid">
        <fgColor rgb="FF7F7F81"/>
        <bgColor rgb="FF959895"/>
      </patternFill>
    </fill>
    <fill>
      <patternFill patternType="solid">
        <fgColor rgb="FFDCDCDC"/>
        <bgColor rgb="FFDCE6F2"/>
      </patternFill>
    </fill>
    <fill>
      <patternFill patternType="solid">
        <fgColor rgb="FFDCE6F2"/>
        <bgColor rgb="FFE5E5FF"/>
      </patternFill>
    </fill>
    <fill>
      <patternFill patternType="solid">
        <fgColor rgb="FFEBF1DE"/>
        <bgColor rgb="FFDCE6F2"/>
      </patternFill>
    </fill>
    <fill>
      <patternFill patternType="solid">
        <fgColor rgb="FF99FF99"/>
        <bgColor rgb="FFCCFFCC"/>
      </patternFill>
    </fill>
    <fill>
      <patternFill patternType="solid">
        <fgColor rgb="FFB9CDE5"/>
        <bgColor rgb="FFACC6E0"/>
      </patternFill>
    </fill>
    <fill>
      <patternFill patternType="solid">
        <fgColor rgb="FFF6FDB3"/>
        <bgColor rgb="FFFFFFCC"/>
      </patternFill>
    </fill>
    <fill>
      <patternFill patternType="solid">
        <fgColor rgb="FFFFFF00"/>
        <bgColor rgb="FFFFCC00"/>
      </patternFill>
    </fill>
    <fill>
      <patternFill patternType="solid">
        <fgColor rgb="FFCDFFCD"/>
        <bgColor rgb="FFCCFFCC"/>
      </patternFill>
    </fill>
  </fills>
  <borders count="9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7F7F81"/>
      </left>
      <right style="thin">
        <color rgb="FF7F7F81"/>
      </right>
      <top style="thin">
        <color rgb="FF7F7F81"/>
      </top>
      <bottom style="thin">
        <color rgb="FF7F7F81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medium">
        <color rgb="FF7F7F81"/>
      </left>
      <right style="medium">
        <color rgb="FF7F7F81"/>
      </right>
      <top style="medium">
        <color rgb="FF7F7F81"/>
      </top>
      <bottom style="thin">
        <color rgb="FF7F7F81"/>
      </bottom>
      <diagonal/>
    </border>
    <border diagonalUp="false" diagonalDown="false">
      <left style="dashed">
        <color rgb="FFFF807F"/>
      </left>
      <right style="dashed">
        <color rgb="FFFF807F"/>
      </right>
      <top style="dashed">
        <color rgb="FFFF807F"/>
      </top>
      <bottom style="dashed">
        <color rgb="FFFF807F"/>
      </bottom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>
        <color rgb="FF339967"/>
      </left>
      <right style="dashed">
        <color rgb="FF339967"/>
      </right>
      <top style="dashed">
        <color rgb="FF339967"/>
      </top>
      <bottom style="dashed">
        <color rgb="FF339967"/>
      </bottom>
      <diagonal/>
    </border>
    <border diagonalUp="false" diagonalDown="false">
      <left style="double">
        <color rgb="FFCCFFFF"/>
      </left>
      <right style="double">
        <color rgb="FFCCFFFF"/>
      </right>
      <top style="double">
        <color rgb="FFCCFFFF"/>
      </top>
      <bottom style="double">
        <color rgb="FFCCFFFF"/>
      </bottom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thin">
        <color rgb="FF006AC6"/>
      </left>
      <right style="thin">
        <color rgb="FF006AC6"/>
      </right>
      <top style="thin">
        <color rgb="FF006AC6"/>
      </top>
      <bottom style="thin">
        <color rgb="FF006AC6"/>
      </bottom>
      <diagonal/>
    </border>
    <border diagonalUp="false" diagonalDown="false">
      <left style="thin">
        <color rgb="FF959895"/>
      </left>
      <right style="thin">
        <color rgb="FF959895"/>
      </right>
      <top style="thin">
        <color rgb="FF959895"/>
      </top>
      <bottom style="thin">
        <color rgb="FF959895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>
        <color rgb="FF002668"/>
      </left>
      <right style="thin">
        <color rgb="FF002668"/>
      </right>
      <top style="thin">
        <color rgb="FF002668"/>
      </top>
      <bottom style="thin">
        <color rgb="FF002668"/>
      </bottom>
      <diagonal/>
    </border>
    <border diagonalUp="false" diagonalDown="false">
      <left style="thin">
        <color rgb="FF7F7F81"/>
      </left>
      <right style="thin">
        <color rgb="FF7F7F81"/>
      </right>
      <top style="thin">
        <color rgb="FF7F7F81"/>
      </top>
      <bottom style="thin">
        <color rgb="FF7F7F81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>
        <color rgb="FF353398"/>
      </top>
      <bottom style="double">
        <color rgb="FF353398"/>
      </bottom>
      <diagonal/>
    </border>
    <border diagonalUp="false" diagonalDown="false">
      <left/>
      <right/>
      <top/>
      <bottom style="thick">
        <color rgb="FF353398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AC6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>
        <color rgb="FFFFCC00"/>
      </left>
      <right style="thick">
        <color rgb="FFFFCC00"/>
      </right>
      <top/>
      <bottom style="thick">
        <color rgb="FFFFCC00"/>
      </bottom>
      <diagonal/>
    </border>
    <border diagonalUp="false" diagonalDown="false">
      <left style="thick">
        <color rgb="FF00B14C"/>
      </left>
      <right/>
      <top style="thick">
        <color rgb="FF00B14C"/>
      </top>
      <bottom/>
      <diagonal/>
    </border>
    <border diagonalUp="false" diagonalDown="false">
      <left/>
      <right/>
      <top style="thick">
        <color rgb="FF00B14C"/>
      </top>
      <bottom/>
      <diagonal/>
    </border>
    <border diagonalUp="false" diagonalDown="false">
      <left style="thick">
        <color rgb="FF00B14C"/>
      </left>
      <right/>
      <top style="thick">
        <color rgb="FF00B14C"/>
      </top>
      <bottom style="thick">
        <color rgb="FF00B14C"/>
      </bottom>
      <diagonal/>
    </border>
    <border diagonalUp="false" diagonalDown="false">
      <left/>
      <right style="thick">
        <color rgb="FF00B14C"/>
      </right>
      <top style="thick">
        <color rgb="FF00B14C"/>
      </top>
      <bottom style="thick">
        <color rgb="FF00B14C"/>
      </bottom>
      <diagonal/>
    </border>
    <border diagonalUp="false" diagonalDown="false">
      <left/>
      <right style="thick">
        <color rgb="FF00B14C"/>
      </right>
      <top style="thick">
        <color rgb="FF00B14C"/>
      </top>
      <bottom/>
      <diagonal/>
    </border>
    <border diagonalUp="false" diagonalDown="false">
      <left style="thick">
        <color rgb="FF00B14C"/>
      </left>
      <right/>
      <top/>
      <bottom/>
      <diagonal/>
    </border>
    <border diagonalUp="false" diagonalDown="false">
      <left/>
      <right style="thick">
        <color rgb="FF00B14C"/>
      </right>
      <top/>
      <bottom/>
      <diagonal/>
    </border>
    <border diagonalUp="false" diagonalDown="false">
      <left style="thick">
        <color rgb="FF00B14C"/>
      </left>
      <right style="thin"/>
      <top style="thin"/>
      <bottom/>
      <diagonal/>
    </border>
    <border diagonalUp="false" diagonalDown="false">
      <left style="thick">
        <color rgb="FF00B14C"/>
      </left>
      <right style="thin"/>
      <top/>
      <bottom/>
      <diagonal/>
    </border>
    <border diagonalUp="false" diagonalDown="false">
      <left style="thick">
        <color rgb="FF00B14C"/>
      </left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00B14C"/>
      </left>
      <right/>
      <top/>
      <bottom style="thick">
        <color rgb="FF00B14C"/>
      </bottom>
      <diagonal/>
    </border>
    <border diagonalUp="false" diagonalDown="false">
      <left/>
      <right/>
      <top/>
      <bottom style="thick">
        <color rgb="FF00B14C"/>
      </bottom>
      <diagonal/>
    </border>
    <border diagonalUp="false" diagonalDown="false">
      <left/>
      <right style="thick">
        <color rgb="FF00B14C"/>
      </right>
      <top/>
      <bottom style="thick">
        <color rgb="FF00B14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>
        <color rgb="FF77A10F"/>
      </left>
      <right/>
      <top style="thick">
        <color rgb="FF77A10F"/>
      </top>
      <bottom/>
      <diagonal/>
    </border>
    <border diagonalUp="false" diagonalDown="false">
      <left/>
      <right/>
      <top style="thick">
        <color rgb="FF77A10F"/>
      </top>
      <bottom/>
      <diagonal/>
    </border>
    <border diagonalUp="false" diagonalDown="false">
      <left/>
      <right style="thick">
        <color rgb="FF77A10F"/>
      </right>
      <top style="thick">
        <color rgb="FF77A10F"/>
      </top>
      <bottom/>
      <diagonal/>
    </border>
    <border diagonalUp="false" diagonalDown="false">
      <left style="thick">
        <color rgb="FF77A10F"/>
      </left>
      <right/>
      <top/>
      <bottom/>
      <diagonal/>
    </border>
    <border diagonalUp="false" diagonalDown="false">
      <left style="thick">
        <color rgb="FF77A10F"/>
      </left>
      <right/>
      <top style="thick">
        <color rgb="FF77A10F"/>
      </top>
      <bottom style="thick">
        <color rgb="FF77A10F"/>
      </bottom>
      <diagonal/>
    </border>
    <border diagonalUp="false" diagonalDown="false">
      <left/>
      <right style="thick">
        <color rgb="FF77A10F"/>
      </right>
      <top style="thick">
        <color rgb="FF77A10F"/>
      </top>
      <bottom style="thick">
        <color rgb="FF77A10F"/>
      </bottom>
      <diagonal/>
    </border>
    <border diagonalUp="false" diagonalDown="false">
      <left/>
      <right style="thick">
        <color rgb="FF77A10F"/>
      </right>
      <top/>
      <bottom/>
      <diagonal/>
    </border>
    <border diagonalUp="false" diagonalDown="false">
      <left style="thick">
        <color rgb="FFFFCC00"/>
      </left>
      <right style="thick">
        <color rgb="FFFFCC00"/>
      </right>
      <top style="thick">
        <color rgb="FFFFCC00"/>
      </top>
      <bottom style="thick">
        <color rgb="FFFFCC00"/>
      </bottom>
      <diagonal/>
    </border>
    <border diagonalUp="false" diagonalDown="false">
      <left style="thick">
        <color rgb="FF77A10F"/>
      </left>
      <right style="thick">
        <color rgb="FF77A10F"/>
      </right>
      <top style="thick">
        <color rgb="FF77A10F"/>
      </top>
      <bottom style="thick">
        <color rgb="FF77A10F"/>
      </bottom>
      <diagonal/>
    </border>
    <border diagonalUp="false" diagonalDown="false">
      <left style="thick">
        <color rgb="FF77A10F"/>
      </left>
      <right/>
      <top/>
      <bottom style="thick">
        <color rgb="FF77A10F"/>
      </bottom>
      <diagonal/>
    </border>
    <border diagonalUp="false" diagonalDown="false">
      <left/>
      <right/>
      <top/>
      <bottom style="thick">
        <color rgb="FF77A10F"/>
      </bottom>
      <diagonal/>
    </border>
    <border diagonalUp="false" diagonalDown="false">
      <left/>
      <right style="thick">
        <color rgb="FF77A10F"/>
      </right>
      <top/>
      <bottom style="thick">
        <color rgb="FF77A10F"/>
      </bottom>
      <diagonal/>
    </border>
    <border diagonalUp="false" diagonalDown="false">
      <left style="medium">
        <color rgb="FFFF0000"/>
      </left>
      <right/>
      <top style="medium">
        <color rgb="FFFF0000"/>
      </top>
      <bottom/>
      <diagonal/>
    </border>
    <border diagonalUp="false" diagonalDown="false">
      <left/>
      <right/>
      <top style="medium">
        <color rgb="FFFF0000"/>
      </top>
      <bottom/>
      <diagonal/>
    </border>
    <border diagonalUp="false" diagonalDown="false">
      <left/>
      <right style="medium">
        <color rgb="FFFF0000"/>
      </right>
      <top style="medium">
        <color rgb="FFFF0000"/>
      </top>
      <bottom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medium">
        <color rgb="FFFF0000"/>
      </right>
      <top/>
      <bottom/>
      <diagonal/>
    </border>
    <border diagonalUp="false" diagonalDown="false">
      <left style="medium">
        <color rgb="FFFF0000"/>
      </left>
      <right/>
      <top/>
      <bottom style="medium">
        <color rgb="FFFF0000"/>
      </bottom>
      <diagonal/>
    </border>
    <border diagonalUp="false" diagonalDown="false">
      <left/>
      <right/>
      <top/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 style="thick">
        <color rgb="FF00B14C"/>
      </left>
      <right style="thick">
        <color rgb="FF77A10F"/>
      </right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ck">
        <color rgb="FF00B14C"/>
      </top>
      <bottom style="thick">
        <color rgb="FF00B14C"/>
      </bottom>
      <diagonal/>
    </border>
    <border diagonalUp="false" diagonalDown="false">
      <left style="thick">
        <color rgb="FF00B14C"/>
      </left>
      <right style="thick">
        <color rgb="FF00B14C"/>
      </right>
      <top style="thick">
        <color rgb="FF00B14C"/>
      </top>
      <bottom style="thick">
        <color rgb="FF00B14C"/>
      </bottom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0" fillId="0" borderId="0" applyFont="true" applyBorder="false" applyAlignment="true" applyProtection="false">
      <alignment horizontal="left" vertical="center" textRotation="0" wrapText="false" indent="3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7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1" fillId="6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6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4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7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7" applyFont="true" applyBorder="true" applyAlignment="true" applyProtection="false">
      <alignment horizontal="general" vertical="bottom" textRotation="0" wrapText="false" indent="0" shrinkToFit="false"/>
    </xf>
    <xf numFmtId="164" fontId="0" fillId="13" borderId="7" applyFont="true" applyBorder="true" applyAlignment="true" applyProtection="false">
      <alignment horizontal="general" vertical="bottom" textRotation="0" wrapText="false" indent="0" shrinkToFit="false"/>
    </xf>
    <xf numFmtId="164" fontId="0" fillId="13" borderId="7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5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4" fillId="22" borderId="8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4" fontId="19" fillId="22" borderId="9" applyFont="true" applyBorder="tru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right" vertical="center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22" fillId="23" borderId="9" applyFont="true" applyBorder="true" applyAlignment="true" applyProtection="false">
      <alignment horizontal="general" vertical="bottom" textRotation="0" wrapText="false" indent="0" shrinkToFit="false"/>
    </xf>
    <xf numFmtId="164" fontId="22" fillId="23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20" fillId="22" borderId="9" applyFont="true" applyBorder="true" applyAlignment="true" applyProtection="false">
      <alignment horizontal="general" vertical="bottom" textRotation="0" wrapText="false" indent="0" shrinkToFit="false"/>
    </xf>
    <xf numFmtId="164" fontId="16" fillId="0" borderId="10" applyFont="true" applyBorder="true" applyAlignment="true" applyProtection="false">
      <alignment horizontal="general" vertical="bottom" textRotation="0" wrapText="false" indent="0" shrinkToFit="false"/>
    </xf>
    <xf numFmtId="164" fontId="23" fillId="24" borderId="11" applyFont="true" applyBorder="true" applyAlignment="true" applyProtection="false">
      <alignment horizontal="general" vertical="bottom" textRotation="0" wrapText="false" indent="0" shrinkToFit="false"/>
    </xf>
    <xf numFmtId="164" fontId="24" fillId="24" borderId="11" applyFont="true" applyBorder="true" applyAlignment="true" applyProtection="false">
      <alignment horizontal="general" vertical="bottom" textRotation="0" wrapText="false" indent="0" shrinkToFit="false"/>
    </xf>
    <xf numFmtId="164" fontId="24" fillId="24" borderId="11" applyFont="true" applyBorder="true" applyAlignment="true" applyProtection="false">
      <alignment horizontal="general" vertical="bottom" textRotation="0" wrapText="false" indent="0" shrinkToFit="false"/>
    </xf>
    <xf numFmtId="164" fontId="23" fillId="24" borderId="11" applyFont="true" applyBorder="true" applyAlignment="true" applyProtection="false">
      <alignment horizontal="general" vertical="bottom" textRotation="0" wrapText="false" indent="0" shrinkToFit="false"/>
    </xf>
    <xf numFmtId="164" fontId="25" fillId="22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25" borderId="1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7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6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25" border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9" borderId="1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3" border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1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26" fillId="28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28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28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28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29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29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29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29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0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0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0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0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1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1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1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1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2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2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2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2" border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6" fillId="33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3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3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3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4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4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4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4" border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5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5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5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5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0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0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0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0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6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7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7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7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7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8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8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8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1" fillId="38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9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9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9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39" borderId="1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2" fillId="40" border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2" fillId="40" border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2" fillId="40" border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2" fillId="40" border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41" border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41" border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41" border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41" border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7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12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3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6" fillId="44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8" fillId="6" border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6" border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23" applyFont="true" applyBorder="true" applyAlignment="true" applyProtection="false">
      <alignment horizontal="general" vertical="bottom" textRotation="0" wrapText="false" indent="0" shrinkToFit="false"/>
    </xf>
    <xf numFmtId="164" fontId="0" fillId="10" borderId="23" applyFont="true" applyBorder="true" applyAlignment="true" applyProtection="false">
      <alignment horizontal="general" vertical="bottom" textRotation="0" wrapText="false" indent="0" shrinkToFit="false"/>
    </xf>
    <xf numFmtId="164" fontId="0" fillId="10" borderId="23" applyFont="true" applyBorder="true" applyAlignment="true" applyProtection="false">
      <alignment horizontal="general" vertical="bottom" textRotation="0" wrapText="false" indent="0" shrinkToFit="false"/>
    </xf>
    <xf numFmtId="164" fontId="0" fillId="10" borderId="23" applyFont="true" applyBorder="true" applyAlignment="true" applyProtection="false">
      <alignment horizontal="general" vertical="bottom" textRotation="0" wrapText="false" indent="0" shrinkToFit="false"/>
    </xf>
    <xf numFmtId="164" fontId="0" fillId="10" borderId="23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8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1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7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0" borderId="2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25" applyFont="true" applyBorder="true" applyAlignment="true" applyProtection="true">
      <alignment horizontal="left" vertical="top" textRotation="0" wrapText="true" indent="0" shrinkToFit="false"/>
      <protection locked="true" hidden="false"/>
    </xf>
    <xf numFmtId="173" fontId="35" fillId="0" border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4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5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6" fillId="0" border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8" fillId="7" borderId="27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8" fillId="0" border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16" borderId="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3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7" fillId="9" borderId="9" applyFont="true" applyBorder="true" applyAlignment="true" applyProtection="false">
      <alignment horizontal="general" vertical="bottom" textRotation="0" wrapText="false" indent="0" shrinkToFit="false"/>
    </xf>
    <xf numFmtId="164" fontId="37" fillId="9" borderId="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5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4" fillId="0" borderId="29" applyFont="true" applyBorder="tru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48" fillId="4" borderId="0" applyFont="true" applyBorder="false" applyAlignment="true" applyProtection="false">
      <alignment horizontal="general" vertical="bottom" textRotation="0" wrapText="false" indent="0" shrinkToFit="false"/>
    </xf>
    <xf numFmtId="164" fontId="48" fillId="4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49" fillId="0" borderId="30" applyFont="true" applyBorder="true" applyAlignment="true" applyProtection="false">
      <alignment horizontal="general" vertical="bottom" textRotation="0" wrapText="false" indent="0" shrinkToFit="false"/>
    </xf>
    <xf numFmtId="164" fontId="50" fillId="0" borderId="30" applyFont="true" applyBorder="true" applyAlignment="true" applyProtection="false">
      <alignment horizontal="general" vertical="bottom" textRotation="0" wrapText="false" indent="0" shrinkToFit="false"/>
    </xf>
    <xf numFmtId="164" fontId="50" fillId="0" borderId="30" applyFont="true" applyBorder="true" applyAlignment="true" applyProtection="false">
      <alignment horizontal="general" vertical="bottom" textRotation="0" wrapText="false" indent="0" shrinkToFit="false"/>
    </xf>
    <xf numFmtId="164" fontId="49" fillId="0" borderId="30" applyFont="true" applyBorder="true" applyAlignment="true" applyProtection="false">
      <alignment horizontal="general" vertical="bottom" textRotation="0" wrapText="false" indent="0" shrinkToFit="false"/>
    </xf>
    <xf numFmtId="164" fontId="51" fillId="0" borderId="31" applyFont="true" applyBorder="true" applyAlignment="true" applyProtection="false">
      <alignment horizontal="general" vertical="bottom" textRotation="0" wrapText="false" indent="0" shrinkToFit="false"/>
    </xf>
    <xf numFmtId="164" fontId="52" fillId="0" borderId="31" applyFont="true" applyBorder="true" applyAlignment="true" applyProtection="false">
      <alignment horizontal="general" vertical="bottom" textRotation="0" wrapText="false" indent="0" shrinkToFit="false"/>
    </xf>
    <xf numFmtId="164" fontId="52" fillId="0" borderId="31" applyFont="true" applyBorder="true" applyAlignment="true" applyProtection="false">
      <alignment horizontal="general" vertical="bottom" textRotation="0" wrapText="false" indent="0" shrinkToFit="false"/>
    </xf>
    <xf numFmtId="164" fontId="51" fillId="0" borderId="31" applyFont="true" applyBorder="true" applyAlignment="true" applyProtection="false">
      <alignment horizontal="general" vertical="bottom" textRotation="0" wrapText="false" indent="0" shrinkToFit="false"/>
    </xf>
    <xf numFmtId="164" fontId="53" fillId="0" borderId="32" applyFont="true" applyBorder="true" applyAlignment="true" applyProtection="false">
      <alignment horizontal="general" vertical="bottom" textRotation="0" wrapText="false" indent="0" shrinkToFit="false"/>
    </xf>
    <xf numFmtId="164" fontId="54" fillId="0" borderId="32" applyFont="true" applyBorder="true" applyAlignment="true" applyProtection="false">
      <alignment horizontal="general" vertical="bottom" textRotation="0" wrapText="false" indent="0" shrinkToFit="false"/>
    </xf>
    <xf numFmtId="164" fontId="54" fillId="0" borderId="32" applyFont="true" applyBorder="true" applyAlignment="true" applyProtection="false">
      <alignment horizontal="general" vertical="bottom" textRotation="0" wrapText="false" indent="0" shrinkToFit="false"/>
    </xf>
    <xf numFmtId="164" fontId="53" fillId="0" borderId="32" applyFont="true" applyBorder="true" applyAlignment="true" applyProtection="false">
      <alignment horizontal="general" vertical="bottom" textRotation="0" wrapText="false" indent="0" shrinkToFit="false"/>
    </xf>
    <xf numFmtId="164" fontId="53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0" borderId="0" applyFont="true" applyBorder="false" applyAlignment="true" applyProtection="false">
      <alignment horizontal="general" vertical="bottom" textRotation="0" wrapText="false" indent="0" shrinkToFit="false"/>
    </xf>
    <xf numFmtId="164" fontId="55" fillId="0" borderId="0" applyFont="true" applyBorder="false" applyAlignment="true" applyProtection="false">
      <alignment horizontal="general" vertical="bottom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37" fillId="7" borderId="9" applyFont="true" applyBorder="true" applyAlignment="true" applyProtection="false">
      <alignment horizontal="general" vertical="bottom" textRotation="0" wrapText="false" indent="0" shrinkToFit="false"/>
    </xf>
    <xf numFmtId="164" fontId="43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9" fillId="7" borderId="9" applyFont="true" applyBorder="true" applyAlignment="true" applyProtection="false">
      <alignment horizontal="general" vertical="bottom" textRotation="0" wrapText="false" indent="0" shrinkToFit="false"/>
    </xf>
    <xf numFmtId="164" fontId="38" fillId="7" borderId="27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5" borderId="0" applyFont="true" applyBorder="false" applyAlignment="true" applyProtection="false">
      <alignment horizontal="general" vertical="bottom" textRotation="0" wrapText="false" indent="0" shrinkToFit="false"/>
    </xf>
    <xf numFmtId="179" fontId="57" fillId="4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3" fillId="24" borderId="11" applyFont="true" applyBorder="true" applyAlignment="true" applyProtection="false">
      <alignment horizontal="general" vertical="bottom" textRotation="0" wrapText="false" indent="0" shrinkToFit="false"/>
    </xf>
    <xf numFmtId="164" fontId="8" fillId="4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9" fillId="23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5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34" applyFont="true" applyBorder="true" applyAlignment="true" applyProtection="false">
      <alignment horizontal="general" vertical="bottom" textRotation="0" wrapText="false" indent="0" shrinkToFit="false"/>
    </xf>
    <xf numFmtId="164" fontId="60" fillId="0" borderId="34" applyFont="true" applyBorder="true" applyAlignment="true" applyProtection="false">
      <alignment horizontal="general" vertical="bottom" textRotation="0" wrapText="false" indent="0" shrinkToFit="false"/>
    </xf>
    <xf numFmtId="164" fontId="61" fillId="0" borderId="34" applyFont="true" applyBorder="true" applyAlignment="true" applyProtection="false">
      <alignment horizontal="general" vertical="bottom" textRotation="0" wrapText="false" indent="0" shrinkToFit="false"/>
    </xf>
    <xf numFmtId="164" fontId="61" fillId="0" borderId="34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2" fillId="10" borderId="0" applyFont="true" applyBorder="false" applyAlignment="true" applyProtection="false">
      <alignment horizontal="general" vertical="bottom" textRotation="0" wrapText="false" indent="0" shrinkToFit="false"/>
    </xf>
    <xf numFmtId="164" fontId="63" fillId="10" borderId="0" applyFont="true" applyBorder="false" applyAlignment="true" applyProtection="false">
      <alignment horizontal="general" vertical="bottom" textRotation="0" wrapText="false" indent="0" shrinkToFit="false"/>
    </xf>
    <xf numFmtId="164" fontId="63" fillId="10" borderId="0" applyFont="true" applyBorder="false" applyAlignment="true" applyProtection="false">
      <alignment horizontal="general" vertical="bottom" textRotation="0" wrapText="false" indent="0" shrinkToFit="false"/>
    </xf>
    <xf numFmtId="164" fontId="64" fillId="13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5" fontId="11" fillId="0" borderId="0" applyFont="true" applyBorder="false" applyAlignment="true" applyProtection="false">
      <alignment horizontal="righ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</cellStyleXfs>
  <cellXfs count="3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6" fillId="47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7" fillId="4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47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8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42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92" fontId="8" fillId="0" borderId="4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6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06" fillId="47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6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106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8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47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7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94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4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6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49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2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8" fillId="0" borderId="5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7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47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5" fillId="47" borderId="4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4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6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7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108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65" fillId="0" borderId="4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06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4" fontId="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47" borderId="4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8" fillId="0" borderId="4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4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2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2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2" fontId="6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5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5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5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6" fillId="4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1" fillId="51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12" fillId="51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3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7" fillId="51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6" fillId="4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1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2" fillId="1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3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3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3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23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42" fillId="23" borderId="7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42" fillId="23" borderId="7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4" fillId="49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4" fillId="4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5" fillId="4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14" fillId="49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2" fontId="114" fillId="49" borderId="4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6" fillId="49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6" fillId="4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6" fillId="4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6" fillId="4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4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9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1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1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1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51" borderId="7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1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7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7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9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2" fontId="117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8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1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7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5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4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1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1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8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51" borderId="8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1" borderId="8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8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8" fillId="4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9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8" fillId="4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9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8" fillId="4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118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9" borderId="6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1" borderId="8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4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0" fillId="51" borderId="7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4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49" borderId="6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49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49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49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49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49" borderId="7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49" borderId="7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49" borderId="7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46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49" borderId="6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6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9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0" fillId="46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1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1" borderId="8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1" borderId="8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51" borderId="8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1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8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8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8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0" fillId="51" borderId="7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51" borderId="7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9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9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9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7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9" borderId="7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2" fontId="0" fillId="49" borderId="5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8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49" borderId="6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0" fillId="51" borderId="8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1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50" borderId="7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0" borderId="7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8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9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9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8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4" fontId="8" fillId="0" borderId="88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4" fontId="8" fillId="0" borderId="89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4" fontId="0" fillId="0" borderId="9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9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8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5" fillId="5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3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53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0" fillId="49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1" fillId="49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42" fillId="51" borderId="7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3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5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42" fillId="51" borderId="8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5" fillId="53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53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2" fillId="51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0" fillId="5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42" fillId="5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53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00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 % - Akzent1" xfId="21" builtinId="53" customBuiltin="true"/>
    <cellStyle name="20 % - Akzent1 2" xfId="22" builtinId="53" customBuiltin="true"/>
    <cellStyle name="20 % - Akzent1 3" xfId="23" builtinId="53" customBuiltin="true"/>
    <cellStyle name="20 % - Akzent2" xfId="24" builtinId="53" customBuiltin="true"/>
    <cellStyle name="20 % - Akzent2 2" xfId="25" builtinId="53" customBuiltin="true"/>
    <cellStyle name="20 % - Akzent2 3" xfId="26" builtinId="53" customBuiltin="true"/>
    <cellStyle name="20 % - Akzent3" xfId="27" builtinId="53" customBuiltin="true"/>
    <cellStyle name="20 % - Akzent3 2" xfId="28" builtinId="53" customBuiltin="true"/>
    <cellStyle name="20 % - Akzent3 3" xfId="29" builtinId="53" customBuiltin="true"/>
    <cellStyle name="20 % - Akzent4" xfId="30" builtinId="53" customBuiltin="true"/>
    <cellStyle name="20 % - Akzent4 2" xfId="31" builtinId="53" customBuiltin="true"/>
    <cellStyle name="20 % - Akzent4 3" xfId="32" builtinId="53" customBuiltin="true"/>
    <cellStyle name="20 % - Akzent5" xfId="33" builtinId="53" customBuiltin="true"/>
    <cellStyle name="20 % - Akzent5 2" xfId="34" builtinId="53" customBuiltin="true"/>
    <cellStyle name="20 % - Akzent5 3" xfId="35" builtinId="53" customBuiltin="true"/>
    <cellStyle name="20 % - Akzent6" xfId="36" builtinId="53" customBuiltin="true"/>
    <cellStyle name="20 % - Akzent6 2" xfId="37" builtinId="53" customBuiltin="true"/>
    <cellStyle name="20 % - Akzent6 3" xfId="38" builtinId="53" customBuiltin="true"/>
    <cellStyle name="20% - Accent1 2" xfId="39" builtinId="53" customBuiltin="true"/>
    <cellStyle name="20% - Accent1 3" xfId="40" builtinId="53" customBuiltin="true"/>
    <cellStyle name="20% - Accent2 2" xfId="41" builtinId="53" customBuiltin="true"/>
    <cellStyle name="20% - Accent2 3" xfId="42" builtinId="53" customBuiltin="true"/>
    <cellStyle name="20% - Accent3 2" xfId="43" builtinId="53" customBuiltin="true"/>
    <cellStyle name="20% - Accent3 3" xfId="44" builtinId="53" customBuiltin="true"/>
    <cellStyle name="20% - Accent4 2" xfId="45" builtinId="53" customBuiltin="true"/>
    <cellStyle name="20% - Accent4 3" xfId="46" builtinId="53" customBuiltin="true"/>
    <cellStyle name="20% - Accent5 2" xfId="47" builtinId="53" customBuiltin="true"/>
    <cellStyle name="20% - Accent5 3" xfId="48" builtinId="53" customBuiltin="true"/>
    <cellStyle name="20% - Accent6 2" xfId="49" builtinId="53" customBuiltin="true"/>
    <cellStyle name="20% - Accent6 3" xfId="50" builtinId="53" customBuiltin="true"/>
    <cellStyle name="20% - Akzent1" xfId="51" builtinId="53" customBuiltin="true"/>
    <cellStyle name="20% - Akzent2" xfId="52" builtinId="53" customBuiltin="true"/>
    <cellStyle name="20% - Akzent3" xfId="53" builtinId="53" customBuiltin="true"/>
    <cellStyle name="20% - Akzent4" xfId="54" builtinId="53" customBuiltin="true"/>
    <cellStyle name="20% - Akzent5" xfId="55" builtinId="53" customBuiltin="true"/>
    <cellStyle name="20% - Akzent6" xfId="56" builtinId="53" customBuiltin="true"/>
    <cellStyle name="20% - Dekorfärg1" xfId="57" builtinId="53" customBuiltin="true"/>
    <cellStyle name="20% - Dekorfärg2" xfId="58" builtinId="53" customBuiltin="true"/>
    <cellStyle name="20% - Dekorfärg3" xfId="59" builtinId="53" customBuiltin="true"/>
    <cellStyle name="20% - Dekorfärg4" xfId="60" builtinId="53" customBuiltin="true"/>
    <cellStyle name="20% - Dekorfärg5" xfId="61" builtinId="53" customBuiltin="true"/>
    <cellStyle name="20% - Dekorfärg6" xfId="62" builtinId="53" customBuiltin="true"/>
    <cellStyle name="20 % - Accent1 2" xfId="63" builtinId="53" customBuiltin="true"/>
    <cellStyle name="20 % - Accent2 2" xfId="64" builtinId="53" customBuiltin="true"/>
    <cellStyle name="20 % - Accent3 2" xfId="65" builtinId="53" customBuiltin="true"/>
    <cellStyle name="20 % - Accent4 2" xfId="66" builtinId="53" customBuiltin="true"/>
    <cellStyle name="20 % - Accent5 2" xfId="67" builtinId="53" customBuiltin="true"/>
    <cellStyle name="20 % - Accent6 2" xfId="68" builtinId="53" customBuiltin="true"/>
    <cellStyle name="2x indented GHG Textfiels" xfId="69" builtinId="53" customBuiltin="true"/>
    <cellStyle name="2x indented GHG Textfiels 2" xfId="70" builtinId="53" customBuiltin="true"/>
    <cellStyle name="2x indented GHG Textfiels 2 2" xfId="71" builtinId="53" customBuiltin="true"/>
    <cellStyle name="2x indented GHG Textfiels 2 3" xfId="72" builtinId="53" customBuiltin="true"/>
    <cellStyle name="2x indented GHG Textfiels 2 4" xfId="73" builtinId="53" customBuiltin="true"/>
    <cellStyle name="2x indented GHG Textfiels 3" xfId="74" builtinId="53" customBuiltin="true"/>
    <cellStyle name="2x indented GHG Textfiels 3 2" xfId="75" builtinId="53" customBuiltin="true"/>
    <cellStyle name="2x indented GHG Textfiels 3 2 2" xfId="76" builtinId="53" customBuiltin="true"/>
    <cellStyle name="2x indented GHG Textfiels 3 2 2 2" xfId="77" builtinId="53" customBuiltin="true"/>
    <cellStyle name="2x indented GHG Textfiels 3 2 2 2 2" xfId="78" builtinId="53" customBuiltin="true"/>
    <cellStyle name="2x indented GHG Textfiels 3 2 2 3" xfId="79" builtinId="53" customBuiltin="true"/>
    <cellStyle name="2x indented GHG Textfiels 3 2 3" xfId="80" builtinId="53" customBuiltin="true"/>
    <cellStyle name="2x indented GHG Textfiels 3 2 3 2" xfId="81" builtinId="53" customBuiltin="true"/>
    <cellStyle name="2x indented GHG Textfiels 3 2 4" xfId="82" builtinId="53" customBuiltin="true"/>
    <cellStyle name="2x indented GHG Textfiels 3 3" xfId="83" builtinId="53" customBuiltin="true"/>
    <cellStyle name="2x indented GHG Textfiels 3 3 2" xfId="84" builtinId="53" customBuiltin="true"/>
    <cellStyle name="2x indented GHG Textfiels 3 3 2 2" xfId="85" builtinId="53" customBuiltin="true"/>
    <cellStyle name="2x indented GHG Textfiels 3 3 2 2 2" xfId="86" builtinId="53" customBuiltin="true"/>
    <cellStyle name="2x indented GHG Textfiels 3 3 2 3" xfId="87" builtinId="53" customBuiltin="true"/>
    <cellStyle name="2x indented GHG Textfiels 3 3 3" xfId="88" builtinId="53" customBuiltin="true"/>
    <cellStyle name="2x indented GHG Textfiels 3 3 3 2" xfId="89" builtinId="53" customBuiltin="true"/>
    <cellStyle name="2x indented GHG Textfiels 3 3 3 2 2" xfId="90" builtinId="53" customBuiltin="true"/>
    <cellStyle name="2x indented GHG Textfiels 3 3 3 3" xfId="91" builtinId="53" customBuiltin="true"/>
    <cellStyle name="2x indented GHG Textfiels 3 3 4" xfId="92" builtinId="53" customBuiltin="true"/>
    <cellStyle name="2x indented GHG Textfiels 3 3 4 2" xfId="93" builtinId="53" customBuiltin="true"/>
    <cellStyle name="2x indented GHG Textfiels 3 3 4 2 2" xfId="94" builtinId="53" customBuiltin="true"/>
    <cellStyle name="2x indented GHG Textfiels 3 3 4 3" xfId="95" builtinId="53" customBuiltin="true"/>
    <cellStyle name="2x indented GHG Textfiels 3 3 5" xfId="96" builtinId="53" customBuiltin="true"/>
    <cellStyle name="2x indented GHG Textfiels 3 3 5 2" xfId="97" builtinId="53" customBuiltin="true"/>
    <cellStyle name="2x indented GHG Textfiels 3 3 6" xfId="98" builtinId="53" customBuiltin="true"/>
    <cellStyle name="2x indented GHG Textfiels 3 4" xfId="99" builtinId="53" customBuiltin="true"/>
    <cellStyle name="2x indented GHG Textfiels 3 4 2" xfId="100" builtinId="53" customBuiltin="true"/>
    <cellStyle name="2x indented GHG Textfiels 3 5" xfId="101" builtinId="53" customBuiltin="true"/>
    <cellStyle name="2x indented GHG Textfiels 4" xfId="102" builtinId="53" customBuiltin="true"/>
    <cellStyle name="2x indented GHG Textfiels 5" xfId="103" builtinId="53" customBuiltin="true"/>
    <cellStyle name="2x indented GHG Textfiels 6" xfId="104" builtinId="53" customBuiltin="true"/>
    <cellStyle name="40 % - Akzent1" xfId="105" builtinId="53" customBuiltin="true"/>
    <cellStyle name="40 % - Akzent1 2" xfId="106" builtinId="53" customBuiltin="true"/>
    <cellStyle name="40 % - Akzent1 3" xfId="107" builtinId="53" customBuiltin="true"/>
    <cellStyle name="40 % - Akzent2" xfId="108" builtinId="53" customBuiltin="true"/>
    <cellStyle name="40 % - Akzent2 2" xfId="109" builtinId="53" customBuiltin="true"/>
    <cellStyle name="40 % - Akzent2 3" xfId="110" builtinId="53" customBuiltin="true"/>
    <cellStyle name="40 % - Akzent3" xfId="111" builtinId="53" customBuiltin="true"/>
    <cellStyle name="40 % - Akzent3 2" xfId="112" builtinId="53" customBuiltin="true"/>
    <cellStyle name="40 % - Akzent3 3" xfId="113" builtinId="53" customBuiltin="true"/>
    <cellStyle name="40 % - Akzent4" xfId="114" builtinId="53" customBuiltin="true"/>
    <cellStyle name="40 % - Akzent4 2" xfId="115" builtinId="53" customBuiltin="true"/>
    <cellStyle name="40 % - Akzent4 3" xfId="116" builtinId="53" customBuiltin="true"/>
    <cellStyle name="40 % - Akzent5" xfId="117" builtinId="53" customBuiltin="true"/>
    <cellStyle name="40 % - Akzent5 2" xfId="118" builtinId="53" customBuiltin="true"/>
    <cellStyle name="40 % - Akzent5 3" xfId="119" builtinId="53" customBuiltin="true"/>
    <cellStyle name="40 % - Akzent6" xfId="120" builtinId="53" customBuiltin="true"/>
    <cellStyle name="40 % - Akzent6 2" xfId="121" builtinId="53" customBuiltin="true"/>
    <cellStyle name="40 % - Akzent6 3" xfId="122" builtinId="53" customBuiltin="true"/>
    <cellStyle name="40% - Accent1 2" xfId="123" builtinId="53" customBuiltin="true"/>
    <cellStyle name="40% - Accent1 3" xfId="124" builtinId="53" customBuiltin="true"/>
    <cellStyle name="40% - Accent2 2" xfId="125" builtinId="53" customBuiltin="true"/>
    <cellStyle name="40% - Accent2 3" xfId="126" builtinId="53" customBuiltin="true"/>
    <cellStyle name="40% - Accent3 2" xfId="127" builtinId="53" customBuiltin="true"/>
    <cellStyle name="40% - Accent3 3" xfId="128" builtinId="53" customBuiltin="true"/>
    <cellStyle name="40% - Accent4 2" xfId="129" builtinId="53" customBuiltin="true"/>
    <cellStyle name="40% - Accent4 3" xfId="130" builtinId="53" customBuiltin="true"/>
    <cellStyle name="40% - Accent5 2" xfId="131" builtinId="53" customBuiltin="true"/>
    <cellStyle name="40% - Accent5 3" xfId="132" builtinId="53" customBuiltin="true"/>
    <cellStyle name="40% - Accent6 2" xfId="133" builtinId="53" customBuiltin="true"/>
    <cellStyle name="40% - Accent6 3" xfId="134" builtinId="53" customBuiltin="true"/>
    <cellStyle name="40% - Akzent1" xfId="135" builtinId="53" customBuiltin="true"/>
    <cellStyle name="40% - Akzent2" xfId="136" builtinId="53" customBuiltin="true"/>
    <cellStyle name="40% - Akzent3" xfId="137" builtinId="53" customBuiltin="true"/>
    <cellStyle name="40% - Akzent4" xfId="138" builtinId="53" customBuiltin="true"/>
    <cellStyle name="40% - Akzent5" xfId="139" builtinId="53" customBuiltin="true"/>
    <cellStyle name="40% - Akzent6" xfId="140" builtinId="53" customBuiltin="true"/>
    <cellStyle name="40% - Dekorfärg1" xfId="141" builtinId="53" customBuiltin="true"/>
    <cellStyle name="40% - Dekorfärg2" xfId="142" builtinId="53" customBuiltin="true"/>
    <cellStyle name="40% - Dekorfärg3" xfId="143" builtinId="53" customBuiltin="true"/>
    <cellStyle name="40% - Dekorfärg4" xfId="144" builtinId="53" customBuiltin="true"/>
    <cellStyle name="40% - Dekorfärg5" xfId="145" builtinId="53" customBuiltin="true"/>
    <cellStyle name="40% - Dekorfärg6" xfId="146" builtinId="53" customBuiltin="true"/>
    <cellStyle name="40 % - Accent1 2" xfId="147" builtinId="53" customBuiltin="true"/>
    <cellStyle name="40 % - Accent2 2" xfId="148" builtinId="53" customBuiltin="true"/>
    <cellStyle name="40 % - Accent3 2" xfId="149" builtinId="53" customBuiltin="true"/>
    <cellStyle name="40 % - Accent4 2" xfId="150" builtinId="53" customBuiltin="true"/>
    <cellStyle name="40 % - Accent5 2" xfId="151" builtinId="53" customBuiltin="true"/>
    <cellStyle name="40 % - Accent6 2" xfId="152" builtinId="53" customBuiltin="true"/>
    <cellStyle name="5x indented GHG Textfiels" xfId="153" builtinId="53" customBuiltin="true"/>
    <cellStyle name="5x indented GHG Textfiels 2" xfId="154" builtinId="53" customBuiltin="true"/>
    <cellStyle name="5x indented GHG Textfiels 2 2" xfId="155" builtinId="53" customBuiltin="true"/>
    <cellStyle name="5x indented GHG Textfiels 2 3" xfId="156" builtinId="53" customBuiltin="true"/>
    <cellStyle name="5x indented GHG Textfiels 2 4" xfId="157" builtinId="53" customBuiltin="true"/>
    <cellStyle name="5x indented GHG Textfiels 3" xfId="158" builtinId="53" customBuiltin="true"/>
    <cellStyle name="5x indented GHG Textfiels 3 2" xfId="159" builtinId="53" customBuiltin="true"/>
    <cellStyle name="5x indented GHG Textfiels 3 2 2" xfId="160" builtinId="53" customBuiltin="true"/>
    <cellStyle name="5x indented GHG Textfiels 3 2 2 2" xfId="161" builtinId="53" customBuiltin="true"/>
    <cellStyle name="5x indented GHG Textfiels 3 2 3" xfId="162" builtinId="53" customBuiltin="true"/>
    <cellStyle name="5x indented GHG Textfiels 3 2 4" xfId="163" builtinId="53" customBuiltin="true"/>
    <cellStyle name="5x indented GHG Textfiels 3 3" xfId="164" builtinId="53" customBuiltin="true"/>
    <cellStyle name="5x indented GHG Textfiels 3 3 2" xfId="165" builtinId="53" customBuiltin="true"/>
    <cellStyle name="5x indented GHG Textfiels 3 3 2 2" xfId="166" builtinId="53" customBuiltin="true"/>
    <cellStyle name="5x indented GHG Textfiels 3 3 2 2 2" xfId="167" builtinId="53" customBuiltin="true"/>
    <cellStyle name="5x indented GHG Textfiels 3 3 2 3" xfId="168" builtinId="53" customBuiltin="true"/>
    <cellStyle name="5x indented GHG Textfiels 3 3 2 4" xfId="169" builtinId="53" customBuiltin="true"/>
    <cellStyle name="5x indented GHG Textfiels 3 3 3" xfId="170" builtinId="53" customBuiltin="true"/>
    <cellStyle name="5x indented GHG Textfiels 3 3 3 2" xfId="171" builtinId="53" customBuiltin="true"/>
    <cellStyle name="5x indented GHG Textfiels 3 3 3 2 2" xfId="172" builtinId="53" customBuiltin="true"/>
    <cellStyle name="5x indented GHG Textfiels 3 3 3 3" xfId="173" builtinId="53" customBuiltin="true"/>
    <cellStyle name="5x indented GHG Textfiels 3 3 3 4" xfId="174" builtinId="53" customBuiltin="true"/>
    <cellStyle name="5x indented GHG Textfiels 3 3 4" xfId="175" builtinId="53" customBuiltin="true"/>
    <cellStyle name="5x indented GHG Textfiels 3 3 4 2" xfId="176" builtinId="53" customBuiltin="true"/>
    <cellStyle name="5x indented GHG Textfiels 3 3 4 2 2" xfId="177" builtinId="53" customBuiltin="true"/>
    <cellStyle name="5x indented GHG Textfiels 3 3 4 3" xfId="178" builtinId="53" customBuiltin="true"/>
    <cellStyle name="5x indented GHG Textfiels 3 3 4 4" xfId="179" builtinId="53" customBuiltin="true"/>
    <cellStyle name="5x indented GHG Textfiels 3 3 5" xfId="180" builtinId="53" customBuiltin="true"/>
    <cellStyle name="5x indented GHG Textfiels 3 3 5 2" xfId="181" builtinId="53" customBuiltin="true"/>
    <cellStyle name="5x indented GHG Textfiels 3 3 6" xfId="182" builtinId="53" customBuiltin="true"/>
    <cellStyle name="5x indented GHG Textfiels 3 3 7" xfId="183" builtinId="53" customBuiltin="true"/>
    <cellStyle name="5x indented GHG Textfiels 3 4" xfId="184" builtinId="53" customBuiltin="true"/>
    <cellStyle name="5x indented GHG Textfiels 3 4 2" xfId="185" builtinId="53" customBuiltin="true"/>
    <cellStyle name="5x indented GHG Textfiels 3 5" xfId="186" builtinId="53" customBuiltin="true"/>
    <cellStyle name="5x indented GHG Textfiels 3 6" xfId="187" builtinId="53" customBuiltin="true"/>
    <cellStyle name="5x indented GHG Textfiels 4" xfId="188" builtinId="53" customBuiltin="true"/>
    <cellStyle name="5x indented GHG Textfiels 5" xfId="189" builtinId="53" customBuiltin="true"/>
    <cellStyle name="5x indented GHG Textfiels 6" xfId="190" builtinId="53" customBuiltin="true"/>
    <cellStyle name="5x indented GHG Textfiels 7" xfId="191" builtinId="53" customBuiltin="true"/>
    <cellStyle name="5x indented GHG Textfiels_Table 4(II)" xfId="192" builtinId="53" customBuiltin="true"/>
    <cellStyle name="60 % - Akzent1" xfId="193" builtinId="53" customBuiltin="true"/>
    <cellStyle name="60 % - Akzent1 2" xfId="194" builtinId="53" customBuiltin="true"/>
    <cellStyle name="60 % - Akzent1 3" xfId="195" builtinId="53" customBuiltin="true"/>
    <cellStyle name="60 % - Akzent2" xfId="196" builtinId="53" customBuiltin="true"/>
    <cellStyle name="60 % - Akzent2 2" xfId="197" builtinId="53" customBuiltin="true"/>
    <cellStyle name="60 % - Akzent2 3" xfId="198" builtinId="53" customBuiltin="true"/>
    <cellStyle name="60 % - Akzent3" xfId="199" builtinId="53" customBuiltin="true"/>
    <cellStyle name="60 % - Akzent3 2" xfId="200" builtinId="53" customBuiltin="true"/>
    <cellStyle name="60 % - Akzent3 3" xfId="201" builtinId="53" customBuiltin="true"/>
    <cellStyle name="60 % - Akzent4" xfId="202" builtinId="53" customBuiltin="true"/>
    <cellStyle name="60 % - Akzent4 2" xfId="203" builtinId="53" customBuiltin="true"/>
    <cellStyle name="60 % - Akzent4 3" xfId="204" builtinId="53" customBuiltin="true"/>
    <cellStyle name="60 % - Akzent5" xfId="205" builtinId="53" customBuiltin="true"/>
    <cellStyle name="60 % - Akzent5 2" xfId="206" builtinId="53" customBuiltin="true"/>
    <cellStyle name="60 % - Akzent5 3" xfId="207" builtinId="53" customBuiltin="true"/>
    <cellStyle name="60 % - Akzent6" xfId="208" builtinId="53" customBuiltin="true"/>
    <cellStyle name="60 % - Akzent6 2" xfId="209" builtinId="53" customBuiltin="true"/>
    <cellStyle name="60 % - Akzent6 3" xfId="210" builtinId="53" customBuiltin="true"/>
    <cellStyle name="60% - Accent1 2" xfId="211" builtinId="53" customBuiltin="true"/>
    <cellStyle name="60% - Accent1 3" xfId="212" builtinId="53" customBuiltin="true"/>
    <cellStyle name="60% - Accent2 2" xfId="213" builtinId="53" customBuiltin="true"/>
    <cellStyle name="60% - Accent2 3" xfId="214" builtinId="53" customBuiltin="true"/>
    <cellStyle name="60% - Accent3 2" xfId="215" builtinId="53" customBuiltin="true"/>
    <cellStyle name="60% - Accent3 3" xfId="216" builtinId="53" customBuiltin="true"/>
    <cellStyle name="60% - Accent4 2" xfId="217" builtinId="53" customBuiltin="true"/>
    <cellStyle name="60% - Accent4 3" xfId="218" builtinId="53" customBuiltin="true"/>
    <cellStyle name="60% - Accent5 2" xfId="219" builtinId="53" customBuiltin="true"/>
    <cellStyle name="60% - Accent5 3" xfId="220" builtinId="53" customBuiltin="true"/>
    <cellStyle name="60% - Accent6 2" xfId="221" builtinId="53" customBuiltin="true"/>
    <cellStyle name="60% - Accent6 3" xfId="222" builtinId="53" customBuiltin="true"/>
    <cellStyle name="60% - Akzent1" xfId="223" builtinId="53" customBuiltin="true"/>
    <cellStyle name="60% - Akzent2" xfId="224" builtinId="53" customBuiltin="true"/>
    <cellStyle name="60% - Akzent3" xfId="225" builtinId="53" customBuiltin="true"/>
    <cellStyle name="60% - Akzent4" xfId="226" builtinId="53" customBuiltin="true"/>
    <cellStyle name="60% - Akzent5" xfId="227" builtinId="53" customBuiltin="true"/>
    <cellStyle name="60% - Akzent6" xfId="228" builtinId="53" customBuiltin="true"/>
    <cellStyle name="60% - Dekorfärg1" xfId="229" builtinId="53" customBuiltin="true"/>
    <cellStyle name="60% - Dekorfärg2" xfId="230" builtinId="53" customBuiltin="true"/>
    <cellStyle name="60% - Dekorfärg3" xfId="231" builtinId="53" customBuiltin="true"/>
    <cellStyle name="60% - Dekorfärg4" xfId="232" builtinId="53" customBuiltin="true"/>
    <cellStyle name="60% - Dekorfärg5" xfId="233" builtinId="53" customBuiltin="true"/>
    <cellStyle name="60% - Dekorfärg6" xfId="234" builtinId="53" customBuiltin="true"/>
    <cellStyle name="60 % - Accent1 2" xfId="235" builtinId="53" customBuiltin="true"/>
    <cellStyle name="60 % - Accent2 2" xfId="236" builtinId="53" customBuiltin="true"/>
    <cellStyle name="60 % - Accent3 2" xfId="237" builtinId="53" customBuiltin="true"/>
    <cellStyle name="60 % - Accent4 2" xfId="238" builtinId="53" customBuiltin="true"/>
    <cellStyle name="60 % - Accent5 2" xfId="239" builtinId="53" customBuiltin="true"/>
    <cellStyle name="60 % - Accent6 2" xfId="240" builtinId="53" customBuiltin="true"/>
    <cellStyle name="=C:\WINNT35\SYSTEM32\COMMAND.COM" xfId="241" builtinId="53" customBuiltin="true"/>
    <cellStyle name="???????????" xfId="242" builtinId="53" customBuiltin="true"/>
    <cellStyle name="Accent1 2" xfId="243" builtinId="53" customBuiltin="true"/>
    <cellStyle name="Accent1 3" xfId="244" builtinId="53" customBuiltin="true"/>
    <cellStyle name="Accent1 4" xfId="245" builtinId="53" customBuiltin="true"/>
    <cellStyle name="Accent2 2" xfId="246" builtinId="53" customBuiltin="true"/>
    <cellStyle name="Accent2 3" xfId="247" builtinId="53" customBuiltin="true"/>
    <cellStyle name="Accent2 4" xfId="248" builtinId="53" customBuiltin="true"/>
    <cellStyle name="Accent3 2" xfId="249" builtinId="53" customBuiltin="true"/>
    <cellStyle name="Accent3 3" xfId="250" builtinId="53" customBuiltin="true"/>
    <cellStyle name="Accent3 4" xfId="251" builtinId="53" customBuiltin="true"/>
    <cellStyle name="Accent4 2" xfId="252" builtinId="53" customBuiltin="true"/>
    <cellStyle name="Accent4 3" xfId="253" builtinId="53" customBuiltin="true"/>
    <cellStyle name="Accent4 4" xfId="254" builtinId="53" customBuiltin="true"/>
    <cellStyle name="Accent5 2" xfId="255" builtinId="53" customBuiltin="true"/>
    <cellStyle name="Accent5 3" xfId="256" builtinId="53" customBuiltin="true"/>
    <cellStyle name="Accent5 4" xfId="257" builtinId="53" customBuiltin="true"/>
    <cellStyle name="Accent6 2" xfId="258" builtinId="53" customBuiltin="true"/>
    <cellStyle name="Accent6 3" xfId="259" builtinId="53" customBuiltin="true"/>
    <cellStyle name="Accent6 4" xfId="260" builtinId="53" customBuiltin="true"/>
    <cellStyle name="AggblueBoldCels" xfId="261" builtinId="53" customBuiltin="true"/>
    <cellStyle name="AggblueBoldCels 2" xfId="262" builtinId="53" customBuiltin="true"/>
    <cellStyle name="AggblueBoldCels_CRFReport-template" xfId="263" builtinId="53" customBuiltin="true"/>
    <cellStyle name="AggblueCels" xfId="264" builtinId="53" customBuiltin="true"/>
    <cellStyle name="AggblueCels 2" xfId="265" builtinId="53" customBuiltin="true"/>
    <cellStyle name="AggblueCels_1x" xfId="266" builtinId="53" customBuiltin="true"/>
    <cellStyle name="AggBoldCells" xfId="267" builtinId="53" customBuiltin="true"/>
    <cellStyle name="AggBoldCells 2" xfId="268" builtinId="53" customBuiltin="true"/>
    <cellStyle name="AggBoldCells 3" xfId="269" builtinId="53" customBuiltin="true"/>
    <cellStyle name="AggBoldCells 4" xfId="270" builtinId="53" customBuiltin="true"/>
    <cellStyle name="AggCels" xfId="271" builtinId="53" customBuiltin="true"/>
    <cellStyle name="AggCels 2" xfId="272" builtinId="53" customBuiltin="true"/>
    <cellStyle name="AggCels 3" xfId="273" builtinId="53" customBuiltin="true"/>
    <cellStyle name="AggCels 4" xfId="274" builtinId="53" customBuiltin="true"/>
    <cellStyle name="AggCels_T(2)" xfId="275" builtinId="53" customBuiltin="true"/>
    <cellStyle name="AggGreen" xfId="276" builtinId="53" customBuiltin="true"/>
    <cellStyle name="AggGreen 2" xfId="277" builtinId="53" customBuiltin="true"/>
    <cellStyle name="AggGreen 2 2" xfId="278" builtinId="53" customBuiltin="true"/>
    <cellStyle name="AggGreen 2 2 2" xfId="279" builtinId="53" customBuiltin="true"/>
    <cellStyle name="AggGreen 2 2 2 2" xfId="280" builtinId="53" customBuiltin="true"/>
    <cellStyle name="AggGreen 2 2 2 2 2" xfId="281" builtinId="53" customBuiltin="true"/>
    <cellStyle name="AggGreen 2 2 2 3" xfId="282" builtinId="53" customBuiltin="true"/>
    <cellStyle name="AggGreen 2 2 3" xfId="283" builtinId="53" customBuiltin="true"/>
    <cellStyle name="AggGreen 2 2 3 2" xfId="284" builtinId="53" customBuiltin="true"/>
    <cellStyle name="AggGreen 2 2 4" xfId="285" builtinId="53" customBuiltin="true"/>
    <cellStyle name="AggGreen 2 3" xfId="286" builtinId="53" customBuiltin="true"/>
    <cellStyle name="AggGreen 2 3 2" xfId="287" builtinId="53" customBuiltin="true"/>
    <cellStyle name="AggGreen 2 3 2 2" xfId="288" builtinId="53" customBuiltin="true"/>
    <cellStyle name="AggGreen 2 3 2 2 2" xfId="289" builtinId="53" customBuiltin="true"/>
    <cellStyle name="AggGreen 2 3 2 3" xfId="290" builtinId="53" customBuiltin="true"/>
    <cellStyle name="AggGreen 2 3 3" xfId="291" builtinId="53" customBuiltin="true"/>
    <cellStyle name="AggGreen 2 3 3 2" xfId="292" builtinId="53" customBuiltin="true"/>
    <cellStyle name="AggGreen 2 3 3 2 2" xfId="293" builtinId="53" customBuiltin="true"/>
    <cellStyle name="AggGreen 2 3 3 3" xfId="294" builtinId="53" customBuiltin="true"/>
    <cellStyle name="AggGreen 2 3 4" xfId="295" builtinId="53" customBuiltin="true"/>
    <cellStyle name="AggGreen 2 3 4 2" xfId="296" builtinId="53" customBuiltin="true"/>
    <cellStyle name="AggGreen 2 3 4 2 2" xfId="297" builtinId="53" customBuiltin="true"/>
    <cellStyle name="AggGreen 2 3 4 3" xfId="298" builtinId="53" customBuiltin="true"/>
    <cellStyle name="AggGreen 2 3 5" xfId="299" builtinId="53" customBuiltin="true"/>
    <cellStyle name="AggGreen 2 3 5 2" xfId="300" builtinId="53" customBuiltin="true"/>
    <cellStyle name="AggGreen 2 3 6" xfId="301" builtinId="53" customBuiltin="true"/>
    <cellStyle name="AggGreen 2 4" xfId="302" builtinId="53" customBuiltin="true"/>
    <cellStyle name="AggGreen 2 4 2" xfId="303" builtinId="53" customBuiltin="true"/>
    <cellStyle name="AggGreen 2 5" xfId="304" builtinId="53" customBuiltin="true"/>
    <cellStyle name="AggGreen 3" xfId="305" builtinId="53" customBuiltin="true"/>
    <cellStyle name="AggGreen 3 2" xfId="306" builtinId="53" customBuiltin="true"/>
    <cellStyle name="AggGreen 3 2 2" xfId="307" builtinId="53" customBuiltin="true"/>
    <cellStyle name="AggGreen 3 2 2 2" xfId="308" builtinId="53" customBuiltin="true"/>
    <cellStyle name="AggGreen 3 2 3" xfId="309" builtinId="53" customBuiltin="true"/>
    <cellStyle name="AggGreen 3 3" xfId="310" builtinId="53" customBuiltin="true"/>
    <cellStyle name="AggGreen 3 3 2" xfId="311" builtinId="53" customBuiltin="true"/>
    <cellStyle name="AggGreen 3 4" xfId="312" builtinId="53" customBuiltin="true"/>
    <cellStyle name="AggGreen 4" xfId="313" builtinId="53" customBuiltin="true"/>
    <cellStyle name="AggGreen 4 2" xfId="314" builtinId="53" customBuiltin="true"/>
    <cellStyle name="AggGreen 4 2 2" xfId="315" builtinId="53" customBuiltin="true"/>
    <cellStyle name="AggGreen 4 2 2 2" xfId="316" builtinId="53" customBuiltin="true"/>
    <cellStyle name="AggGreen 4 2 3" xfId="317" builtinId="53" customBuiltin="true"/>
    <cellStyle name="AggGreen 4 3" xfId="318" builtinId="53" customBuiltin="true"/>
    <cellStyle name="AggGreen 4 3 2" xfId="319" builtinId="53" customBuiltin="true"/>
    <cellStyle name="AggGreen 4 3 2 2" xfId="320" builtinId="53" customBuiltin="true"/>
    <cellStyle name="AggGreen 4 3 3" xfId="321" builtinId="53" customBuiltin="true"/>
    <cellStyle name="AggGreen 4 4" xfId="322" builtinId="53" customBuiltin="true"/>
    <cellStyle name="AggGreen 4 4 2" xfId="323" builtinId="53" customBuiltin="true"/>
    <cellStyle name="AggGreen 4 4 2 2" xfId="324" builtinId="53" customBuiltin="true"/>
    <cellStyle name="AggGreen 4 4 3" xfId="325" builtinId="53" customBuiltin="true"/>
    <cellStyle name="AggGreen 4 5" xfId="326" builtinId="53" customBuiltin="true"/>
    <cellStyle name="AggGreen 4 5 2" xfId="327" builtinId="53" customBuiltin="true"/>
    <cellStyle name="AggGreen 4 6" xfId="328" builtinId="53" customBuiltin="true"/>
    <cellStyle name="AggGreen 5" xfId="329" builtinId="53" customBuiltin="true"/>
    <cellStyle name="AggGreen 5 2" xfId="330" builtinId="53" customBuiltin="true"/>
    <cellStyle name="AggGreen 6" xfId="331" builtinId="53" customBuiltin="true"/>
    <cellStyle name="AggGreen12" xfId="332" builtinId="53" customBuiltin="true"/>
    <cellStyle name="AggGreen12 2" xfId="333" builtinId="53" customBuiltin="true"/>
    <cellStyle name="AggGreen12 2 2" xfId="334" builtinId="53" customBuiltin="true"/>
    <cellStyle name="AggGreen12 2 2 2" xfId="335" builtinId="53" customBuiltin="true"/>
    <cellStyle name="AggGreen12 2 2 2 2" xfId="336" builtinId="53" customBuiltin="true"/>
    <cellStyle name="AggGreen12 2 2 2 2 2" xfId="337" builtinId="53" customBuiltin="true"/>
    <cellStyle name="AggGreen12 2 2 2 3" xfId="338" builtinId="53" customBuiltin="true"/>
    <cellStyle name="AggGreen12 2 2 3" xfId="339" builtinId="53" customBuiltin="true"/>
    <cellStyle name="AggGreen12 2 2 3 2" xfId="340" builtinId="53" customBuiltin="true"/>
    <cellStyle name="AggGreen12 2 2 4" xfId="341" builtinId="53" customBuiltin="true"/>
    <cellStyle name="AggGreen12 2 3" xfId="342" builtinId="53" customBuiltin="true"/>
    <cellStyle name="AggGreen12 2 3 2" xfId="343" builtinId="53" customBuiltin="true"/>
    <cellStyle name="AggGreen12 2 3 2 2" xfId="344" builtinId="53" customBuiltin="true"/>
    <cellStyle name="AggGreen12 2 3 2 2 2" xfId="345" builtinId="53" customBuiltin="true"/>
    <cellStyle name="AggGreen12 2 3 2 3" xfId="346" builtinId="53" customBuiltin="true"/>
    <cellStyle name="AggGreen12 2 3 3" xfId="347" builtinId="53" customBuiltin="true"/>
    <cellStyle name="AggGreen12 2 3 3 2" xfId="348" builtinId="53" customBuiltin="true"/>
    <cellStyle name="AggGreen12 2 3 3 2 2" xfId="349" builtinId="53" customBuiltin="true"/>
    <cellStyle name="AggGreen12 2 3 3 3" xfId="350" builtinId="53" customBuiltin="true"/>
    <cellStyle name="AggGreen12 2 3 4" xfId="351" builtinId="53" customBuiltin="true"/>
    <cellStyle name="AggGreen12 2 3 4 2" xfId="352" builtinId="53" customBuiltin="true"/>
    <cellStyle name="AggGreen12 2 3 4 2 2" xfId="353" builtinId="53" customBuiltin="true"/>
    <cellStyle name="AggGreen12 2 3 4 3" xfId="354" builtinId="53" customBuiltin="true"/>
    <cellStyle name="AggGreen12 2 3 5" xfId="355" builtinId="53" customBuiltin="true"/>
    <cellStyle name="AggGreen12 2 3 5 2" xfId="356" builtinId="53" customBuiltin="true"/>
    <cellStyle name="AggGreen12 2 3 6" xfId="357" builtinId="53" customBuiltin="true"/>
    <cellStyle name="AggGreen12 2 4" xfId="358" builtinId="53" customBuiltin="true"/>
    <cellStyle name="AggGreen12 2 4 2" xfId="359" builtinId="53" customBuiltin="true"/>
    <cellStyle name="AggGreen12 2 5" xfId="360" builtinId="53" customBuiltin="true"/>
    <cellStyle name="AggGreen12 3" xfId="361" builtinId="53" customBuiltin="true"/>
    <cellStyle name="AggGreen12 3 2" xfId="362" builtinId="53" customBuiltin="true"/>
    <cellStyle name="AggGreen12 3 2 2" xfId="363" builtinId="53" customBuiltin="true"/>
    <cellStyle name="AggGreen12 3 2 2 2" xfId="364" builtinId="53" customBuiltin="true"/>
    <cellStyle name="AggGreen12 3 2 3" xfId="365" builtinId="53" customBuiltin="true"/>
    <cellStyle name="AggGreen12 3 3" xfId="366" builtinId="53" customBuiltin="true"/>
    <cellStyle name="AggGreen12 3 3 2" xfId="367" builtinId="53" customBuiltin="true"/>
    <cellStyle name="AggGreen12 3 4" xfId="368" builtinId="53" customBuiltin="true"/>
    <cellStyle name="AggGreen12 4" xfId="369" builtinId="53" customBuiltin="true"/>
    <cellStyle name="AggGreen12 4 2" xfId="370" builtinId="53" customBuiltin="true"/>
    <cellStyle name="AggGreen12 4 2 2" xfId="371" builtinId="53" customBuiltin="true"/>
    <cellStyle name="AggGreen12 4 2 2 2" xfId="372" builtinId="53" customBuiltin="true"/>
    <cellStyle name="AggGreen12 4 2 3" xfId="373" builtinId="53" customBuiltin="true"/>
    <cellStyle name="AggGreen12 4 3" xfId="374" builtinId="53" customBuiltin="true"/>
    <cellStyle name="AggGreen12 4 3 2" xfId="375" builtinId="53" customBuiltin="true"/>
    <cellStyle name="AggGreen12 4 3 2 2" xfId="376" builtinId="53" customBuiltin="true"/>
    <cellStyle name="AggGreen12 4 3 3" xfId="377" builtinId="53" customBuiltin="true"/>
    <cellStyle name="AggGreen12 4 4" xfId="378" builtinId="53" customBuiltin="true"/>
    <cellStyle name="AggGreen12 4 4 2" xfId="379" builtinId="53" customBuiltin="true"/>
    <cellStyle name="AggGreen12 4 4 2 2" xfId="380" builtinId="53" customBuiltin="true"/>
    <cellStyle name="AggGreen12 4 4 3" xfId="381" builtinId="53" customBuiltin="true"/>
    <cellStyle name="AggGreen12 4 5" xfId="382" builtinId="53" customBuiltin="true"/>
    <cellStyle name="AggGreen12 4 5 2" xfId="383" builtinId="53" customBuiltin="true"/>
    <cellStyle name="AggGreen12 4 6" xfId="384" builtinId="53" customBuiltin="true"/>
    <cellStyle name="AggGreen12 5" xfId="385" builtinId="53" customBuiltin="true"/>
    <cellStyle name="AggGreen12 5 2" xfId="386" builtinId="53" customBuiltin="true"/>
    <cellStyle name="AggGreen12 6" xfId="387" builtinId="53" customBuiltin="true"/>
    <cellStyle name="AggGreen_Bbdr" xfId="388" builtinId="53" customBuiltin="true"/>
    <cellStyle name="AggOrange" xfId="389" builtinId="53" customBuiltin="true"/>
    <cellStyle name="AggOrange 2" xfId="390" builtinId="53" customBuiltin="true"/>
    <cellStyle name="AggOrange 2 2" xfId="391" builtinId="53" customBuiltin="true"/>
    <cellStyle name="AggOrange 2 2 2" xfId="392" builtinId="53" customBuiltin="true"/>
    <cellStyle name="AggOrange 2 2 2 2" xfId="393" builtinId="53" customBuiltin="true"/>
    <cellStyle name="AggOrange 2 2 2 2 2" xfId="394" builtinId="53" customBuiltin="true"/>
    <cellStyle name="AggOrange 2 2 2 3" xfId="395" builtinId="53" customBuiltin="true"/>
    <cellStyle name="AggOrange 2 2 3" xfId="396" builtinId="53" customBuiltin="true"/>
    <cellStyle name="AggOrange 2 2 3 2" xfId="397" builtinId="53" customBuiltin="true"/>
    <cellStyle name="AggOrange 2 2 4" xfId="398" builtinId="53" customBuiltin="true"/>
    <cellStyle name="AggOrange 2 3" xfId="399" builtinId="53" customBuiltin="true"/>
    <cellStyle name="AggOrange 2 3 2" xfId="400" builtinId="53" customBuiltin="true"/>
    <cellStyle name="AggOrange 2 3 2 2" xfId="401" builtinId="53" customBuiltin="true"/>
    <cellStyle name="AggOrange 2 3 2 2 2" xfId="402" builtinId="53" customBuiltin="true"/>
    <cellStyle name="AggOrange 2 3 2 3" xfId="403" builtinId="53" customBuiltin="true"/>
    <cellStyle name="AggOrange 2 3 3" xfId="404" builtinId="53" customBuiltin="true"/>
    <cellStyle name="AggOrange 2 3 3 2" xfId="405" builtinId="53" customBuiltin="true"/>
    <cellStyle name="AggOrange 2 3 3 2 2" xfId="406" builtinId="53" customBuiltin="true"/>
    <cellStyle name="AggOrange 2 3 3 3" xfId="407" builtinId="53" customBuiltin="true"/>
    <cellStyle name="AggOrange 2 3 4" xfId="408" builtinId="53" customBuiltin="true"/>
    <cellStyle name="AggOrange 2 3 4 2" xfId="409" builtinId="53" customBuiltin="true"/>
    <cellStyle name="AggOrange 2 3 4 2 2" xfId="410" builtinId="53" customBuiltin="true"/>
    <cellStyle name="AggOrange 2 3 4 3" xfId="411" builtinId="53" customBuiltin="true"/>
    <cellStyle name="AggOrange 2 3 5" xfId="412" builtinId="53" customBuiltin="true"/>
    <cellStyle name="AggOrange 2 3 5 2" xfId="413" builtinId="53" customBuiltin="true"/>
    <cellStyle name="AggOrange 2 3 6" xfId="414" builtinId="53" customBuiltin="true"/>
    <cellStyle name="AggOrange 2 4" xfId="415" builtinId="53" customBuiltin="true"/>
    <cellStyle name="AggOrange 2 4 2" xfId="416" builtinId="53" customBuiltin="true"/>
    <cellStyle name="AggOrange 2 5" xfId="417" builtinId="53" customBuiltin="true"/>
    <cellStyle name="AggOrange 3" xfId="418" builtinId="53" customBuiltin="true"/>
    <cellStyle name="AggOrange 3 2" xfId="419" builtinId="53" customBuiltin="true"/>
    <cellStyle name="AggOrange 3 2 2" xfId="420" builtinId="53" customBuiltin="true"/>
    <cellStyle name="AggOrange 3 2 2 2" xfId="421" builtinId="53" customBuiltin="true"/>
    <cellStyle name="AggOrange 3 2 3" xfId="422" builtinId="53" customBuiltin="true"/>
    <cellStyle name="AggOrange 3 3" xfId="423" builtinId="53" customBuiltin="true"/>
    <cellStyle name="AggOrange 3 3 2" xfId="424" builtinId="53" customBuiltin="true"/>
    <cellStyle name="AggOrange 3 4" xfId="425" builtinId="53" customBuiltin="true"/>
    <cellStyle name="AggOrange 4" xfId="426" builtinId="53" customBuiltin="true"/>
    <cellStyle name="AggOrange 4 2" xfId="427" builtinId="53" customBuiltin="true"/>
    <cellStyle name="AggOrange 4 2 2" xfId="428" builtinId="53" customBuiltin="true"/>
    <cellStyle name="AggOrange 4 2 2 2" xfId="429" builtinId="53" customBuiltin="true"/>
    <cellStyle name="AggOrange 4 2 3" xfId="430" builtinId="53" customBuiltin="true"/>
    <cellStyle name="AggOrange 4 3" xfId="431" builtinId="53" customBuiltin="true"/>
    <cellStyle name="AggOrange 4 3 2" xfId="432" builtinId="53" customBuiltin="true"/>
    <cellStyle name="AggOrange 4 3 2 2" xfId="433" builtinId="53" customBuiltin="true"/>
    <cellStyle name="AggOrange 4 3 3" xfId="434" builtinId="53" customBuiltin="true"/>
    <cellStyle name="AggOrange 4 4" xfId="435" builtinId="53" customBuiltin="true"/>
    <cellStyle name="AggOrange 4 4 2" xfId="436" builtinId="53" customBuiltin="true"/>
    <cellStyle name="AggOrange 4 4 2 2" xfId="437" builtinId="53" customBuiltin="true"/>
    <cellStyle name="AggOrange 4 4 3" xfId="438" builtinId="53" customBuiltin="true"/>
    <cellStyle name="AggOrange 4 5" xfId="439" builtinId="53" customBuiltin="true"/>
    <cellStyle name="AggOrange 4 5 2" xfId="440" builtinId="53" customBuiltin="true"/>
    <cellStyle name="AggOrange 4 6" xfId="441" builtinId="53" customBuiltin="true"/>
    <cellStyle name="AggOrange 5" xfId="442" builtinId="53" customBuiltin="true"/>
    <cellStyle name="AggOrange 5 2" xfId="443" builtinId="53" customBuiltin="true"/>
    <cellStyle name="AggOrange 6" xfId="444" builtinId="53" customBuiltin="true"/>
    <cellStyle name="AggOrange9" xfId="445" builtinId="53" customBuiltin="true"/>
    <cellStyle name="AggOrange9 2" xfId="446" builtinId="53" customBuiltin="true"/>
    <cellStyle name="AggOrange9 2 2" xfId="447" builtinId="53" customBuiltin="true"/>
    <cellStyle name="AggOrange9 2 2 2" xfId="448" builtinId="53" customBuiltin="true"/>
    <cellStyle name="AggOrange9 2 2 2 2" xfId="449" builtinId="53" customBuiltin="true"/>
    <cellStyle name="AggOrange9 2 2 2 2 2" xfId="450" builtinId="53" customBuiltin="true"/>
    <cellStyle name="AggOrange9 2 2 2 3" xfId="451" builtinId="53" customBuiltin="true"/>
    <cellStyle name="AggOrange9 2 2 3" xfId="452" builtinId="53" customBuiltin="true"/>
    <cellStyle name="AggOrange9 2 2 3 2" xfId="453" builtinId="53" customBuiltin="true"/>
    <cellStyle name="AggOrange9 2 2 4" xfId="454" builtinId="53" customBuiltin="true"/>
    <cellStyle name="AggOrange9 2 3" xfId="455" builtinId="53" customBuiltin="true"/>
    <cellStyle name="AggOrange9 2 3 2" xfId="456" builtinId="53" customBuiltin="true"/>
    <cellStyle name="AggOrange9 2 3 2 2" xfId="457" builtinId="53" customBuiltin="true"/>
    <cellStyle name="AggOrange9 2 3 2 2 2" xfId="458" builtinId="53" customBuiltin="true"/>
    <cellStyle name="AggOrange9 2 3 2 3" xfId="459" builtinId="53" customBuiltin="true"/>
    <cellStyle name="AggOrange9 2 3 3" xfId="460" builtinId="53" customBuiltin="true"/>
    <cellStyle name="AggOrange9 2 3 3 2" xfId="461" builtinId="53" customBuiltin="true"/>
    <cellStyle name="AggOrange9 2 3 3 2 2" xfId="462" builtinId="53" customBuiltin="true"/>
    <cellStyle name="AggOrange9 2 3 3 3" xfId="463" builtinId="53" customBuiltin="true"/>
    <cellStyle name="AggOrange9 2 3 4" xfId="464" builtinId="53" customBuiltin="true"/>
    <cellStyle name="AggOrange9 2 3 4 2" xfId="465" builtinId="53" customBuiltin="true"/>
    <cellStyle name="AggOrange9 2 3 4 2 2" xfId="466" builtinId="53" customBuiltin="true"/>
    <cellStyle name="AggOrange9 2 3 4 3" xfId="467" builtinId="53" customBuiltin="true"/>
    <cellStyle name="AggOrange9 2 3 5" xfId="468" builtinId="53" customBuiltin="true"/>
    <cellStyle name="AggOrange9 2 3 5 2" xfId="469" builtinId="53" customBuiltin="true"/>
    <cellStyle name="AggOrange9 2 3 6" xfId="470" builtinId="53" customBuiltin="true"/>
    <cellStyle name="AggOrange9 2 4" xfId="471" builtinId="53" customBuiltin="true"/>
    <cellStyle name="AggOrange9 2 4 2" xfId="472" builtinId="53" customBuiltin="true"/>
    <cellStyle name="AggOrange9 2 5" xfId="473" builtinId="53" customBuiltin="true"/>
    <cellStyle name="AggOrange9 3" xfId="474" builtinId="53" customBuiltin="true"/>
    <cellStyle name="AggOrange9 3 2" xfId="475" builtinId="53" customBuiltin="true"/>
    <cellStyle name="AggOrange9 3 2 2" xfId="476" builtinId="53" customBuiltin="true"/>
    <cellStyle name="AggOrange9 3 2 2 2" xfId="477" builtinId="53" customBuiltin="true"/>
    <cellStyle name="AggOrange9 3 2 3" xfId="478" builtinId="53" customBuiltin="true"/>
    <cellStyle name="AggOrange9 3 3" xfId="479" builtinId="53" customBuiltin="true"/>
    <cellStyle name="AggOrange9 3 3 2" xfId="480" builtinId="53" customBuiltin="true"/>
    <cellStyle name="AggOrange9 3 4" xfId="481" builtinId="53" customBuiltin="true"/>
    <cellStyle name="AggOrange9 4" xfId="482" builtinId="53" customBuiltin="true"/>
    <cellStyle name="AggOrange9 4 2" xfId="483" builtinId="53" customBuiltin="true"/>
    <cellStyle name="AggOrange9 4 2 2" xfId="484" builtinId="53" customBuiltin="true"/>
    <cellStyle name="AggOrange9 4 2 2 2" xfId="485" builtinId="53" customBuiltin="true"/>
    <cellStyle name="AggOrange9 4 2 3" xfId="486" builtinId="53" customBuiltin="true"/>
    <cellStyle name="AggOrange9 4 3" xfId="487" builtinId="53" customBuiltin="true"/>
    <cellStyle name="AggOrange9 4 3 2" xfId="488" builtinId="53" customBuiltin="true"/>
    <cellStyle name="AggOrange9 4 3 2 2" xfId="489" builtinId="53" customBuiltin="true"/>
    <cellStyle name="AggOrange9 4 3 3" xfId="490" builtinId="53" customBuiltin="true"/>
    <cellStyle name="AggOrange9 4 4" xfId="491" builtinId="53" customBuiltin="true"/>
    <cellStyle name="AggOrange9 4 4 2" xfId="492" builtinId="53" customBuiltin="true"/>
    <cellStyle name="AggOrange9 4 4 2 2" xfId="493" builtinId="53" customBuiltin="true"/>
    <cellStyle name="AggOrange9 4 4 3" xfId="494" builtinId="53" customBuiltin="true"/>
    <cellStyle name="AggOrange9 4 5" xfId="495" builtinId="53" customBuiltin="true"/>
    <cellStyle name="AggOrange9 4 5 2" xfId="496" builtinId="53" customBuiltin="true"/>
    <cellStyle name="AggOrange9 4 6" xfId="497" builtinId="53" customBuiltin="true"/>
    <cellStyle name="AggOrange9 5" xfId="498" builtinId="53" customBuiltin="true"/>
    <cellStyle name="AggOrange9 5 2" xfId="499" builtinId="53" customBuiltin="true"/>
    <cellStyle name="AggOrange9 6" xfId="500" builtinId="53" customBuiltin="true"/>
    <cellStyle name="AggOrange_B_border" xfId="501" builtinId="53" customBuiltin="true"/>
    <cellStyle name="AggOrangeLB_2x" xfId="502" builtinId="53" customBuiltin="true"/>
    <cellStyle name="AggOrangeLBorder" xfId="503" builtinId="53" customBuiltin="true"/>
    <cellStyle name="AggOrangeLBorder 2" xfId="504" builtinId="53" customBuiltin="true"/>
    <cellStyle name="AggOrangeLBorder 2 2" xfId="505" builtinId="53" customBuiltin="true"/>
    <cellStyle name="AggOrangeLBorder 2 2 2" xfId="506" builtinId="53" customBuiltin="true"/>
    <cellStyle name="AggOrangeLBorder 2 2 2 2" xfId="507" builtinId="53" customBuiltin="true"/>
    <cellStyle name="AggOrangeLBorder 2 2 3" xfId="508" builtinId="53" customBuiltin="true"/>
    <cellStyle name="AggOrangeLBorder 2 2 4" xfId="509" builtinId="53" customBuiltin="true"/>
    <cellStyle name="AggOrangeLBorder 2 3" xfId="510" builtinId="53" customBuiltin="true"/>
    <cellStyle name="AggOrangeLBorder 2 3 2" xfId="511" builtinId="53" customBuiltin="true"/>
    <cellStyle name="AggOrangeLBorder 2 3 2 2" xfId="512" builtinId="53" customBuiltin="true"/>
    <cellStyle name="AggOrangeLBorder 2 3 2 2 2" xfId="513" builtinId="53" customBuiltin="true"/>
    <cellStyle name="AggOrangeLBorder 2 3 2 3" xfId="514" builtinId="53" customBuiltin="true"/>
    <cellStyle name="AggOrangeLBorder 2 3 2 4" xfId="515" builtinId="53" customBuiltin="true"/>
    <cellStyle name="AggOrangeLBorder 2 3 3" xfId="516" builtinId="53" customBuiltin="true"/>
    <cellStyle name="AggOrangeLBorder 2 3 3 2" xfId="517" builtinId="53" customBuiltin="true"/>
    <cellStyle name="AggOrangeLBorder 2 3 3 2 2" xfId="518" builtinId="53" customBuiltin="true"/>
    <cellStyle name="AggOrangeLBorder 2 3 3 3" xfId="519" builtinId="53" customBuiltin="true"/>
    <cellStyle name="AggOrangeLBorder 2 3 3 4" xfId="520" builtinId="53" customBuiltin="true"/>
    <cellStyle name="AggOrangeLBorder 2 3 4" xfId="521" builtinId="53" customBuiltin="true"/>
    <cellStyle name="AggOrangeLBorder 2 3 4 2" xfId="522" builtinId="53" customBuiltin="true"/>
    <cellStyle name="AggOrangeLBorder 2 3 4 2 2" xfId="523" builtinId="53" customBuiltin="true"/>
    <cellStyle name="AggOrangeLBorder 2 3 4 3" xfId="524" builtinId="53" customBuiltin="true"/>
    <cellStyle name="AggOrangeLBorder 2 3 4 4" xfId="525" builtinId="53" customBuiltin="true"/>
    <cellStyle name="AggOrangeLBorder 2 3 5" xfId="526" builtinId="53" customBuiltin="true"/>
    <cellStyle name="AggOrangeLBorder 2 3 5 2" xfId="527" builtinId="53" customBuiltin="true"/>
    <cellStyle name="AggOrangeLBorder 2 3 6" xfId="528" builtinId="53" customBuiltin="true"/>
    <cellStyle name="AggOrangeLBorder 2 3 7" xfId="529" builtinId="53" customBuiltin="true"/>
    <cellStyle name="AggOrangeLBorder 2 4" xfId="530" builtinId="53" customBuiltin="true"/>
    <cellStyle name="AggOrangeLBorder 2 4 2" xfId="531" builtinId="53" customBuiltin="true"/>
    <cellStyle name="AggOrangeLBorder 2 5" xfId="532" builtinId="53" customBuiltin="true"/>
    <cellStyle name="AggOrangeLBorder 2 6" xfId="533" builtinId="53" customBuiltin="true"/>
    <cellStyle name="AggOrangeLBorder 3" xfId="534" builtinId="53" customBuiltin="true"/>
    <cellStyle name="AggOrangeLBorder 3 2" xfId="535" builtinId="53" customBuiltin="true"/>
    <cellStyle name="AggOrangeLBorder 3 2 2" xfId="536" builtinId="53" customBuiltin="true"/>
    <cellStyle name="AggOrangeLBorder 3 3" xfId="537" builtinId="53" customBuiltin="true"/>
    <cellStyle name="AggOrangeLBorder 3 4" xfId="538" builtinId="53" customBuiltin="true"/>
    <cellStyle name="AggOrangeLBorder 4" xfId="539" builtinId="53" customBuiltin="true"/>
    <cellStyle name="AggOrangeLBorder 4 2" xfId="540" builtinId="53" customBuiltin="true"/>
    <cellStyle name="AggOrangeLBorder 4 2 2" xfId="541" builtinId="53" customBuiltin="true"/>
    <cellStyle name="AggOrangeLBorder 4 2 2 2" xfId="542" builtinId="53" customBuiltin="true"/>
    <cellStyle name="AggOrangeLBorder 4 2 3" xfId="543" builtinId="53" customBuiltin="true"/>
    <cellStyle name="AggOrangeLBorder 4 2 4" xfId="544" builtinId="53" customBuiltin="true"/>
    <cellStyle name="AggOrangeLBorder 4 3" xfId="545" builtinId="53" customBuiltin="true"/>
    <cellStyle name="AggOrangeLBorder 4 3 2" xfId="546" builtinId="53" customBuiltin="true"/>
    <cellStyle name="AggOrangeLBorder 4 3 2 2" xfId="547" builtinId="53" customBuiltin="true"/>
    <cellStyle name="AggOrangeLBorder 4 3 3" xfId="548" builtinId="53" customBuiltin="true"/>
    <cellStyle name="AggOrangeLBorder 4 3 4" xfId="549" builtinId="53" customBuiltin="true"/>
    <cellStyle name="AggOrangeLBorder 4 4" xfId="550" builtinId="53" customBuiltin="true"/>
    <cellStyle name="AggOrangeLBorder 4 4 2" xfId="551" builtinId="53" customBuiltin="true"/>
    <cellStyle name="AggOrangeLBorder 4 4 2 2" xfId="552" builtinId="53" customBuiltin="true"/>
    <cellStyle name="AggOrangeLBorder 4 4 3" xfId="553" builtinId="53" customBuiltin="true"/>
    <cellStyle name="AggOrangeLBorder 4 4 4" xfId="554" builtinId="53" customBuiltin="true"/>
    <cellStyle name="AggOrangeLBorder 4 5" xfId="555" builtinId="53" customBuiltin="true"/>
    <cellStyle name="AggOrangeLBorder 4 5 2" xfId="556" builtinId="53" customBuiltin="true"/>
    <cellStyle name="AggOrangeLBorder 4 6" xfId="557" builtinId="53" customBuiltin="true"/>
    <cellStyle name="AggOrangeLBorder 4 7" xfId="558" builtinId="53" customBuiltin="true"/>
    <cellStyle name="AggOrangeLBorder 5" xfId="559" builtinId="53" customBuiltin="true"/>
    <cellStyle name="AggOrangeLBorder 5 2" xfId="560" builtinId="53" customBuiltin="true"/>
    <cellStyle name="AggOrangeLBorder 6" xfId="561" builtinId="53" customBuiltin="true"/>
    <cellStyle name="AggOrangeLBorder 7" xfId="562" builtinId="53" customBuiltin="true"/>
    <cellStyle name="AggOrangeRBorder" xfId="563" builtinId="53" customBuiltin="true"/>
    <cellStyle name="AggOrangeRBorder 2" xfId="564" builtinId="53" customBuiltin="true"/>
    <cellStyle name="AggOrangeRBorder 2 2" xfId="565" builtinId="53" customBuiltin="true"/>
    <cellStyle name="AggOrangeRBorder 2 2 2" xfId="566" builtinId="53" customBuiltin="true"/>
    <cellStyle name="AggOrangeRBorder 2 2 2 2" xfId="567" builtinId="53" customBuiltin="true"/>
    <cellStyle name="AggOrangeRBorder 2 2 2 2 2" xfId="568" builtinId="53" customBuiltin="true"/>
    <cellStyle name="AggOrangeRBorder 2 2 2 3" xfId="569" builtinId="53" customBuiltin="true"/>
    <cellStyle name="AggOrangeRBorder 2 2 2 4" xfId="570" builtinId="53" customBuiltin="true"/>
    <cellStyle name="AggOrangeRBorder 2 2 2 5" xfId="571" builtinId="53" customBuiltin="true"/>
    <cellStyle name="AggOrangeRBorder 2 2 3" xfId="572" builtinId="53" customBuiltin="true"/>
    <cellStyle name="AggOrangeRBorder 2 2 3 2" xfId="573" builtinId="53" customBuiltin="true"/>
    <cellStyle name="AggOrangeRBorder 2 2 4" xfId="574" builtinId="53" customBuiltin="true"/>
    <cellStyle name="AggOrangeRBorder 2 2 5" xfId="575" builtinId="53" customBuiltin="true"/>
    <cellStyle name="AggOrangeRBorder 2 2 6" xfId="576" builtinId="53" customBuiltin="true"/>
    <cellStyle name="AggOrangeRBorder 2 3" xfId="577" builtinId="53" customBuiltin="true"/>
    <cellStyle name="AggOrangeRBorder 2 3 2" xfId="578" builtinId="53" customBuiltin="true"/>
    <cellStyle name="AggOrangeRBorder 2 3 2 2" xfId="579" builtinId="53" customBuiltin="true"/>
    <cellStyle name="AggOrangeRBorder 2 3 2 2 2" xfId="580" builtinId="53" customBuiltin="true"/>
    <cellStyle name="AggOrangeRBorder 2 3 2 3" xfId="581" builtinId="53" customBuiltin="true"/>
    <cellStyle name="AggOrangeRBorder 2 3 2 4" xfId="582" builtinId="53" customBuiltin="true"/>
    <cellStyle name="AggOrangeRBorder 2 3 2 5" xfId="583" builtinId="53" customBuiltin="true"/>
    <cellStyle name="AggOrangeRBorder 2 3 3" xfId="584" builtinId="53" customBuiltin="true"/>
    <cellStyle name="AggOrangeRBorder 2 3 3 2" xfId="585" builtinId="53" customBuiltin="true"/>
    <cellStyle name="AggOrangeRBorder 2 3 3 2 2" xfId="586" builtinId="53" customBuiltin="true"/>
    <cellStyle name="AggOrangeRBorder 2 3 3 3" xfId="587" builtinId="53" customBuiltin="true"/>
    <cellStyle name="AggOrangeRBorder 2 3 3 4" xfId="588" builtinId="53" customBuiltin="true"/>
    <cellStyle name="AggOrangeRBorder 2 3 3 5" xfId="589" builtinId="53" customBuiltin="true"/>
    <cellStyle name="AggOrangeRBorder 2 3 4" xfId="590" builtinId="53" customBuiltin="true"/>
    <cellStyle name="AggOrangeRBorder 2 3 4 2" xfId="591" builtinId="53" customBuiltin="true"/>
    <cellStyle name="AggOrangeRBorder 2 3 4 2 2" xfId="592" builtinId="53" customBuiltin="true"/>
    <cellStyle name="AggOrangeRBorder 2 3 4 3" xfId="593" builtinId="53" customBuiltin="true"/>
    <cellStyle name="AggOrangeRBorder 2 3 4 4" xfId="594" builtinId="53" customBuiltin="true"/>
    <cellStyle name="AggOrangeRBorder 2 3 4 5" xfId="595" builtinId="53" customBuiltin="true"/>
    <cellStyle name="AggOrangeRBorder 2 3 5" xfId="596" builtinId="53" customBuiltin="true"/>
    <cellStyle name="AggOrangeRBorder 2 3 5 2" xfId="597" builtinId="53" customBuiltin="true"/>
    <cellStyle name="AggOrangeRBorder 2 3 6" xfId="598" builtinId="53" customBuiltin="true"/>
    <cellStyle name="AggOrangeRBorder 2 3 7" xfId="599" builtinId="53" customBuiltin="true"/>
    <cellStyle name="AggOrangeRBorder 2 3 8" xfId="600" builtinId="53" customBuiltin="true"/>
    <cellStyle name="AggOrangeRBorder 2 4" xfId="601" builtinId="53" customBuiltin="true"/>
    <cellStyle name="AggOrangeRBorder 2 4 2" xfId="602" builtinId="53" customBuiltin="true"/>
    <cellStyle name="AggOrangeRBorder 2 5" xfId="603" builtinId="53" customBuiltin="true"/>
    <cellStyle name="AggOrangeRBorder 2 6" xfId="604" builtinId="53" customBuiltin="true"/>
    <cellStyle name="AggOrangeRBorder 2 7" xfId="605" builtinId="53" customBuiltin="true"/>
    <cellStyle name="AggOrangeRBorder 3" xfId="606" builtinId="53" customBuiltin="true"/>
    <cellStyle name="AggOrangeRBorder 3 2" xfId="607" builtinId="53" customBuiltin="true"/>
    <cellStyle name="AggOrangeRBorder 3 2 2" xfId="608" builtinId="53" customBuiltin="true"/>
    <cellStyle name="AggOrangeRBorder 3 2 2 2" xfId="609" builtinId="53" customBuiltin="true"/>
    <cellStyle name="AggOrangeRBorder 3 2 3" xfId="610" builtinId="53" customBuiltin="true"/>
    <cellStyle name="AggOrangeRBorder 3 2 4" xfId="611" builtinId="53" customBuiltin="true"/>
    <cellStyle name="AggOrangeRBorder 3 2 5" xfId="612" builtinId="53" customBuiltin="true"/>
    <cellStyle name="AggOrangeRBorder 3 3" xfId="613" builtinId="53" customBuiltin="true"/>
    <cellStyle name="AggOrangeRBorder 3 3 2" xfId="614" builtinId="53" customBuiltin="true"/>
    <cellStyle name="AggOrangeRBorder 3 4" xfId="615" builtinId="53" customBuiltin="true"/>
    <cellStyle name="AggOrangeRBorder 3 5" xfId="616" builtinId="53" customBuiltin="true"/>
    <cellStyle name="AggOrangeRBorder 3 6" xfId="617" builtinId="53" customBuiltin="true"/>
    <cellStyle name="AggOrangeRBorder 4" xfId="618" builtinId="53" customBuiltin="true"/>
    <cellStyle name="AggOrangeRBorder 4 2" xfId="619" builtinId="53" customBuiltin="true"/>
    <cellStyle name="AggOrangeRBorder 4 2 2" xfId="620" builtinId="53" customBuiltin="true"/>
    <cellStyle name="AggOrangeRBorder 4 2 2 2" xfId="621" builtinId="53" customBuiltin="true"/>
    <cellStyle name="AggOrangeRBorder 4 2 3" xfId="622" builtinId="53" customBuiltin="true"/>
    <cellStyle name="AggOrangeRBorder 4 2 4" xfId="623" builtinId="53" customBuiltin="true"/>
    <cellStyle name="AggOrangeRBorder 4 2 5" xfId="624" builtinId="53" customBuiltin="true"/>
    <cellStyle name="AggOrangeRBorder 4 3" xfId="625" builtinId="53" customBuiltin="true"/>
    <cellStyle name="AggOrangeRBorder 4 3 2" xfId="626" builtinId="53" customBuiltin="true"/>
    <cellStyle name="AggOrangeRBorder 4 3 2 2" xfId="627" builtinId="53" customBuiltin="true"/>
    <cellStyle name="AggOrangeRBorder 4 3 3" xfId="628" builtinId="53" customBuiltin="true"/>
    <cellStyle name="AggOrangeRBorder 4 3 4" xfId="629" builtinId="53" customBuiltin="true"/>
    <cellStyle name="AggOrangeRBorder 4 3 5" xfId="630" builtinId="53" customBuiltin="true"/>
    <cellStyle name="AggOrangeRBorder 4 4" xfId="631" builtinId="53" customBuiltin="true"/>
    <cellStyle name="AggOrangeRBorder 4 4 2" xfId="632" builtinId="53" customBuiltin="true"/>
    <cellStyle name="AggOrangeRBorder 4 4 2 2" xfId="633" builtinId="53" customBuiltin="true"/>
    <cellStyle name="AggOrangeRBorder 4 4 3" xfId="634" builtinId="53" customBuiltin="true"/>
    <cellStyle name="AggOrangeRBorder 4 4 4" xfId="635" builtinId="53" customBuiltin="true"/>
    <cellStyle name="AggOrangeRBorder 4 4 5" xfId="636" builtinId="53" customBuiltin="true"/>
    <cellStyle name="AggOrangeRBorder 4 5" xfId="637" builtinId="53" customBuiltin="true"/>
    <cellStyle name="AggOrangeRBorder 4 5 2" xfId="638" builtinId="53" customBuiltin="true"/>
    <cellStyle name="AggOrangeRBorder 4 6" xfId="639" builtinId="53" customBuiltin="true"/>
    <cellStyle name="AggOrangeRBorder 4 7" xfId="640" builtinId="53" customBuiltin="true"/>
    <cellStyle name="AggOrangeRBorder 4 8" xfId="641" builtinId="53" customBuiltin="true"/>
    <cellStyle name="AggOrangeRBorder 5" xfId="642" builtinId="53" customBuiltin="true"/>
    <cellStyle name="AggOrangeRBorder 5 2" xfId="643" builtinId="53" customBuiltin="true"/>
    <cellStyle name="AggOrangeRBorder 6" xfId="644" builtinId="53" customBuiltin="true"/>
    <cellStyle name="AggOrangeRBorder 7" xfId="645" builtinId="53" customBuiltin="true"/>
    <cellStyle name="AggOrangeRBorder 8" xfId="646" builtinId="53" customBuiltin="true"/>
    <cellStyle name="AggOrangeRBorder_CRFReport-template" xfId="647" builtinId="53" customBuiltin="true"/>
    <cellStyle name="Akzent1" xfId="648" builtinId="53" customBuiltin="true"/>
    <cellStyle name="Akzent2" xfId="649" builtinId="53" customBuiltin="true"/>
    <cellStyle name="Akzent3" xfId="650" builtinId="53" customBuiltin="true"/>
    <cellStyle name="Akzent4" xfId="651" builtinId="53" customBuiltin="true"/>
    <cellStyle name="Akzent5" xfId="652" builtinId="53" customBuiltin="true"/>
    <cellStyle name="Akzent6" xfId="653" builtinId="53" customBuiltin="true"/>
    <cellStyle name="Anteckning" xfId="654" builtinId="53" customBuiltin="true"/>
    <cellStyle name="Anteckning 2" xfId="655" builtinId="53" customBuiltin="true"/>
    <cellStyle name="Anteckning 3" xfId="656" builtinId="53" customBuiltin="true"/>
    <cellStyle name="Ausgabe" xfId="657" builtinId="53" customBuiltin="true"/>
    <cellStyle name="Ausgabe 2" xfId="658" builtinId="53" customBuiltin="true"/>
    <cellStyle name="Ausgabe 2 2" xfId="659" builtinId="53" customBuiltin="true"/>
    <cellStyle name="Ausgabe 2 2 2" xfId="660" builtinId="53" customBuiltin="true"/>
    <cellStyle name="Ausgabe 2 2 3" xfId="661" builtinId="53" customBuiltin="true"/>
    <cellStyle name="Ausgabe 2 2 4" xfId="662" builtinId="53" customBuiltin="true"/>
    <cellStyle name="Ausgabe 2 2 5" xfId="663" builtinId="53" customBuiltin="true"/>
    <cellStyle name="Ausgabe 2 3" xfId="664" builtinId="53" customBuiltin="true"/>
    <cellStyle name="Ausgabe 2 3 2" xfId="665" builtinId="53" customBuiltin="true"/>
    <cellStyle name="Ausgabe 2 3 3" xfId="666" builtinId="53" customBuiltin="true"/>
    <cellStyle name="Ausgabe 2 3 4" xfId="667" builtinId="53" customBuiltin="true"/>
    <cellStyle name="Ausgabe 2 3 5" xfId="668" builtinId="53" customBuiltin="true"/>
    <cellStyle name="Ausgabe 2 4" xfId="669" builtinId="53" customBuiltin="true"/>
    <cellStyle name="Ausgabe 2 5" xfId="670" builtinId="53" customBuiltin="true"/>
    <cellStyle name="Ausgabe 2 6" xfId="671" builtinId="53" customBuiltin="true"/>
    <cellStyle name="Ausgabe 2 7" xfId="672" builtinId="53" customBuiltin="true"/>
    <cellStyle name="Ausgabe 3" xfId="673" builtinId="53" customBuiltin="true"/>
    <cellStyle name="Ausgabe 3 2" xfId="674" builtinId="53" customBuiltin="true"/>
    <cellStyle name="Ausgabe 3 2 2" xfId="675" builtinId="53" customBuiltin="true"/>
    <cellStyle name="Ausgabe 3 2 3" xfId="676" builtinId="53" customBuiltin="true"/>
    <cellStyle name="Ausgabe 3 2 4" xfId="677" builtinId="53" customBuiltin="true"/>
    <cellStyle name="Ausgabe 3 2 5" xfId="678" builtinId="53" customBuiltin="true"/>
    <cellStyle name="Ausgabe 3 3" xfId="679" builtinId="53" customBuiltin="true"/>
    <cellStyle name="Ausgabe 3 3 2" xfId="680" builtinId="53" customBuiltin="true"/>
    <cellStyle name="Ausgabe 3 3 3" xfId="681" builtinId="53" customBuiltin="true"/>
    <cellStyle name="Ausgabe 3 3 4" xfId="682" builtinId="53" customBuiltin="true"/>
    <cellStyle name="Ausgabe 3 3 5" xfId="683" builtinId="53" customBuiltin="true"/>
    <cellStyle name="Ausgabe 3 4" xfId="684" builtinId="53" customBuiltin="true"/>
    <cellStyle name="Ausgabe 3 5" xfId="685" builtinId="53" customBuiltin="true"/>
    <cellStyle name="Ausgabe 3 6" xfId="686" builtinId="53" customBuiltin="true"/>
    <cellStyle name="Ausgabe 3 7" xfId="687" builtinId="53" customBuiltin="true"/>
    <cellStyle name="Ausgabe 4" xfId="688" builtinId="53" customBuiltin="true"/>
    <cellStyle name="Ausgabe 4 2" xfId="689" builtinId="53" customBuiltin="true"/>
    <cellStyle name="Ausgabe 4 3" xfId="690" builtinId="53" customBuiltin="true"/>
    <cellStyle name="Ausgabe 4 4" xfId="691" builtinId="53" customBuiltin="true"/>
    <cellStyle name="Ausgabe 4 5" xfId="692" builtinId="53" customBuiltin="true"/>
    <cellStyle name="Ausgabe 5" xfId="693" builtinId="53" customBuiltin="true"/>
    <cellStyle name="Ausgabe 5 2" xfId="694" builtinId="53" customBuiltin="true"/>
    <cellStyle name="Ausgabe 5 3" xfId="695" builtinId="53" customBuiltin="true"/>
    <cellStyle name="Ausgabe 5 4" xfId="696" builtinId="53" customBuiltin="true"/>
    <cellStyle name="Ausgabe 5 5" xfId="697" builtinId="53" customBuiltin="true"/>
    <cellStyle name="Ausgabe 6" xfId="698" builtinId="53" customBuiltin="true"/>
    <cellStyle name="Avertissement 2" xfId="699" builtinId="53" customBuiltin="true"/>
    <cellStyle name="Bad" xfId="700" builtinId="53" customBuiltin="true"/>
    <cellStyle name="Bad 2" xfId="701" builtinId="53" customBuiltin="true"/>
    <cellStyle name="Bad 3" xfId="702" builtinId="53" customBuiltin="true"/>
    <cellStyle name="Bad 4" xfId="703" builtinId="53" customBuiltin="true"/>
    <cellStyle name="Berechnung" xfId="704" builtinId="53" customBuiltin="true"/>
    <cellStyle name="Berechnung 2" xfId="705" builtinId="53" customBuiltin="true"/>
    <cellStyle name="Berechnung 2 2" xfId="706" builtinId="53" customBuiltin="true"/>
    <cellStyle name="Berechnung 2 2 2" xfId="707" builtinId="53" customBuiltin="true"/>
    <cellStyle name="Berechnung 2 3" xfId="708" builtinId="53" customBuiltin="true"/>
    <cellStyle name="Berechnung 2 3 2" xfId="709" builtinId="53" customBuiltin="true"/>
    <cellStyle name="Berechnung 2 4" xfId="710" builtinId="53" customBuiltin="true"/>
    <cellStyle name="Berechnung 2 4 2" xfId="711" builtinId="53" customBuiltin="true"/>
    <cellStyle name="Berechnung 2 5" xfId="712" builtinId="53" customBuiltin="true"/>
    <cellStyle name="Berechnung 3" xfId="713" builtinId="53" customBuiltin="true"/>
    <cellStyle name="Berechnung 3 2" xfId="714" builtinId="53" customBuiltin="true"/>
    <cellStyle name="Berechnung 3 2 2" xfId="715" builtinId="53" customBuiltin="true"/>
    <cellStyle name="Berechnung 3 3" xfId="716" builtinId="53" customBuiltin="true"/>
    <cellStyle name="Berechnung 3 3 2" xfId="717" builtinId="53" customBuiltin="true"/>
    <cellStyle name="Berechnung 3 4" xfId="718" builtinId="53" customBuiltin="true"/>
    <cellStyle name="Berechnung 3 4 2" xfId="719" builtinId="53" customBuiltin="true"/>
    <cellStyle name="Berechnung 3 5" xfId="720" builtinId="53" customBuiltin="true"/>
    <cellStyle name="Berechnung 4" xfId="721" builtinId="53" customBuiltin="true"/>
    <cellStyle name="Berechnung 4 2" xfId="722" builtinId="53" customBuiltin="true"/>
    <cellStyle name="Berechnung 5" xfId="723" builtinId="53" customBuiltin="true"/>
    <cellStyle name="Berechnung 5 2" xfId="724" builtinId="53" customBuiltin="true"/>
    <cellStyle name="Berechnung 6" xfId="725" builtinId="53" customBuiltin="true"/>
    <cellStyle name="Berechnung 6 2" xfId="726" builtinId="53" customBuiltin="true"/>
    <cellStyle name="Berechnung 7" xfId="727" builtinId="53" customBuiltin="true"/>
    <cellStyle name="Beräkning" xfId="728" builtinId="53" customBuiltin="true"/>
    <cellStyle name="Beräkning 2" xfId="729" builtinId="53" customBuiltin="true"/>
    <cellStyle name="Bold GHG Numbers (0.00)" xfId="730" builtinId="53" customBuiltin="true"/>
    <cellStyle name="Bra" xfId="731" builtinId="53" customBuiltin="true"/>
    <cellStyle name="Calcul 2" xfId="732" builtinId="53" customBuiltin="true"/>
    <cellStyle name="Calcul 2 2" xfId="733" builtinId="53" customBuiltin="true"/>
    <cellStyle name="Calculation 2" xfId="734" builtinId="53" customBuiltin="true"/>
    <cellStyle name="Calculation 2 2" xfId="735" builtinId="53" customBuiltin="true"/>
    <cellStyle name="Calculation 2 2 2" xfId="736" builtinId="53" customBuiltin="true"/>
    <cellStyle name="Calculation 2 3" xfId="737" builtinId="53" customBuiltin="true"/>
    <cellStyle name="Calculation 2 3 2" xfId="738" builtinId="53" customBuiltin="true"/>
    <cellStyle name="Calculation 2 4" xfId="739" builtinId="53" customBuiltin="true"/>
    <cellStyle name="Calculation 2 4 2" xfId="740" builtinId="53" customBuiltin="true"/>
    <cellStyle name="Calculation 2 5" xfId="741" builtinId="53" customBuiltin="true"/>
    <cellStyle name="Calculation 3" xfId="742" builtinId="53" customBuiltin="true"/>
    <cellStyle name="Calculation 3 2" xfId="743" builtinId="53" customBuiltin="true"/>
    <cellStyle name="Calculation 3 2 2" xfId="744" builtinId="53" customBuiltin="true"/>
    <cellStyle name="Calculation 3 3" xfId="745" builtinId="53" customBuiltin="true"/>
    <cellStyle name="Calculation 3 3 2" xfId="746" builtinId="53" customBuiltin="true"/>
    <cellStyle name="Calculation 3 4" xfId="747" builtinId="53" customBuiltin="true"/>
    <cellStyle name="Calculation 3 4 2" xfId="748" builtinId="53" customBuiltin="true"/>
    <cellStyle name="Calculation 3 5" xfId="749" builtinId="53" customBuiltin="true"/>
    <cellStyle name="Cellule liée 2" xfId="750" builtinId="53" customBuiltin="true"/>
    <cellStyle name="Check Cell" xfId="751" builtinId="53" customBuiltin="true"/>
    <cellStyle name="Check Cell 2" xfId="752" builtinId="53" customBuiltin="true"/>
    <cellStyle name="Check Cell 3" xfId="753" builtinId="53" customBuiltin="true"/>
    <cellStyle name="Check Cell 4" xfId="754" builtinId="53" customBuiltin="true"/>
    <cellStyle name="classeur | commentaire" xfId="755" builtinId="53" customBuiltin="true"/>
    <cellStyle name="classeur | extraction | series | particulier" xfId="756" builtinId="53" customBuiltin="true"/>
    <cellStyle name="classeur | extraction | series | quinquenal" xfId="757" builtinId="53" customBuiltin="true"/>
    <cellStyle name="classeur | extraction | series | quinquenal 2" xfId="758" builtinId="53" customBuiltin="true"/>
    <cellStyle name="classeur | extraction | series | quinquenal 2 2" xfId="759" builtinId="53" customBuiltin="true"/>
    <cellStyle name="classeur | extraction | series | quinquenal 3" xfId="760" builtinId="53" customBuiltin="true"/>
    <cellStyle name="classeur | extraction | series | sept dernieres" xfId="761" builtinId="53" customBuiltin="true"/>
    <cellStyle name="classeur | extraction | series | sept dernieres 2" xfId="762" builtinId="53" customBuiltin="true"/>
    <cellStyle name="classeur | extraction | series | sept dernieres 2 2" xfId="763" builtinId="53" customBuiltin="true"/>
    <cellStyle name="classeur | extraction | series | sept dernieres 3" xfId="764" builtinId="53" customBuiltin="true"/>
    <cellStyle name="classeur | extraction | structure | dernier" xfId="765" builtinId="53" customBuiltin="true"/>
    <cellStyle name="classeur | extraction | structure | dernier 2" xfId="766" builtinId="53" customBuiltin="true"/>
    <cellStyle name="classeur | extraction | structure | dernier 2 2" xfId="767" builtinId="53" customBuiltin="true"/>
    <cellStyle name="classeur | extraction | structure | dernier 3" xfId="768" builtinId="53" customBuiltin="true"/>
    <cellStyle name="classeur | extraction | structure | deux derniers" xfId="769" builtinId="53" customBuiltin="true"/>
    <cellStyle name="classeur | extraction | structure | deux derniers 2" xfId="770" builtinId="53" customBuiltin="true"/>
    <cellStyle name="classeur | extraction | structure | deux derniers 2 2" xfId="771" builtinId="53" customBuiltin="true"/>
    <cellStyle name="classeur | extraction | structure | deux derniers 3" xfId="772" builtinId="53" customBuiltin="true"/>
    <cellStyle name="classeur | extraction | structure | particulier" xfId="773" builtinId="53" customBuiltin="true"/>
    <cellStyle name="classeur | historique" xfId="774" builtinId="53" customBuiltin="true"/>
    <cellStyle name="classeur | note | numero" xfId="775" builtinId="53" customBuiltin="true"/>
    <cellStyle name="classeur | note | numero 2" xfId="776" builtinId="53" customBuiltin="true"/>
    <cellStyle name="classeur | note | numero 2 2" xfId="777" builtinId="53" customBuiltin="true"/>
    <cellStyle name="classeur | note | numero 3" xfId="778" builtinId="53" customBuiltin="true"/>
    <cellStyle name="classeur | note | numero 4" xfId="779" builtinId="53" customBuiltin="true"/>
    <cellStyle name="classeur | note | numero 5" xfId="780" builtinId="53" customBuiltin="true"/>
    <cellStyle name="classeur | note | numero 6" xfId="781" builtinId="53" customBuiltin="true"/>
    <cellStyle name="classeur | note | texte" xfId="782" builtinId="53" customBuiltin="true"/>
    <cellStyle name="classeur | note | texte 2" xfId="783" builtinId="53" customBuiltin="true"/>
    <cellStyle name="classeur | note | texte 2 2" xfId="784" builtinId="53" customBuiltin="true"/>
    <cellStyle name="classeur | note | texte 3" xfId="785" builtinId="53" customBuiltin="true"/>
    <cellStyle name="classeur | note | texte 4" xfId="786" builtinId="53" customBuiltin="true"/>
    <cellStyle name="classeur | note | texte 5" xfId="787" builtinId="53" customBuiltin="true"/>
    <cellStyle name="classeur | note | texte 6" xfId="788" builtinId="53" customBuiltin="true"/>
    <cellStyle name="classeur | periodicite | annee scolaire" xfId="789" builtinId="53" customBuiltin="true"/>
    <cellStyle name="classeur | periodicite | annee scolaire 2" xfId="790" builtinId="53" customBuiltin="true"/>
    <cellStyle name="classeur | periodicite | annee scolaire 2 2" xfId="791" builtinId="53" customBuiltin="true"/>
    <cellStyle name="classeur | periodicite | annee scolaire 3" xfId="792" builtinId="53" customBuiltin="true"/>
    <cellStyle name="classeur | periodicite | annuelle" xfId="793" builtinId="53" customBuiltin="true"/>
    <cellStyle name="classeur | periodicite | annuelle 2" xfId="794" builtinId="53" customBuiltin="true"/>
    <cellStyle name="classeur | periodicite | annuelle 2 2" xfId="795" builtinId="53" customBuiltin="true"/>
    <cellStyle name="classeur | periodicite | annuelle 3" xfId="796" builtinId="53" customBuiltin="true"/>
    <cellStyle name="classeur | periodicite | autre" xfId="797" builtinId="53" customBuiltin="true"/>
    <cellStyle name="classeur | periodicite | autre 2" xfId="798" builtinId="53" customBuiltin="true"/>
    <cellStyle name="classeur | periodicite | autre 2 2" xfId="799" builtinId="53" customBuiltin="true"/>
    <cellStyle name="classeur | periodicite | autre 3" xfId="800" builtinId="53" customBuiltin="true"/>
    <cellStyle name="classeur | periodicite | bimestrielle" xfId="801" builtinId="53" customBuiltin="true"/>
    <cellStyle name="classeur | periodicite | bimestrielle 2" xfId="802" builtinId="53" customBuiltin="true"/>
    <cellStyle name="classeur | periodicite | bimestrielle 2 2" xfId="803" builtinId="53" customBuiltin="true"/>
    <cellStyle name="classeur | periodicite | bimestrielle 3" xfId="804" builtinId="53" customBuiltin="true"/>
    <cellStyle name="classeur | periodicite | mensuelle" xfId="805" builtinId="53" customBuiltin="true"/>
    <cellStyle name="classeur | periodicite | mensuelle 2" xfId="806" builtinId="53" customBuiltin="true"/>
    <cellStyle name="classeur | periodicite | mensuelle 2 2" xfId="807" builtinId="53" customBuiltin="true"/>
    <cellStyle name="classeur | periodicite | mensuelle 3" xfId="808" builtinId="53" customBuiltin="true"/>
    <cellStyle name="classeur | periodicite | semestrielle" xfId="809" builtinId="53" customBuiltin="true"/>
    <cellStyle name="classeur | periodicite | semestrielle 2" xfId="810" builtinId="53" customBuiltin="true"/>
    <cellStyle name="classeur | periodicite | semestrielle 2 2" xfId="811" builtinId="53" customBuiltin="true"/>
    <cellStyle name="classeur | periodicite | semestrielle 3" xfId="812" builtinId="53" customBuiltin="true"/>
    <cellStyle name="classeur | periodicite | trimestrielle" xfId="813" builtinId="53" customBuiltin="true"/>
    <cellStyle name="classeur | periodicite | trimestrielle 2" xfId="814" builtinId="53" customBuiltin="true"/>
    <cellStyle name="classeur | periodicite | trimestrielle 2 2" xfId="815" builtinId="53" customBuiltin="true"/>
    <cellStyle name="classeur | periodicite | trimestrielle 3" xfId="816" builtinId="53" customBuiltin="true"/>
    <cellStyle name="classeur | reference | aucune" xfId="817" builtinId="53" customBuiltin="true"/>
    <cellStyle name="classeur | reference | aucune 2" xfId="818" builtinId="53" customBuiltin="true"/>
    <cellStyle name="classeur | reference | aucune 2 2" xfId="819" builtinId="53" customBuiltin="true"/>
    <cellStyle name="classeur | reference | aucune 3" xfId="820" builtinId="53" customBuiltin="true"/>
    <cellStyle name="classeur | reference | tabl-series compose" xfId="821" builtinId="53" customBuiltin="true"/>
    <cellStyle name="classeur | reference | tabl-series compose 2" xfId="822" builtinId="53" customBuiltin="true"/>
    <cellStyle name="classeur | reference | tabl-series compose 2 2" xfId="823" builtinId="53" customBuiltin="true"/>
    <cellStyle name="classeur | reference | tabl-series compose 3" xfId="824" builtinId="53" customBuiltin="true"/>
    <cellStyle name="classeur | reference | tabl-series simple (particulier)" xfId="825" builtinId="53" customBuiltin="true"/>
    <cellStyle name="classeur | reference | tabl-series simple (particulier) 2" xfId="826" builtinId="53" customBuiltin="true"/>
    <cellStyle name="classeur | reference | tabl-series simple (particulier) 2 2" xfId="827" builtinId="53" customBuiltin="true"/>
    <cellStyle name="classeur | reference | tabl-series simple (particulier) 3" xfId="828" builtinId="53" customBuiltin="true"/>
    <cellStyle name="classeur | reference | tabl-series simple (standard)" xfId="829" builtinId="53" customBuiltin="true"/>
    <cellStyle name="classeur | reference | tabl-series simple (standard) 2" xfId="830" builtinId="53" customBuiltin="true"/>
    <cellStyle name="classeur | reference | tabl-series simple (standard) 2 2" xfId="831" builtinId="53" customBuiltin="true"/>
    <cellStyle name="classeur | reference | tabl-series simple (standard) 3" xfId="832" builtinId="53" customBuiltin="true"/>
    <cellStyle name="classeur | reference | tabl-structure (particulier)" xfId="833" builtinId="53" customBuiltin="true"/>
    <cellStyle name="classeur | reference | tabl-structure (particulier) 2" xfId="834" builtinId="53" customBuiltin="true"/>
    <cellStyle name="classeur | reference | tabl-structure (particulier) 2 2" xfId="835" builtinId="53" customBuiltin="true"/>
    <cellStyle name="classeur | reference | tabl-structure (particulier) 3" xfId="836" builtinId="53" customBuiltin="true"/>
    <cellStyle name="classeur | reference | tabl-structure (standard)" xfId="837" builtinId="53" customBuiltin="true"/>
    <cellStyle name="classeur | reference | tabl-structure (standard) 2" xfId="838" builtinId="53" customBuiltin="true"/>
    <cellStyle name="classeur | reference | tabl-structure (standard) 2 2" xfId="839" builtinId="53" customBuiltin="true"/>
    <cellStyle name="classeur | reference | tabl-structure (standard) 3" xfId="840" builtinId="53" customBuiltin="true"/>
    <cellStyle name="classeur | theme | intitule" xfId="841" builtinId="53" customBuiltin="true"/>
    <cellStyle name="classeur | theme | intitule 2" xfId="842" builtinId="53" customBuiltin="true"/>
    <cellStyle name="classeur | theme | intitule 2 2" xfId="843" builtinId="53" customBuiltin="true"/>
    <cellStyle name="classeur | theme | intitule 3" xfId="844" builtinId="53" customBuiltin="true"/>
    <cellStyle name="classeur | theme | notice explicative" xfId="845" builtinId="53" customBuiltin="true"/>
    <cellStyle name="classeur | theme | notice explicative 2" xfId="846" builtinId="53" customBuiltin="true"/>
    <cellStyle name="classeur | theme | notice explicative 2 2" xfId="847" builtinId="53" customBuiltin="true"/>
    <cellStyle name="classeur | theme | notice explicative 3" xfId="848" builtinId="53" customBuiltin="true"/>
    <cellStyle name="classeur | titre | niveau 1" xfId="849" builtinId="53" customBuiltin="true"/>
    <cellStyle name="classeur | titre | niveau 1 2" xfId="850" builtinId="53" customBuiltin="true"/>
    <cellStyle name="classeur | titre | niveau 1 2 2" xfId="851" builtinId="53" customBuiltin="true"/>
    <cellStyle name="classeur | titre | niveau 1 3" xfId="852" builtinId="53" customBuiltin="true"/>
    <cellStyle name="classeur | titre | niveau 1 4" xfId="853" builtinId="53" customBuiltin="true"/>
    <cellStyle name="classeur | titre | niveau 1 5" xfId="854" builtinId="53" customBuiltin="true"/>
    <cellStyle name="classeur | titre | niveau 2" xfId="855" builtinId="53" customBuiltin="true"/>
    <cellStyle name="classeur | titre | niveau 2 2" xfId="856" builtinId="53" customBuiltin="true"/>
    <cellStyle name="classeur | titre | niveau 2 2 2" xfId="857" builtinId="53" customBuiltin="true"/>
    <cellStyle name="classeur | titre | niveau 2 3" xfId="858" builtinId="53" customBuiltin="true"/>
    <cellStyle name="classeur | titre | niveau 2 4" xfId="859" builtinId="53" customBuiltin="true"/>
    <cellStyle name="classeur | titre | niveau 2 5" xfId="860" builtinId="53" customBuiltin="true"/>
    <cellStyle name="classeur | titre | niveau 3" xfId="861" builtinId="53" customBuiltin="true"/>
    <cellStyle name="classeur | titre | niveau 3 2" xfId="862" builtinId="53" customBuiltin="true"/>
    <cellStyle name="classeur | titre | niveau 3 2 2" xfId="863" builtinId="53" customBuiltin="true"/>
    <cellStyle name="classeur | titre | niveau 3 3" xfId="864" builtinId="53" customBuiltin="true"/>
    <cellStyle name="classeur | titre | niveau 3 4" xfId="865" builtinId="53" customBuiltin="true"/>
    <cellStyle name="classeur | titre | niveau 3 5" xfId="866" builtinId="53" customBuiltin="true"/>
    <cellStyle name="classeur | titre | niveau 4" xfId="867" builtinId="53" customBuiltin="true"/>
    <cellStyle name="classeur | titre | niveau 4 2" xfId="868" builtinId="53" customBuiltin="true"/>
    <cellStyle name="classeur | titre | niveau 4 2 2" xfId="869" builtinId="53" customBuiltin="true"/>
    <cellStyle name="classeur | titre | niveau 4 3" xfId="870" builtinId="53" customBuiltin="true"/>
    <cellStyle name="classeur | titre | niveau 4 4" xfId="871" builtinId="53" customBuiltin="true"/>
    <cellStyle name="classeur | titre | niveau 4 5" xfId="872" builtinId="53" customBuiltin="true"/>
    <cellStyle name="classeur | titre | niveau 5" xfId="873" builtinId="53" customBuiltin="true"/>
    <cellStyle name="classeur | titre | niveau 5 2" xfId="874" builtinId="53" customBuiltin="true"/>
    <cellStyle name="classeur | titre | niveau 5 2 2" xfId="875" builtinId="53" customBuiltin="true"/>
    <cellStyle name="classeur | titre | niveau 5 3" xfId="876" builtinId="53" customBuiltin="true"/>
    <cellStyle name="classeur | titre | niveau 5 4" xfId="877" builtinId="53" customBuiltin="true"/>
    <cellStyle name="classeur | titre | niveau 5 5" xfId="878" builtinId="53" customBuiltin="true"/>
    <cellStyle name="coin" xfId="879" builtinId="53" customBuiltin="true"/>
    <cellStyle name="coin 2" xfId="880" builtinId="53" customBuiltin="true"/>
    <cellStyle name="Comma 2" xfId="881" builtinId="53" customBuiltin="true"/>
    <cellStyle name="Comma 2 2" xfId="882" builtinId="53" customBuiltin="true"/>
    <cellStyle name="Comma 2 2 2" xfId="883" builtinId="53" customBuiltin="true"/>
    <cellStyle name="Comma 2 2 3" xfId="884" builtinId="53" customBuiltin="true"/>
    <cellStyle name="Comma 3" xfId="885" builtinId="53" customBuiltin="true"/>
    <cellStyle name="Comma 3 2" xfId="886" builtinId="53" customBuiltin="true"/>
    <cellStyle name="Comma [0]" xfId="887" builtinId="53" customBuiltin="true"/>
    <cellStyle name="Commentaire 2" xfId="888" builtinId="53" customBuiltin="true"/>
    <cellStyle name="Commentaire 2 2" xfId="889" builtinId="53" customBuiltin="true"/>
    <cellStyle name="Commentaire 2 2 2" xfId="890" builtinId="53" customBuiltin="true"/>
    <cellStyle name="Commentaire 2 3" xfId="891" builtinId="53" customBuiltin="true"/>
    <cellStyle name="Commentaire 2 4" xfId="892" builtinId="53" customBuiltin="true"/>
    <cellStyle name="Constants" xfId="893" builtinId="53" customBuiltin="true"/>
    <cellStyle name="ContentsHyperlink" xfId="894" builtinId="53" customBuiltin="true"/>
    <cellStyle name="contenu_unite" xfId="895" builtinId="53" customBuiltin="true"/>
    <cellStyle name="Cover" xfId="896" builtinId="53" customBuiltin="true"/>
    <cellStyle name="Currency [0]" xfId="897" builtinId="53" customBuiltin="true"/>
    <cellStyle name="CustomCellsOrange" xfId="898" builtinId="53" customBuiltin="true"/>
    <cellStyle name="CustomCellsOrange 2" xfId="899" builtinId="53" customBuiltin="true"/>
    <cellStyle name="CustomCellsOrange 2 2" xfId="900" builtinId="53" customBuiltin="true"/>
    <cellStyle name="CustomCellsOrange 2 2 2" xfId="901" builtinId="53" customBuiltin="true"/>
    <cellStyle name="CustomCellsOrange 2 2 2 2" xfId="902" builtinId="53" customBuiltin="true"/>
    <cellStyle name="CustomCellsOrange 2 2 2 2 2" xfId="903" builtinId="53" customBuiltin="true"/>
    <cellStyle name="CustomCellsOrange 2 2 2 2 2 2" xfId="904" builtinId="53" customBuiltin="true"/>
    <cellStyle name="CustomCellsOrange 2 2 2 2 3" xfId="905" builtinId="53" customBuiltin="true"/>
    <cellStyle name="CustomCellsOrange 2 2 2 2 4" xfId="906" builtinId="53" customBuiltin="true"/>
    <cellStyle name="CustomCellsOrange 2 2 2 3" xfId="907" builtinId="53" customBuiltin="true"/>
    <cellStyle name="CustomCellsOrange 2 2 2 3 2" xfId="908" builtinId="53" customBuiltin="true"/>
    <cellStyle name="CustomCellsOrange 2 2 2 4" xfId="909" builtinId="53" customBuiltin="true"/>
    <cellStyle name="CustomCellsOrange 2 2 2 5" xfId="910" builtinId="53" customBuiltin="true"/>
    <cellStyle name="CustomCellsOrange 2 2 3" xfId="911" builtinId="53" customBuiltin="true"/>
    <cellStyle name="CustomCellsOrange 2 2 3 2" xfId="912" builtinId="53" customBuiltin="true"/>
    <cellStyle name="CustomCellsOrange 2 2 3 2 2" xfId="913" builtinId="53" customBuiltin="true"/>
    <cellStyle name="CustomCellsOrange 2 2 3 3" xfId="914" builtinId="53" customBuiltin="true"/>
    <cellStyle name="CustomCellsOrange 2 2 3 4" xfId="915" builtinId="53" customBuiltin="true"/>
    <cellStyle name="CustomCellsOrange 2 2 4" xfId="916" builtinId="53" customBuiltin="true"/>
    <cellStyle name="CustomCellsOrange 2 2 4 2" xfId="917" builtinId="53" customBuiltin="true"/>
    <cellStyle name="CustomCellsOrange 2 2 4 2 2" xfId="918" builtinId="53" customBuiltin="true"/>
    <cellStyle name="CustomCellsOrange 2 2 4 3" xfId="919" builtinId="53" customBuiltin="true"/>
    <cellStyle name="CustomCellsOrange 2 2 4 4" xfId="920" builtinId="53" customBuiltin="true"/>
    <cellStyle name="CustomCellsOrange 2 2 5" xfId="921" builtinId="53" customBuiltin="true"/>
    <cellStyle name="CustomCellsOrange 2 2 5 2" xfId="922" builtinId="53" customBuiltin="true"/>
    <cellStyle name="CustomCellsOrange 2 2 5 2 2" xfId="923" builtinId="53" customBuiltin="true"/>
    <cellStyle name="CustomCellsOrange 2 2 5 3" xfId="924" builtinId="53" customBuiltin="true"/>
    <cellStyle name="CustomCellsOrange 2 2 5 4" xfId="925" builtinId="53" customBuiltin="true"/>
    <cellStyle name="CustomCellsOrange 2 2 6" xfId="926" builtinId="53" customBuiltin="true"/>
    <cellStyle name="CustomCellsOrange 2 2 6 2" xfId="927" builtinId="53" customBuiltin="true"/>
    <cellStyle name="CustomCellsOrange 2 2 7" xfId="928" builtinId="53" customBuiltin="true"/>
    <cellStyle name="CustomCellsOrange 2 2 8" xfId="929" builtinId="53" customBuiltin="true"/>
    <cellStyle name="CustomCellsOrange 2 3" xfId="930" builtinId="53" customBuiltin="true"/>
    <cellStyle name="CustomCellsOrange 2 3 2" xfId="931" builtinId="53" customBuiltin="true"/>
    <cellStyle name="CustomCellsOrange 2 4" xfId="932" builtinId="53" customBuiltin="true"/>
    <cellStyle name="CustomCellsOrange 2 5" xfId="933" builtinId="53" customBuiltin="true"/>
    <cellStyle name="CustomCellsOrange 3" xfId="934" builtinId="53" customBuiltin="true"/>
    <cellStyle name="CustomCellsOrange 3 2" xfId="935" builtinId="53" customBuiltin="true"/>
    <cellStyle name="CustomCellsOrange 3 2 2" xfId="936" builtinId="53" customBuiltin="true"/>
    <cellStyle name="CustomCellsOrange 3 2 2 2" xfId="937" builtinId="53" customBuiltin="true"/>
    <cellStyle name="CustomCellsOrange 3 2 3" xfId="938" builtinId="53" customBuiltin="true"/>
    <cellStyle name="CustomCellsOrange 3 2 4" xfId="939" builtinId="53" customBuiltin="true"/>
    <cellStyle name="CustomCellsOrange 3 3" xfId="940" builtinId="53" customBuiltin="true"/>
    <cellStyle name="CustomCellsOrange 3 3 2" xfId="941" builtinId="53" customBuiltin="true"/>
    <cellStyle name="CustomCellsOrange 3 3 2 2" xfId="942" builtinId="53" customBuiltin="true"/>
    <cellStyle name="CustomCellsOrange 3 3 3" xfId="943" builtinId="53" customBuiltin="true"/>
    <cellStyle name="CustomCellsOrange 3 3 4" xfId="944" builtinId="53" customBuiltin="true"/>
    <cellStyle name="CustomCellsOrange 3 4" xfId="945" builtinId="53" customBuiltin="true"/>
    <cellStyle name="CustomCellsOrange 3 4 2" xfId="946" builtinId="53" customBuiltin="true"/>
    <cellStyle name="CustomCellsOrange 3 4 2 2" xfId="947" builtinId="53" customBuiltin="true"/>
    <cellStyle name="CustomCellsOrange 3 4 3" xfId="948" builtinId="53" customBuiltin="true"/>
    <cellStyle name="CustomCellsOrange 3 4 4" xfId="949" builtinId="53" customBuiltin="true"/>
    <cellStyle name="CustomCellsOrange 3 5" xfId="950" builtinId="53" customBuiltin="true"/>
    <cellStyle name="CustomCellsOrange 3 5 2" xfId="951" builtinId="53" customBuiltin="true"/>
    <cellStyle name="CustomCellsOrange 3 6" xfId="952" builtinId="53" customBuiltin="true"/>
    <cellStyle name="CustomCellsOrange 3 7" xfId="953" builtinId="53" customBuiltin="true"/>
    <cellStyle name="CustomCellsOrange 4" xfId="954" builtinId="53" customBuiltin="true"/>
    <cellStyle name="CustomCellsOrange 4 2" xfId="955" builtinId="53" customBuiltin="true"/>
    <cellStyle name="CustomCellsOrange 5" xfId="956" builtinId="53" customBuiltin="true"/>
    <cellStyle name="CustomCellsOrange 6" xfId="957" builtinId="53" customBuiltin="true"/>
    <cellStyle name="CustomizationCells" xfId="958" builtinId="53" customBuiltin="true"/>
    <cellStyle name="CustomizationCells 2" xfId="959" builtinId="53" customBuiltin="true"/>
    <cellStyle name="CustomizationCells 2 2" xfId="960" builtinId="53" customBuiltin="true"/>
    <cellStyle name="CustomizationCells 2 2 2" xfId="961" builtinId="53" customBuiltin="true"/>
    <cellStyle name="CustomizationCells 2 2 2 2" xfId="962" builtinId="53" customBuiltin="true"/>
    <cellStyle name="CustomizationCells 2 2 2 2 2" xfId="963" builtinId="53" customBuiltin="true"/>
    <cellStyle name="CustomizationCells 2 2 2 2 2 2" xfId="964" builtinId="53" customBuiltin="true"/>
    <cellStyle name="CustomizationCells 2 2 2 2 3" xfId="965" builtinId="53" customBuiltin="true"/>
    <cellStyle name="CustomizationCells 2 2 2 2 4" xfId="966" builtinId="53" customBuiltin="true"/>
    <cellStyle name="CustomizationCells 2 2 2 3" xfId="967" builtinId="53" customBuiltin="true"/>
    <cellStyle name="CustomizationCells 2 2 2 3 2" xfId="968" builtinId="53" customBuiltin="true"/>
    <cellStyle name="CustomizationCells 2 2 2 4" xfId="969" builtinId="53" customBuiltin="true"/>
    <cellStyle name="CustomizationCells 2 2 2 5" xfId="970" builtinId="53" customBuiltin="true"/>
    <cellStyle name="CustomizationCells 2 2 3" xfId="971" builtinId="53" customBuiltin="true"/>
    <cellStyle name="CustomizationCells 2 2 3 2" xfId="972" builtinId="53" customBuiltin="true"/>
    <cellStyle name="CustomizationCells 2 2 3 2 2" xfId="973" builtinId="53" customBuiltin="true"/>
    <cellStyle name="CustomizationCells 2 2 3 3" xfId="974" builtinId="53" customBuiltin="true"/>
    <cellStyle name="CustomizationCells 2 2 3 4" xfId="975" builtinId="53" customBuiltin="true"/>
    <cellStyle name="CustomizationCells 2 2 4" xfId="976" builtinId="53" customBuiltin="true"/>
    <cellStyle name="CustomizationCells 2 2 4 2" xfId="977" builtinId="53" customBuiltin="true"/>
    <cellStyle name="CustomizationCells 2 2 4 2 2" xfId="978" builtinId="53" customBuiltin="true"/>
    <cellStyle name="CustomizationCells 2 2 4 3" xfId="979" builtinId="53" customBuiltin="true"/>
    <cellStyle name="CustomizationCells 2 2 4 4" xfId="980" builtinId="53" customBuiltin="true"/>
    <cellStyle name="CustomizationCells 2 2 5" xfId="981" builtinId="53" customBuiltin="true"/>
    <cellStyle name="CustomizationCells 2 2 5 2" xfId="982" builtinId="53" customBuiltin="true"/>
    <cellStyle name="CustomizationCells 2 2 5 2 2" xfId="983" builtinId="53" customBuiltin="true"/>
    <cellStyle name="CustomizationCells 2 2 5 3" xfId="984" builtinId="53" customBuiltin="true"/>
    <cellStyle name="CustomizationCells 2 2 5 4" xfId="985" builtinId="53" customBuiltin="true"/>
    <cellStyle name="CustomizationCells 2 2 6" xfId="986" builtinId="53" customBuiltin="true"/>
    <cellStyle name="CustomizationCells 2 2 6 2" xfId="987" builtinId="53" customBuiltin="true"/>
    <cellStyle name="CustomizationCells 2 2 7" xfId="988" builtinId="53" customBuiltin="true"/>
    <cellStyle name="CustomizationCells 2 2 8" xfId="989" builtinId="53" customBuiltin="true"/>
    <cellStyle name="CustomizationCells 2 3" xfId="990" builtinId="53" customBuiltin="true"/>
    <cellStyle name="CustomizationCells 2 3 2" xfId="991" builtinId="53" customBuiltin="true"/>
    <cellStyle name="CustomizationCells 2 4" xfId="992" builtinId="53" customBuiltin="true"/>
    <cellStyle name="CustomizationCells 2 5" xfId="993" builtinId="53" customBuiltin="true"/>
    <cellStyle name="CustomizationCells 3" xfId="994" builtinId="53" customBuiltin="true"/>
    <cellStyle name="CustomizationCells 3 2" xfId="995" builtinId="53" customBuiltin="true"/>
    <cellStyle name="CustomizationCells 3 2 2" xfId="996" builtinId="53" customBuiltin="true"/>
    <cellStyle name="CustomizationCells 3 2 2 2" xfId="997" builtinId="53" customBuiltin="true"/>
    <cellStyle name="CustomizationCells 3 2 3" xfId="998" builtinId="53" customBuiltin="true"/>
    <cellStyle name="CustomizationCells 3 2 4" xfId="999" builtinId="53" customBuiltin="true"/>
    <cellStyle name="CustomizationCells 3 3" xfId="1000" builtinId="53" customBuiltin="true"/>
    <cellStyle name="CustomizationCells 3 3 2" xfId="1001" builtinId="53" customBuiltin="true"/>
    <cellStyle name="CustomizationCells 3 3 2 2" xfId="1002" builtinId="53" customBuiltin="true"/>
    <cellStyle name="CustomizationCells 3 3 3" xfId="1003" builtinId="53" customBuiltin="true"/>
    <cellStyle name="CustomizationCells 3 3 4" xfId="1004" builtinId="53" customBuiltin="true"/>
    <cellStyle name="CustomizationCells 3 4" xfId="1005" builtinId="53" customBuiltin="true"/>
    <cellStyle name="CustomizationCells 3 4 2" xfId="1006" builtinId="53" customBuiltin="true"/>
    <cellStyle name="CustomizationCells 3 4 2 2" xfId="1007" builtinId="53" customBuiltin="true"/>
    <cellStyle name="CustomizationCells 3 4 3" xfId="1008" builtinId="53" customBuiltin="true"/>
    <cellStyle name="CustomizationCells 3 4 4" xfId="1009" builtinId="53" customBuiltin="true"/>
    <cellStyle name="CustomizationCells 3 5" xfId="1010" builtinId="53" customBuiltin="true"/>
    <cellStyle name="CustomizationCells 3 5 2" xfId="1011" builtinId="53" customBuiltin="true"/>
    <cellStyle name="CustomizationCells 3 6" xfId="1012" builtinId="53" customBuiltin="true"/>
    <cellStyle name="CustomizationCells 3 7" xfId="1013" builtinId="53" customBuiltin="true"/>
    <cellStyle name="CustomizationCells 4" xfId="1014" builtinId="53" customBuiltin="true"/>
    <cellStyle name="CustomizationCells 4 2" xfId="1015" builtinId="53" customBuiltin="true"/>
    <cellStyle name="CustomizationCells 5" xfId="1016" builtinId="53" customBuiltin="true"/>
    <cellStyle name="CustomizationCells 6" xfId="1017" builtinId="53" customBuiltin="true"/>
    <cellStyle name="CustomizationGreenCells" xfId="1018" builtinId="53" customBuiltin="true"/>
    <cellStyle name="CustomizationGreenCells 2" xfId="1019" builtinId="53" customBuiltin="true"/>
    <cellStyle name="CustomizationGreenCells 2 2" xfId="1020" builtinId="53" customBuiltin="true"/>
    <cellStyle name="CustomizationGreenCells 2 2 2" xfId="1021" builtinId="53" customBuiltin="true"/>
    <cellStyle name="CustomizationGreenCells 2 3" xfId="1022" builtinId="53" customBuiltin="true"/>
    <cellStyle name="CustomizationGreenCells 3" xfId="1023" builtinId="53" customBuiltin="true"/>
    <cellStyle name="CustomizationGreenCells 3 2" xfId="1024" builtinId="53" customBuiltin="true"/>
    <cellStyle name="CustomizationGreenCells 3 2 2" xfId="1025" builtinId="53" customBuiltin="true"/>
    <cellStyle name="CustomizationGreenCells 3 2 2 2" xfId="1026" builtinId="53" customBuiltin="true"/>
    <cellStyle name="CustomizationGreenCells 3 2 3" xfId="1027" builtinId="53" customBuiltin="true"/>
    <cellStyle name="CustomizationGreenCells 3 3" xfId="1028" builtinId="53" customBuiltin="true"/>
    <cellStyle name="CustomizationGreenCells 3 3 2" xfId="1029" builtinId="53" customBuiltin="true"/>
    <cellStyle name="CustomizationGreenCells 3 3 2 2" xfId="1030" builtinId="53" customBuiltin="true"/>
    <cellStyle name="CustomizationGreenCells 3 3 3" xfId="1031" builtinId="53" customBuiltin="true"/>
    <cellStyle name="CustomizationGreenCells 3 4" xfId="1032" builtinId="53" customBuiltin="true"/>
    <cellStyle name="CustomizationGreenCells 3 4 2" xfId="1033" builtinId="53" customBuiltin="true"/>
    <cellStyle name="CustomizationGreenCells 3 4 2 2" xfId="1034" builtinId="53" customBuiltin="true"/>
    <cellStyle name="CustomizationGreenCells 3 4 3" xfId="1035" builtinId="53" customBuiltin="true"/>
    <cellStyle name="CustomizationGreenCells 3 5" xfId="1036" builtinId="53" customBuiltin="true"/>
    <cellStyle name="CustomizationGreenCells 3 5 2" xfId="1037" builtinId="53" customBuiltin="true"/>
    <cellStyle name="CustomizationGreenCells 3 6" xfId="1038" builtinId="53" customBuiltin="true"/>
    <cellStyle name="CustomizationGreenCells 4" xfId="1039" builtinId="53" customBuiltin="true"/>
    <cellStyle name="CustomizationGreenCells 4 2" xfId="1040" builtinId="53" customBuiltin="true"/>
    <cellStyle name="CustomizationGreenCells 5" xfId="1041" builtinId="53" customBuiltin="true"/>
    <cellStyle name="Date" xfId="1042" builtinId="53" customBuiltin="true"/>
    <cellStyle name="DocBox_EmptyRow" xfId="1043" builtinId="53" customBuiltin="true"/>
    <cellStyle name="donn_normal" xfId="1044" builtinId="53" customBuiltin="true"/>
    <cellStyle name="donnnormal1" xfId="1045" builtinId="53" customBuiltin="true"/>
    <cellStyle name="donnnormal1 2" xfId="1046" builtinId="53" customBuiltin="true"/>
    <cellStyle name="donnnormal2" xfId="1047" builtinId="53" customBuiltin="true"/>
    <cellStyle name="donnnormal2 2" xfId="1048" builtinId="53" customBuiltin="true"/>
    <cellStyle name="donnnormal3" xfId="1049" builtinId="53" customBuiltin="true"/>
    <cellStyle name="donnnormal3 2" xfId="1050" builtinId="53" customBuiltin="true"/>
    <cellStyle name="donnnormal4" xfId="1051" builtinId="53" customBuiltin="true"/>
    <cellStyle name="donnnormal4 2" xfId="1052" builtinId="53" customBuiltin="true"/>
    <cellStyle name="donntotal1" xfId="1053" builtinId="53" customBuiltin="true"/>
    <cellStyle name="donntotal1 2" xfId="1054" builtinId="53" customBuiltin="true"/>
    <cellStyle name="donntotal2" xfId="1055" builtinId="53" customBuiltin="true"/>
    <cellStyle name="donntotal2 2" xfId="1056" builtinId="53" customBuiltin="true"/>
    <cellStyle name="donntotal3" xfId="1057" builtinId="53" customBuiltin="true"/>
    <cellStyle name="donntotal3 2" xfId="1058" builtinId="53" customBuiltin="true"/>
    <cellStyle name="donntotal4" xfId="1059" builtinId="53" customBuiltin="true"/>
    <cellStyle name="donntotal4 2" xfId="1060" builtinId="53" customBuiltin="true"/>
    <cellStyle name="Dålig" xfId="1061" builtinId="53" customBuiltin="true"/>
    <cellStyle name="Eingabe" xfId="1062" builtinId="53" customBuiltin="true"/>
    <cellStyle name="Eingabe 2" xfId="1063" builtinId="53" customBuiltin="true"/>
    <cellStyle name="Eingabe 3" xfId="1064" builtinId="53" customBuiltin="true"/>
    <cellStyle name="Eingabe 3 2" xfId="1065" builtinId="53" customBuiltin="true"/>
    <cellStyle name="Eingabe 3 2 2" xfId="1066" builtinId="53" customBuiltin="true"/>
    <cellStyle name="Eingabe 3 3" xfId="1067" builtinId="53" customBuiltin="true"/>
    <cellStyle name="Eingabe 3 3 2" xfId="1068" builtinId="53" customBuiltin="true"/>
    <cellStyle name="Eingabe 3 4" xfId="1069" builtinId="53" customBuiltin="true"/>
    <cellStyle name="Eingabe 3 4 2" xfId="1070" builtinId="53" customBuiltin="true"/>
    <cellStyle name="Eingabe 3 5" xfId="1071" builtinId="53" customBuiltin="true"/>
    <cellStyle name="Eingabe 4" xfId="1072" builtinId="53" customBuiltin="true"/>
    <cellStyle name="Eingabe 4 2" xfId="1073" builtinId="53" customBuiltin="true"/>
    <cellStyle name="Eingabe 4 2 2" xfId="1074" builtinId="53" customBuiltin="true"/>
    <cellStyle name="Eingabe 4 3" xfId="1075" builtinId="53" customBuiltin="true"/>
    <cellStyle name="Eingabe 4 3 2" xfId="1076" builtinId="53" customBuiltin="true"/>
    <cellStyle name="Eingabe 4 4" xfId="1077" builtinId="53" customBuiltin="true"/>
    <cellStyle name="Eingabe 4 4 2" xfId="1078" builtinId="53" customBuiltin="true"/>
    <cellStyle name="Eingabe 4 5" xfId="1079" builtinId="53" customBuiltin="true"/>
    <cellStyle name="Eingabe 5" xfId="1080" builtinId="53" customBuiltin="true"/>
    <cellStyle name="Eingabe 5 2" xfId="1081" builtinId="53" customBuiltin="true"/>
    <cellStyle name="Eingabe 6" xfId="1082" builtinId="53" customBuiltin="true"/>
    <cellStyle name="Eingabe 6 2" xfId="1083" builtinId="53" customBuiltin="true"/>
    <cellStyle name="Eingabe 7" xfId="1084" builtinId="53" customBuiltin="true"/>
    <cellStyle name="Eingabe 7 2" xfId="1085" builtinId="53" customBuiltin="true"/>
    <cellStyle name="Eingabe 8" xfId="1086" builtinId="53" customBuiltin="true"/>
    <cellStyle name="Empty_B_border" xfId="1087" builtinId="53" customBuiltin="true"/>
    <cellStyle name="En-tête 1" xfId="1088" builtinId="53" customBuiltin="true"/>
    <cellStyle name="En-tête 2" xfId="1089" builtinId="53" customBuiltin="true"/>
    <cellStyle name="ent_col_ser" xfId="1090" builtinId="53" customBuiltin="true"/>
    <cellStyle name="entete_indice" xfId="1091" builtinId="53" customBuiltin="true"/>
    <cellStyle name="Entrée 2" xfId="1092" builtinId="53" customBuiltin="true"/>
    <cellStyle name="Entrée 2 2" xfId="1093" builtinId="53" customBuiltin="true"/>
    <cellStyle name="Ergebnis" xfId="1094" builtinId="53" customBuiltin="true"/>
    <cellStyle name="Ergebnis 2" xfId="1095" builtinId="53" customBuiltin="true"/>
    <cellStyle name="Ergebnis 2 2" xfId="1096" builtinId="53" customBuiltin="true"/>
    <cellStyle name="Ergebnis 2 2 2" xfId="1097" builtinId="53" customBuiltin="true"/>
    <cellStyle name="Ergebnis 2 3" xfId="1098" builtinId="53" customBuiltin="true"/>
    <cellStyle name="Ergebnis 2 3 2" xfId="1099" builtinId="53" customBuiltin="true"/>
    <cellStyle name="Ergebnis 2 4" xfId="1100" builtinId="53" customBuiltin="true"/>
    <cellStyle name="Ergebnis 2 4 2" xfId="1101" builtinId="53" customBuiltin="true"/>
    <cellStyle name="Ergebnis 2 5" xfId="1102" builtinId="53" customBuiltin="true"/>
    <cellStyle name="Ergebnis 3" xfId="1103" builtinId="53" customBuiltin="true"/>
    <cellStyle name="Ergebnis 3 2" xfId="1104" builtinId="53" customBuiltin="true"/>
    <cellStyle name="Ergebnis 3 2 2" xfId="1105" builtinId="53" customBuiltin="true"/>
    <cellStyle name="Ergebnis 3 3" xfId="1106" builtinId="53" customBuiltin="true"/>
    <cellStyle name="Ergebnis 3 3 2" xfId="1107" builtinId="53" customBuiltin="true"/>
    <cellStyle name="Ergebnis 3 4" xfId="1108" builtinId="53" customBuiltin="true"/>
    <cellStyle name="Ergebnis 3 4 2" xfId="1109" builtinId="53" customBuiltin="true"/>
    <cellStyle name="Ergebnis 3 5" xfId="1110" builtinId="53" customBuiltin="true"/>
    <cellStyle name="Ergebnis 4" xfId="1111" builtinId="53" customBuiltin="true"/>
    <cellStyle name="Ergebnis 4 2" xfId="1112" builtinId="53" customBuiltin="true"/>
    <cellStyle name="Ergebnis 5" xfId="1113" builtinId="53" customBuiltin="true"/>
    <cellStyle name="Ergebnis 5 2" xfId="1114" builtinId="53" customBuiltin="true"/>
    <cellStyle name="Ergebnis 6" xfId="1115" builtinId="53" customBuiltin="true"/>
    <cellStyle name="Ergebnis 6 2" xfId="1116" builtinId="53" customBuiltin="true"/>
    <cellStyle name="Ergebnis 7" xfId="1117" builtinId="53" customBuiltin="true"/>
    <cellStyle name="Erklärender Text" xfId="1118" builtinId="53" customBuiltin="true"/>
    <cellStyle name="Erklärender Text 2" xfId="1119" builtinId="53" customBuiltin="true"/>
    <cellStyle name="Erklärender Text 3" xfId="1120" builtinId="53" customBuiltin="true"/>
    <cellStyle name="Euro" xfId="1121" builtinId="53" customBuiltin="true"/>
    <cellStyle name="Euro 2" xfId="1122" builtinId="53" customBuiltin="true"/>
    <cellStyle name="Explanatory Text" xfId="1123" builtinId="53" customBuiltin="true"/>
    <cellStyle name="Explanatory Text 2" xfId="1124" builtinId="53" customBuiltin="true"/>
    <cellStyle name="Explanatory Text 3" xfId="1125" builtinId="53" customBuiltin="true"/>
    <cellStyle name="Ezres [0]_Ques_15-19_4.1" xfId="1126" builtinId="53" customBuiltin="true"/>
    <cellStyle name="Ezres_Ques_15-19_4.1" xfId="1127" builtinId="53" customBuiltin="true"/>
    <cellStyle name="F2" xfId="1128" builtinId="53" customBuiltin="true"/>
    <cellStyle name="F3" xfId="1129" builtinId="53" customBuiltin="true"/>
    <cellStyle name="F4" xfId="1130" builtinId="53" customBuiltin="true"/>
    <cellStyle name="F5" xfId="1131" builtinId="53" customBuiltin="true"/>
    <cellStyle name="F6" xfId="1132" builtinId="53" customBuiltin="true"/>
    <cellStyle name="F7" xfId="1133" builtinId="53" customBuiltin="true"/>
    <cellStyle name="F8" xfId="1134" builtinId="53" customBuiltin="true"/>
    <cellStyle name="Financier0" xfId="1135" builtinId="53" customBuiltin="true"/>
    <cellStyle name="Färg1" xfId="1136" builtinId="53" customBuiltin="true"/>
    <cellStyle name="Färg2" xfId="1137" builtinId="53" customBuiltin="true"/>
    <cellStyle name="Färg3" xfId="1138" builtinId="53" customBuiltin="true"/>
    <cellStyle name="Färg4" xfId="1139" builtinId="53" customBuiltin="true"/>
    <cellStyle name="Färg5" xfId="1140" builtinId="53" customBuiltin="true"/>
    <cellStyle name="Färg6" xfId="1141" builtinId="53" customBuiltin="true"/>
    <cellStyle name="Förklarande text" xfId="1142" builtinId="53" customBuiltin="true"/>
    <cellStyle name="Good" xfId="1143" builtinId="53" customBuiltin="true"/>
    <cellStyle name="Good 2" xfId="1144" builtinId="53" customBuiltin="true"/>
    <cellStyle name="Good 3" xfId="1145" builtinId="53" customBuiltin="true"/>
    <cellStyle name="Good 4" xfId="1146" builtinId="53" customBuiltin="true"/>
    <cellStyle name="Gut" xfId="1147" builtinId="53" customBuiltin="true"/>
    <cellStyle name="Heading 1" xfId="1148" builtinId="53" customBuiltin="true"/>
    <cellStyle name="Heading 1 2" xfId="1149" builtinId="53" customBuiltin="true"/>
    <cellStyle name="Heading 1 3" xfId="1150" builtinId="53" customBuiltin="true"/>
    <cellStyle name="Heading 1 4" xfId="1151" builtinId="53" customBuiltin="true"/>
    <cellStyle name="Heading 2" xfId="1152" builtinId="53" customBuiltin="true"/>
    <cellStyle name="Heading 2 2" xfId="1153" builtinId="53" customBuiltin="true"/>
    <cellStyle name="Heading 2 3" xfId="1154" builtinId="53" customBuiltin="true"/>
    <cellStyle name="Heading 2 4" xfId="1155" builtinId="53" customBuiltin="true"/>
    <cellStyle name="Heading 3" xfId="1156" builtinId="53" customBuiltin="true"/>
    <cellStyle name="Heading 3 2" xfId="1157" builtinId="53" customBuiltin="true"/>
    <cellStyle name="Heading 3 3" xfId="1158" builtinId="53" customBuiltin="true"/>
    <cellStyle name="Heading 3 4" xfId="1159" builtinId="53" customBuiltin="true"/>
    <cellStyle name="Heading 4" xfId="1160" builtinId="53" customBuiltin="true"/>
    <cellStyle name="Heading 4 2" xfId="1161" builtinId="53" customBuiltin="true"/>
    <cellStyle name="Heading 4 3" xfId="1162" builtinId="53" customBuiltin="true"/>
    <cellStyle name="Heading 4 4" xfId="1163" builtinId="53" customBuiltin="true"/>
    <cellStyle name="Headline" xfId="1164" builtinId="53" customBuiltin="true"/>
    <cellStyle name="Hyperlink 2" xfId="1165" builtinId="53" customBuiltin="true"/>
    <cellStyle name="Indata" xfId="1166" builtinId="53" customBuiltin="true"/>
    <cellStyle name="Indata 2" xfId="1167" builtinId="53" customBuiltin="true"/>
    <cellStyle name="indice" xfId="1168" builtinId="53" customBuiltin="true"/>
    <cellStyle name="Input 2" xfId="1169" builtinId="53" customBuiltin="true"/>
    <cellStyle name="Input 2 2" xfId="1170" builtinId="53" customBuiltin="true"/>
    <cellStyle name="Input 2 2 2" xfId="1171" builtinId="53" customBuiltin="true"/>
    <cellStyle name="Input 2 3" xfId="1172" builtinId="53" customBuiltin="true"/>
    <cellStyle name="Input 2 3 2" xfId="1173" builtinId="53" customBuiltin="true"/>
    <cellStyle name="Input 2 4" xfId="1174" builtinId="53" customBuiltin="true"/>
    <cellStyle name="Input 2 4 2" xfId="1175" builtinId="53" customBuiltin="true"/>
    <cellStyle name="Input 2 5" xfId="1176" builtinId="53" customBuiltin="true"/>
    <cellStyle name="Input 3" xfId="1177" builtinId="53" customBuiltin="true"/>
    <cellStyle name="Input 3 2" xfId="1178" builtinId="53" customBuiltin="true"/>
    <cellStyle name="Input 3 2 2" xfId="1179" builtinId="53" customBuiltin="true"/>
    <cellStyle name="Input 3 3" xfId="1180" builtinId="53" customBuiltin="true"/>
    <cellStyle name="Input 3 3 2" xfId="1181" builtinId="53" customBuiltin="true"/>
    <cellStyle name="Input 3 4" xfId="1182" builtinId="53" customBuiltin="true"/>
    <cellStyle name="Input 3 4 2" xfId="1183" builtinId="53" customBuiltin="true"/>
    <cellStyle name="Input 3 5" xfId="1184" builtinId="53" customBuiltin="true"/>
    <cellStyle name="Input 4" xfId="1185" builtinId="53" customBuiltin="true"/>
    <cellStyle name="InputCells" xfId="1186" builtinId="53" customBuiltin="true"/>
    <cellStyle name="InputCells 2" xfId="1187" builtinId="53" customBuiltin="true"/>
    <cellStyle name="InputCells 3" xfId="1188" builtinId="53" customBuiltin="true"/>
    <cellStyle name="InputCells 4" xfId="1189" builtinId="53" customBuiltin="true"/>
    <cellStyle name="InputCells12" xfId="1190" builtinId="53" customBuiltin="true"/>
    <cellStyle name="InputCells12 2" xfId="1191" builtinId="53" customBuiltin="true"/>
    <cellStyle name="InputCells12 2 2" xfId="1192" builtinId="53" customBuiltin="true"/>
    <cellStyle name="InputCells12 2 2 2" xfId="1193" builtinId="53" customBuiltin="true"/>
    <cellStyle name="InputCells12 2 2 2 2" xfId="1194" builtinId="53" customBuiltin="true"/>
    <cellStyle name="InputCells12 2 2 2 2 2" xfId="1195" builtinId="53" customBuiltin="true"/>
    <cellStyle name="InputCells12 2 2 2 3" xfId="1196" builtinId="53" customBuiltin="true"/>
    <cellStyle name="InputCells12 2 2 3" xfId="1197" builtinId="53" customBuiltin="true"/>
    <cellStyle name="InputCells12 2 2 3 2" xfId="1198" builtinId="53" customBuiltin="true"/>
    <cellStyle name="InputCells12 2 2 4" xfId="1199" builtinId="53" customBuiltin="true"/>
    <cellStyle name="InputCells12 2 3" xfId="1200" builtinId="53" customBuiltin="true"/>
    <cellStyle name="InputCells12 2 3 2" xfId="1201" builtinId="53" customBuiltin="true"/>
    <cellStyle name="InputCells12 2 3 2 2" xfId="1202" builtinId="53" customBuiltin="true"/>
    <cellStyle name="InputCells12 2 3 2 2 2" xfId="1203" builtinId="53" customBuiltin="true"/>
    <cellStyle name="InputCells12 2 3 2 3" xfId="1204" builtinId="53" customBuiltin="true"/>
    <cellStyle name="InputCells12 2 3 3" xfId="1205" builtinId="53" customBuiltin="true"/>
    <cellStyle name="InputCells12 2 3 3 2" xfId="1206" builtinId="53" customBuiltin="true"/>
    <cellStyle name="InputCells12 2 3 3 2 2" xfId="1207" builtinId="53" customBuiltin="true"/>
    <cellStyle name="InputCells12 2 3 3 3" xfId="1208" builtinId="53" customBuiltin="true"/>
    <cellStyle name="InputCells12 2 3 4" xfId="1209" builtinId="53" customBuiltin="true"/>
    <cellStyle name="InputCells12 2 3 4 2" xfId="1210" builtinId="53" customBuiltin="true"/>
    <cellStyle name="InputCells12 2 3 4 2 2" xfId="1211" builtinId="53" customBuiltin="true"/>
    <cellStyle name="InputCells12 2 3 4 3" xfId="1212" builtinId="53" customBuiltin="true"/>
    <cellStyle name="InputCells12 2 3 5" xfId="1213" builtinId="53" customBuiltin="true"/>
    <cellStyle name="InputCells12 2 3 5 2" xfId="1214" builtinId="53" customBuiltin="true"/>
    <cellStyle name="InputCells12 2 3 6" xfId="1215" builtinId="53" customBuiltin="true"/>
    <cellStyle name="InputCells12 2 4" xfId="1216" builtinId="53" customBuiltin="true"/>
    <cellStyle name="InputCells12 2 4 2" xfId="1217" builtinId="53" customBuiltin="true"/>
    <cellStyle name="InputCells12 2 5" xfId="1218" builtinId="53" customBuiltin="true"/>
    <cellStyle name="InputCells12 3" xfId="1219" builtinId="53" customBuiltin="true"/>
    <cellStyle name="InputCells12 3 2" xfId="1220" builtinId="53" customBuiltin="true"/>
    <cellStyle name="InputCells12 3 2 2" xfId="1221" builtinId="53" customBuiltin="true"/>
    <cellStyle name="InputCells12 3 2 2 2" xfId="1222" builtinId="53" customBuiltin="true"/>
    <cellStyle name="InputCells12 3 2 3" xfId="1223" builtinId="53" customBuiltin="true"/>
    <cellStyle name="InputCells12 3 3" xfId="1224" builtinId="53" customBuiltin="true"/>
    <cellStyle name="InputCells12 3 3 2" xfId="1225" builtinId="53" customBuiltin="true"/>
    <cellStyle name="InputCells12 3 4" xfId="1226" builtinId="53" customBuiltin="true"/>
    <cellStyle name="InputCells12 4" xfId="1227" builtinId="53" customBuiltin="true"/>
    <cellStyle name="InputCells12 4 2" xfId="1228" builtinId="53" customBuiltin="true"/>
    <cellStyle name="InputCells12 4 2 2" xfId="1229" builtinId="53" customBuiltin="true"/>
    <cellStyle name="InputCells12 4 2 2 2" xfId="1230" builtinId="53" customBuiltin="true"/>
    <cellStyle name="InputCells12 4 2 3" xfId="1231" builtinId="53" customBuiltin="true"/>
    <cellStyle name="InputCells12 4 3" xfId="1232" builtinId="53" customBuiltin="true"/>
    <cellStyle name="InputCells12 4 3 2" xfId="1233" builtinId="53" customBuiltin="true"/>
    <cellStyle name="InputCells12 4 3 2 2" xfId="1234" builtinId="53" customBuiltin="true"/>
    <cellStyle name="InputCells12 4 3 3" xfId="1235" builtinId="53" customBuiltin="true"/>
    <cellStyle name="InputCells12 4 4" xfId="1236" builtinId="53" customBuiltin="true"/>
    <cellStyle name="InputCells12 4 4 2" xfId="1237" builtinId="53" customBuiltin="true"/>
    <cellStyle name="InputCells12 4 4 2 2" xfId="1238" builtinId="53" customBuiltin="true"/>
    <cellStyle name="InputCells12 4 4 3" xfId="1239" builtinId="53" customBuiltin="true"/>
    <cellStyle name="InputCells12 4 5" xfId="1240" builtinId="53" customBuiltin="true"/>
    <cellStyle name="InputCells12 4 5 2" xfId="1241" builtinId="53" customBuiltin="true"/>
    <cellStyle name="InputCells12 4 6" xfId="1242" builtinId="53" customBuiltin="true"/>
    <cellStyle name="InputCells12 5" xfId="1243" builtinId="53" customBuiltin="true"/>
    <cellStyle name="InputCells12 5 2" xfId="1244" builtinId="53" customBuiltin="true"/>
    <cellStyle name="InputCells12 6" xfId="1245" builtinId="53" customBuiltin="true"/>
    <cellStyle name="InputCells12_BBorder" xfId="1246" builtinId="53" customBuiltin="true"/>
    <cellStyle name="InputCells_Bborder_1" xfId="1247" builtinId="53" customBuiltin="true"/>
    <cellStyle name="Insatisfaisant 2" xfId="1248" builtinId="53" customBuiltin="true"/>
    <cellStyle name="IntCells" xfId="1249" builtinId="53" customBuiltin="true"/>
    <cellStyle name="Kontrollcell" xfId="1250" builtinId="53" customBuiltin="true"/>
    <cellStyle name="KP_thin_border_dark_grey" xfId="1251" builtinId="53" customBuiltin="true"/>
    <cellStyle name="Lien hypertexte 2" xfId="1252" builtinId="53" customBuiltin="true"/>
    <cellStyle name="Lien hypertexte 2 2" xfId="1253" builtinId="53" customBuiltin="true"/>
    <cellStyle name="Lien hypertexte 3" xfId="1254" builtinId="53" customBuiltin="true"/>
    <cellStyle name="Lien hypertexte 4" xfId="1255" builtinId="53" customBuiltin="true"/>
    <cellStyle name="Lien hypertexte 5" xfId="1256" builtinId="53" customBuiltin="true"/>
    <cellStyle name="Lien hypertexte 6" xfId="1257" builtinId="53" customBuiltin="true"/>
    <cellStyle name="Ligne détail" xfId="1258" builtinId="53" customBuiltin="true"/>
    <cellStyle name="ligne_titre_0" xfId="1259" builtinId="53" customBuiltin="true"/>
    <cellStyle name="Linked Cell 2" xfId="1260" builtinId="53" customBuiltin="true"/>
    <cellStyle name="Linked Cell 3" xfId="1261" builtinId="53" customBuiltin="true"/>
    <cellStyle name="Linked Cell 4" xfId="1262" builtinId="53" customBuiltin="true"/>
    <cellStyle name="Länkad cell" xfId="1263" builtinId="53" customBuiltin="true"/>
    <cellStyle name="Menu" xfId="1264" builtinId="53" customBuiltin="true"/>
    <cellStyle name="Milliers 2" xfId="1265" builtinId="53" customBuiltin="true"/>
    <cellStyle name="Milliers 3" xfId="1266" builtinId="53" customBuiltin="true"/>
    <cellStyle name="Milliers 4" xfId="1267" builtinId="53" customBuiltin="true"/>
    <cellStyle name="Milliers 5" xfId="1268" builtinId="53" customBuiltin="true"/>
    <cellStyle name="Milliers 6" xfId="1269" builtinId="53" customBuiltin="true"/>
    <cellStyle name="Milliers 7" xfId="1270" builtinId="53" customBuiltin="true"/>
    <cellStyle name="Milliers 8" xfId="1271" builtinId="53" customBuiltin="true"/>
    <cellStyle name="Monétaire 2" xfId="1272" builtinId="53" customBuiltin="true"/>
    <cellStyle name="Monétaire 3" xfId="1273" builtinId="53" customBuiltin="true"/>
    <cellStyle name="Monétaire 4" xfId="1274" builtinId="53" customBuiltin="true"/>
    <cellStyle name="Monétaire 5" xfId="1275" builtinId="53" customBuiltin="true"/>
    <cellStyle name="Monétaire 6" xfId="1276" builtinId="53" customBuiltin="true"/>
    <cellStyle name="Monétaire0" xfId="1277" builtinId="53" customBuiltin="true"/>
    <cellStyle name="Neutral" xfId="1278" builtinId="53" customBuiltin="true"/>
    <cellStyle name="Neutral 2" xfId="1279" builtinId="53" customBuiltin="true"/>
    <cellStyle name="Neutral 3" xfId="1280" builtinId="53" customBuiltin="true"/>
    <cellStyle name="Neutre 2" xfId="1281" builtinId="53" customBuiltin="true"/>
    <cellStyle name="Normaali 2" xfId="1282" builtinId="53" customBuiltin="true"/>
    <cellStyle name="Normaali 2 2" xfId="1283" builtinId="53" customBuiltin="true"/>
    <cellStyle name="Normal 10" xfId="1284" builtinId="53" customBuiltin="true"/>
    <cellStyle name="Normal 10 2" xfId="1285" builtinId="53" customBuiltin="true"/>
    <cellStyle name="Normal 10 3" xfId="1286" builtinId="53" customBuiltin="true"/>
    <cellStyle name="Normal 11" xfId="1287" builtinId="53" customBuiltin="true"/>
    <cellStyle name="Normal 11 2" xfId="1288" builtinId="53" customBuiltin="true"/>
    <cellStyle name="Normal 12" xfId="1289" builtinId="53" customBuiltin="true"/>
    <cellStyle name="Normal 12 2" xfId="1290" builtinId="53" customBuiltin="true"/>
    <cellStyle name="Normal 13" xfId="1291" builtinId="53" customBuiltin="true"/>
    <cellStyle name="Normal 13 2" xfId="1292" builtinId="53" customBuiltin="true"/>
    <cellStyle name="Normal 14" xfId="1293" builtinId="53" customBuiltin="true"/>
    <cellStyle name="Normal 15" xfId="1294" builtinId="53" customBuiltin="true"/>
    <cellStyle name="Normal 16" xfId="1295" builtinId="53" customBuiltin="true"/>
    <cellStyle name="Normal 17" xfId="1296" builtinId="53" customBuiltin="true"/>
    <cellStyle name="Normal 18" xfId="1297" builtinId="53" customBuiltin="true"/>
    <cellStyle name="Normal 19" xfId="1298" builtinId="53" customBuiltin="true"/>
    <cellStyle name="Normal 2" xfId="1299" builtinId="53" customBuiltin="true"/>
    <cellStyle name="Normal 2 2" xfId="1300" builtinId="53" customBuiltin="true"/>
    <cellStyle name="Normal 2 2 2" xfId="1301" builtinId="53" customBuiltin="true"/>
    <cellStyle name="Normal 2 3" xfId="1302" builtinId="53" customBuiltin="true"/>
    <cellStyle name="Normal 2 3 2" xfId="1303" builtinId="53" customBuiltin="true"/>
    <cellStyle name="Normal 2 4" xfId="1304" builtinId="53" customBuiltin="true"/>
    <cellStyle name="Normal 2 5" xfId="1305" builtinId="53" customBuiltin="true"/>
    <cellStyle name="Normal 2 6" xfId="1306" builtinId="53" customBuiltin="true"/>
    <cellStyle name="Normal 2 7" xfId="1307" builtinId="53" customBuiltin="true"/>
    <cellStyle name="Normal 2 8" xfId="1308" builtinId="53" customBuiltin="true"/>
    <cellStyle name="Normal 20" xfId="1309" builtinId="53" customBuiltin="true"/>
    <cellStyle name="Normal 21" xfId="1310" builtinId="53" customBuiltin="true"/>
    <cellStyle name="Normal 22" xfId="1311" builtinId="53" customBuiltin="true"/>
    <cellStyle name="Normal 23" xfId="1312" builtinId="53" customBuiltin="true"/>
    <cellStyle name="Normal 24" xfId="1313" builtinId="53" customBuiltin="true"/>
    <cellStyle name="Normal 25" xfId="1314" builtinId="53" customBuiltin="true"/>
    <cellStyle name="Normal 26" xfId="1315" builtinId="53" customBuiltin="true"/>
    <cellStyle name="Normal 27" xfId="1316" builtinId="53" customBuiltin="true"/>
    <cellStyle name="Normal 28" xfId="1317" builtinId="53" customBuiltin="true"/>
    <cellStyle name="Normal 29" xfId="1318" builtinId="53" customBuiltin="true"/>
    <cellStyle name="Normal 3" xfId="1319" builtinId="53" customBuiltin="true"/>
    <cellStyle name="Normal 3 2" xfId="1320" builtinId="53" customBuiltin="true"/>
    <cellStyle name="Normal 3 2 2" xfId="1321" builtinId="53" customBuiltin="true"/>
    <cellStyle name="Normal 3 2 3" xfId="1322" builtinId="53" customBuiltin="true"/>
    <cellStyle name="Normal 3 3" xfId="1323" builtinId="53" customBuiltin="true"/>
    <cellStyle name="Normal 3 3 2" xfId="1324" builtinId="53" customBuiltin="true"/>
    <cellStyle name="Normal 3 4" xfId="1325" builtinId="53" customBuiltin="true"/>
    <cellStyle name="Normal 3 5" xfId="1326" builtinId="53" customBuiltin="true"/>
    <cellStyle name="Normal 3 6" xfId="1327" builtinId="53" customBuiltin="true"/>
    <cellStyle name="Normal 3 7" xfId="1328" builtinId="53" customBuiltin="true"/>
    <cellStyle name="Normal 3 8" xfId="1329" builtinId="53" customBuiltin="true"/>
    <cellStyle name="Normal 30" xfId="1330" builtinId="53" customBuiltin="true"/>
    <cellStyle name="Normal 31" xfId="1331" builtinId="53" customBuiltin="true"/>
    <cellStyle name="Normal 32" xfId="1332" builtinId="53" customBuiltin="true"/>
    <cellStyle name="Normal 32 2" xfId="1333" builtinId="53" customBuiltin="true"/>
    <cellStyle name="Normal 33" xfId="1334" builtinId="53" customBuiltin="true"/>
    <cellStyle name="Normal 4" xfId="1335" builtinId="53" customBuiltin="true"/>
    <cellStyle name="Normal 4 2" xfId="1336" builtinId="53" customBuiltin="true"/>
    <cellStyle name="Normal 4 2 2" xfId="1337" builtinId="53" customBuiltin="true"/>
    <cellStyle name="Normal 4 2 3" xfId="1338" builtinId="53" customBuiltin="true"/>
    <cellStyle name="Normal 4 3" xfId="1339" builtinId="53" customBuiltin="true"/>
    <cellStyle name="Normal 4 3 2" xfId="1340" builtinId="53" customBuiltin="true"/>
    <cellStyle name="Normal 4 4" xfId="1341" builtinId="53" customBuiltin="true"/>
    <cellStyle name="Normal 5" xfId="1342" builtinId="53" customBuiltin="true"/>
    <cellStyle name="Normal 5 2" xfId="1343" builtinId="53" customBuiltin="true"/>
    <cellStyle name="Normal 5 2 2" xfId="1344" builtinId="53" customBuiltin="true"/>
    <cellStyle name="Normal 5 2 2 2" xfId="1345" builtinId="53" customBuiltin="true"/>
    <cellStyle name="Normal 5 2 2 2 2" xfId="1346" builtinId="53" customBuiltin="true"/>
    <cellStyle name="Normal 5 2 2 2 2 2" xfId="1347" builtinId="53" customBuiltin="true"/>
    <cellStyle name="Normal 5 2 2 2 3" xfId="1348" builtinId="53" customBuiltin="true"/>
    <cellStyle name="Normal 5 2 2 3" xfId="1349" builtinId="53" customBuiltin="true"/>
    <cellStyle name="Normal 5 2 2 3 2" xfId="1350" builtinId="53" customBuiltin="true"/>
    <cellStyle name="Normal 5 2 2 4" xfId="1351" builtinId="53" customBuiltin="true"/>
    <cellStyle name="Normal 5 2 3" xfId="1352" builtinId="53" customBuiltin="true"/>
    <cellStyle name="Normal 5 2 3 2" xfId="1353" builtinId="53" customBuiltin="true"/>
    <cellStyle name="Normal 5 2 3 2 2" xfId="1354" builtinId="53" customBuiltin="true"/>
    <cellStyle name="Normal 5 2 3 3" xfId="1355" builtinId="53" customBuiltin="true"/>
    <cellStyle name="Normal 5 2 4" xfId="1356" builtinId="53" customBuiltin="true"/>
    <cellStyle name="Normal 5 2 4 2" xfId="1357" builtinId="53" customBuiltin="true"/>
    <cellStyle name="Normal 5 2 5" xfId="1358" builtinId="53" customBuiltin="true"/>
    <cellStyle name="Normal 5 2 5 2" xfId="1359" builtinId="53" customBuiltin="true"/>
    <cellStyle name="Normal 5 2 6" xfId="1360" builtinId="53" customBuiltin="true"/>
    <cellStyle name="Normal 5 3" xfId="1361" builtinId="53" customBuiltin="true"/>
    <cellStyle name="Normal 5 3 2" xfId="1362" builtinId="53" customBuiltin="true"/>
    <cellStyle name="Normal 5 3 2 2" xfId="1363" builtinId="53" customBuiltin="true"/>
    <cellStyle name="Normal 5 3 2 2 2" xfId="1364" builtinId="53" customBuiltin="true"/>
    <cellStyle name="Normal 5 3 2 3" xfId="1365" builtinId="53" customBuiltin="true"/>
    <cellStyle name="Normal 5 3 3" xfId="1366" builtinId="53" customBuiltin="true"/>
    <cellStyle name="Normal 5 3 3 2" xfId="1367" builtinId="53" customBuiltin="true"/>
    <cellStyle name="Normal 5 3 4" xfId="1368" builtinId="53" customBuiltin="true"/>
    <cellStyle name="Normal 5 4" xfId="1369" builtinId="53" customBuiltin="true"/>
    <cellStyle name="Normal 5 4 2" xfId="1370" builtinId="53" customBuiltin="true"/>
    <cellStyle name="Normal 5 4 2 2" xfId="1371" builtinId="53" customBuiltin="true"/>
    <cellStyle name="Normal 5 4 3" xfId="1372" builtinId="53" customBuiltin="true"/>
    <cellStyle name="Normal 5 5" xfId="1373" builtinId="53" customBuiltin="true"/>
    <cellStyle name="Normal 5 5 2" xfId="1374" builtinId="53" customBuiltin="true"/>
    <cellStyle name="Normal 5 6" xfId="1375" builtinId="53" customBuiltin="true"/>
    <cellStyle name="Normal 5 7" xfId="1376" builtinId="53" customBuiltin="true"/>
    <cellStyle name="Normal 5 8" xfId="1377" builtinId="53" customBuiltin="true"/>
    <cellStyle name="Normal 6" xfId="1378" builtinId="53" customBuiltin="true"/>
    <cellStyle name="Normal 6 10" xfId="1379" builtinId="53" customBuiltin="true"/>
    <cellStyle name="Normal 6 10 2" xfId="1380" builtinId="53" customBuiltin="true"/>
    <cellStyle name="Normal 6 11" xfId="1381" builtinId="53" customBuiltin="true"/>
    <cellStyle name="Normal 6 12" xfId="1382" builtinId="53" customBuiltin="true"/>
    <cellStyle name="Normal 6 2" xfId="1383" builtinId="53" customBuiltin="true"/>
    <cellStyle name="Normal 6 2 2" xfId="1384" builtinId="53" customBuiltin="true"/>
    <cellStyle name="Normal 6 2 2 2" xfId="1385" builtinId="53" customBuiltin="true"/>
    <cellStyle name="Normal 6 2 2 2 2" xfId="1386" builtinId="53" customBuiltin="true"/>
    <cellStyle name="Normal 6 2 2 2 2 2" xfId="1387" builtinId="53" customBuiltin="true"/>
    <cellStyle name="Normal 6 2 2 2 3" xfId="1388" builtinId="53" customBuiltin="true"/>
    <cellStyle name="Normal 6 2 2 3" xfId="1389" builtinId="53" customBuiltin="true"/>
    <cellStyle name="Normal 6 2 2 3 2" xfId="1390" builtinId="53" customBuiltin="true"/>
    <cellStyle name="Normal 6 2 2 4" xfId="1391" builtinId="53" customBuiltin="true"/>
    <cellStyle name="Normal 6 2 3" xfId="1392" builtinId="53" customBuiltin="true"/>
    <cellStyle name="Normal 6 2 3 2" xfId="1393" builtinId="53" customBuiltin="true"/>
    <cellStyle name="Normal 6 2 3 2 2" xfId="1394" builtinId="53" customBuiltin="true"/>
    <cellStyle name="Normal 6 2 3 3" xfId="1395" builtinId="53" customBuiltin="true"/>
    <cellStyle name="Normal 6 2 4" xfId="1396" builtinId="53" customBuiltin="true"/>
    <cellStyle name="Normal 6 2 4 2" xfId="1397" builtinId="53" customBuiltin="true"/>
    <cellStyle name="Normal 6 2 5" xfId="1398" builtinId="53" customBuiltin="true"/>
    <cellStyle name="Normal 6 2 5 2" xfId="1399" builtinId="53" customBuiltin="true"/>
    <cellStyle name="Normal 6 2 6" xfId="1400" builtinId="53" customBuiltin="true"/>
    <cellStyle name="Normal 6 3" xfId="1401" builtinId="53" customBuiltin="true"/>
    <cellStyle name="Normal 6 3 2" xfId="1402" builtinId="53" customBuiltin="true"/>
    <cellStyle name="Normal 6 3 2 2" xfId="1403" builtinId="53" customBuiltin="true"/>
    <cellStyle name="Normal 6 3 2 2 2" xfId="1404" builtinId="53" customBuiltin="true"/>
    <cellStyle name="Normal 6 3 2 2 2 2" xfId="1405" builtinId="53" customBuiltin="true"/>
    <cellStyle name="Normal 6 3 2 2 3" xfId="1406" builtinId="53" customBuiltin="true"/>
    <cellStyle name="Normal 6 3 2 3" xfId="1407" builtinId="53" customBuiltin="true"/>
    <cellStyle name="Normal 6 3 2 3 2" xfId="1408" builtinId="53" customBuiltin="true"/>
    <cellStyle name="Normal 6 3 2 4" xfId="1409" builtinId="53" customBuiltin="true"/>
    <cellStyle name="Normal 6 3 3" xfId="1410" builtinId="53" customBuiltin="true"/>
    <cellStyle name="Normal 6 3 3 2" xfId="1411" builtinId="53" customBuiltin="true"/>
    <cellStyle name="Normal 6 3 3 2 2" xfId="1412" builtinId="53" customBuiltin="true"/>
    <cellStyle name="Normal 6 3 3 3" xfId="1413" builtinId="53" customBuiltin="true"/>
    <cellStyle name="Normal 6 3 4" xfId="1414" builtinId="53" customBuiltin="true"/>
    <cellStyle name="Normal 6 3 4 2" xfId="1415" builtinId="53" customBuiltin="true"/>
    <cellStyle name="Normal 6 3 5" xfId="1416" builtinId="53" customBuiltin="true"/>
    <cellStyle name="Normal 6 4" xfId="1417" builtinId="53" customBuiltin="true"/>
    <cellStyle name="Normal 6 4 2" xfId="1418" builtinId="53" customBuiltin="true"/>
    <cellStyle name="Normal 6 4 2 2" xfId="1419" builtinId="53" customBuiltin="true"/>
    <cellStyle name="Normal 6 4 2 2 2" xfId="1420" builtinId="53" customBuiltin="true"/>
    <cellStyle name="Normal 6 4 2 3" xfId="1421" builtinId="53" customBuiltin="true"/>
    <cellStyle name="Normal 6 4 3" xfId="1422" builtinId="53" customBuiltin="true"/>
    <cellStyle name="Normal 6 4 3 2" xfId="1423" builtinId="53" customBuiltin="true"/>
    <cellStyle name="Normal 6 4 4" xfId="1424" builtinId="53" customBuiltin="true"/>
    <cellStyle name="Normal 6 5" xfId="1425" builtinId="53" customBuiltin="true"/>
    <cellStyle name="Normal 6 5 2" xfId="1426" builtinId="53" customBuiltin="true"/>
    <cellStyle name="Normal 6 5 2 2" xfId="1427" builtinId="53" customBuiltin="true"/>
    <cellStyle name="Normal 6 5 3" xfId="1428" builtinId="53" customBuiltin="true"/>
    <cellStyle name="Normal 6 6" xfId="1429" builtinId="53" customBuiltin="true"/>
    <cellStyle name="Normal 6 6 2" xfId="1430" builtinId="53" customBuiltin="true"/>
    <cellStyle name="Normal 6 7" xfId="1431" builtinId="53" customBuiltin="true"/>
    <cellStyle name="Normal 6 7 2" xfId="1432" builtinId="53" customBuiltin="true"/>
    <cellStyle name="Normal 6 8" xfId="1433" builtinId="53" customBuiltin="true"/>
    <cellStyle name="Normal 6 8 2" xfId="1434" builtinId="53" customBuiltin="true"/>
    <cellStyle name="Normal 6 9" xfId="1435" builtinId="53" customBuiltin="true"/>
    <cellStyle name="Normal 6 9 2" xfId="1436" builtinId="53" customBuiltin="true"/>
    <cellStyle name="Normal 7" xfId="1437" builtinId="53" customBuiltin="true"/>
    <cellStyle name="Normal 7 10" xfId="1438" builtinId="53" customBuiltin="true"/>
    <cellStyle name="Normal 7 11" xfId="1439" builtinId="53" customBuiltin="true"/>
    <cellStyle name="Normal 7 2" xfId="1440" builtinId="53" customBuiltin="true"/>
    <cellStyle name="Normal 7 2 2" xfId="1441" builtinId="53" customBuiltin="true"/>
    <cellStyle name="Normal 7 2 2 2" xfId="1442" builtinId="53" customBuiltin="true"/>
    <cellStyle name="Normal 7 2 2 2 2" xfId="1443" builtinId="53" customBuiltin="true"/>
    <cellStyle name="Normal 7 2 2 2 2 2" xfId="1444" builtinId="53" customBuiltin="true"/>
    <cellStyle name="Normal 7 2 2 2 3" xfId="1445" builtinId="53" customBuiltin="true"/>
    <cellStyle name="Normal 7 2 2 3" xfId="1446" builtinId="53" customBuiltin="true"/>
    <cellStyle name="Normal 7 2 2 3 2" xfId="1447" builtinId="53" customBuiltin="true"/>
    <cellStyle name="Normal 7 2 2 4" xfId="1448" builtinId="53" customBuiltin="true"/>
    <cellStyle name="Normal 7 2 3" xfId="1449" builtinId="53" customBuiltin="true"/>
    <cellStyle name="Normal 7 2 3 2" xfId="1450" builtinId="53" customBuiltin="true"/>
    <cellStyle name="Normal 7 2 3 2 2" xfId="1451" builtinId="53" customBuiltin="true"/>
    <cellStyle name="Normal 7 2 3 3" xfId="1452" builtinId="53" customBuiltin="true"/>
    <cellStyle name="Normal 7 2 4" xfId="1453" builtinId="53" customBuiltin="true"/>
    <cellStyle name="Normal 7 2 4 2" xfId="1454" builtinId="53" customBuiltin="true"/>
    <cellStyle name="Normal 7 2 5" xfId="1455" builtinId="53" customBuiltin="true"/>
    <cellStyle name="Normal 7 2 5 2" xfId="1456" builtinId="53" customBuiltin="true"/>
    <cellStyle name="Normal 7 2 6" xfId="1457" builtinId="53" customBuiltin="true"/>
    <cellStyle name="Normal 7 3" xfId="1458" builtinId="53" customBuiltin="true"/>
    <cellStyle name="Normal 7 3 2" xfId="1459" builtinId="53" customBuiltin="true"/>
    <cellStyle name="Normal 7 3 2 2" xfId="1460" builtinId="53" customBuiltin="true"/>
    <cellStyle name="Normal 7 3 2 2 2" xfId="1461" builtinId="53" customBuiltin="true"/>
    <cellStyle name="Normal 7 3 2 3" xfId="1462" builtinId="53" customBuiltin="true"/>
    <cellStyle name="Normal 7 3 3" xfId="1463" builtinId="53" customBuiltin="true"/>
    <cellStyle name="Normal 7 3 3 2" xfId="1464" builtinId="53" customBuiltin="true"/>
    <cellStyle name="Normal 7 3 4" xfId="1465" builtinId="53" customBuiltin="true"/>
    <cellStyle name="Normal 7 4" xfId="1466" builtinId="53" customBuiltin="true"/>
    <cellStyle name="Normal 7 4 2" xfId="1467" builtinId="53" customBuiltin="true"/>
    <cellStyle name="Normal 7 4 2 2" xfId="1468" builtinId="53" customBuiltin="true"/>
    <cellStyle name="Normal 7 4 3" xfId="1469" builtinId="53" customBuiltin="true"/>
    <cellStyle name="Normal 7 5" xfId="1470" builtinId="53" customBuiltin="true"/>
    <cellStyle name="Normal 7 5 2" xfId="1471" builtinId="53" customBuiltin="true"/>
    <cellStyle name="Normal 7 6" xfId="1472" builtinId="53" customBuiltin="true"/>
    <cellStyle name="Normal 7 7" xfId="1473" builtinId="53" customBuiltin="true"/>
    <cellStyle name="Normal 7 8" xfId="1474" builtinId="53" customBuiltin="true"/>
    <cellStyle name="Normal 7 9" xfId="1475" builtinId="53" customBuiltin="true"/>
    <cellStyle name="Normal 8" xfId="1476" builtinId="53" customBuiltin="true"/>
    <cellStyle name="Normal 8 2" xfId="1477" builtinId="53" customBuiltin="true"/>
    <cellStyle name="Normal 8 2 2" xfId="1478" builtinId="53" customBuiltin="true"/>
    <cellStyle name="Normal 8 3" xfId="1479" builtinId="53" customBuiltin="true"/>
    <cellStyle name="Normal 9" xfId="1480" builtinId="53" customBuiltin="true"/>
    <cellStyle name="Normal 9 2" xfId="1481" builtinId="53" customBuiltin="true"/>
    <cellStyle name="Normal GHG Numbers (0.00)" xfId="1482" builtinId="53" customBuiltin="true"/>
    <cellStyle name="Normal GHG Numbers (0.00) 2" xfId="1483" builtinId="53" customBuiltin="true"/>
    <cellStyle name="Normal GHG Numbers (0.00) 2 2" xfId="1484" builtinId="53" customBuiltin="true"/>
    <cellStyle name="Normal GHG Numbers (0.00) 2 3" xfId="1485" builtinId="53" customBuiltin="true"/>
    <cellStyle name="Normal GHG Numbers (0.00) 3" xfId="1486" builtinId="53" customBuiltin="true"/>
    <cellStyle name="Normal GHG Numbers (0.00) 3 2" xfId="1487" builtinId="53" customBuiltin="true"/>
    <cellStyle name="Normal GHG Numbers (0.00) 3 2 2" xfId="1488" builtinId="53" customBuiltin="true"/>
    <cellStyle name="Normal GHG Numbers (0.00) 3 2 2 2" xfId="1489" builtinId="53" customBuiltin="true"/>
    <cellStyle name="Normal GHG Numbers (0.00) 3 2 2 2 2" xfId="1490" builtinId="53" customBuiltin="true"/>
    <cellStyle name="Normal GHG Numbers (0.00) 3 2 2 3" xfId="1491" builtinId="53" customBuiltin="true"/>
    <cellStyle name="Normal GHG Numbers (0.00) 3 2 3" xfId="1492" builtinId="53" customBuiltin="true"/>
    <cellStyle name="Normal GHG Numbers (0.00) 3 2 3 2" xfId="1493" builtinId="53" customBuiltin="true"/>
    <cellStyle name="Normal GHG Numbers (0.00) 3 2 4" xfId="1494" builtinId="53" customBuiltin="true"/>
    <cellStyle name="Normal GHG Numbers (0.00) 3 3" xfId="1495" builtinId="53" customBuiltin="true"/>
    <cellStyle name="Normal GHG Numbers (0.00) 3 3 2" xfId="1496" builtinId="53" customBuiltin="true"/>
    <cellStyle name="Normal GHG Numbers (0.00) 3 3 2 2" xfId="1497" builtinId="53" customBuiltin="true"/>
    <cellStyle name="Normal GHG Numbers (0.00) 3 3 2 2 2" xfId="1498" builtinId="53" customBuiltin="true"/>
    <cellStyle name="Normal GHG Numbers (0.00) 3 3 2 3" xfId="1499" builtinId="53" customBuiltin="true"/>
    <cellStyle name="Normal GHG Numbers (0.00) 3 3 3" xfId="1500" builtinId="53" customBuiltin="true"/>
    <cellStyle name="Normal GHG Numbers (0.00) 3 3 3 2" xfId="1501" builtinId="53" customBuiltin="true"/>
    <cellStyle name="Normal GHG Numbers (0.00) 3 3 3 2 2" xfId="1502" builtinId="53" customBuiltin="true"/>
    <cellStyle name="Normal GHG Numbers (0.00) 3 3 3 3" xfId="1503" builtinId="53" customBuiltin="true"/>
    <cellStyle name="Normal GHG Numbers (0.00) 3 3 4" xfId="1504" builtinId="53" customBuiltin="true"/>
    <cellStyle name="Normal GHG Numbers (0.00) 3 3 4 2" xfId="1505" builtinId="53" customBuiltin="true"/>
    <cellStyle name="Normal GHG Numbers (0.00) 3 3 4 2 2" xfId="1506" builtinId="53" customBuiltin="true"/>
    <cellStyle name="Normal GHG Numbers (0.00) 3 3 4 3" xfId="1507" builtinId="53" customBuiltin="true"/>
    <cellStyle name="Normal GHG Numbers (0.00) 3 3 5" xfId="1508" builtinId="53" customBuiltin="true"/>
    <cellStyle name="Normal GHG Numbers (0.00) 3 3 5 2" xfId="1509" builtinId="53" customBuiltin="true"/>
    <cellStyle name="Normal GHG Numbers (0.00) 3 3 6" xfId="1510" builtinId="53" customBuiltin="true"/>
    <cellStyle name="Normal GHG Numbers (0.00) 3 4" xfId="1511" builtinId="53" customBuiltin="true"/>
    <cellStyle name="Normal GHG Numbers (0.00) 3 4 2" xfId="1512" builtinId="53" customBuiltin="true"/>
    <cellStyle name="Normal GHG Numbers (0.00) 3 5" xfId="1513" builtinId="53" customBuiltin="true"/>
    <cellStyle name="Normal GHG Numbers (0.00) 4" xfId="1514" builtinId="53" customBuiltin="true"/>
    <cellStyle name="Normal GHG Numbers (0.00) 5" xfId="1515" builtinId="53" customBuiltin="true"/>
    <cellStyle name="Normal GHG Numbers (0.00) 6" xfId="1516" builtinId="53" customBuiltin="true"/>
    <cellStyle name="Normal GHG Textfiels Bold" xfId="1517" builtinId="53" customBuiltin="true"/>
    <cellStyle name="Normal GHG Textfiels Bold 2" xfId="1518" builtinId="53" customBuiltin="true"/>
    <cellStyle name="Normal GHG Textfiels Bold 3" xfId="1519" builtinId="53" customBuiltin="true"/>
    <cellStyle name="Normal GHG Textfiels Bold 3 2" xfId="1520" builtinId="53" customBuiltin="true"/>
    <cellStyle name="Normal GHG Textfiels Bold 3 2 2" xfId="1521" builtinId="53" customBuiltin="true"/>
    <cellStyle name="Normal GHG Textfiels Bold 3 2 2 2" xfId="1522" builtinId="53" customBuiltin="true"/>
    <cellStyle name="Normal GHG Textfiels Bold 3 2 2 2 2" xfId="1523" builtinId="53" customBuiltin="true"/>
    <cellStyle name="Normal GHG Textfiels Bold 3 2 2 3" xfId="1524" builtinId="53" customBuiltin="true"/>
    <cellStyle name="Normal GHG Textfiels Bold 3 2 3" xfId="1525" builtinId="53" customBuiltin="true"/>
    <cellStyle name="Normal GHG Textfiels Bold 3 2 3 2" xfId="1526" builtinId="53" customBuiltin="true"/>
    <cellStyle name="Normal GHG Textfiels Bold 3 2 4" xfId="1527" builtinId="53" customBuiltin="true"/>
    <cellStyle name="Normal GHG Textfiels Bold 3 3" xfId="1528" builtinId="53" customBuiltin="true"/>
    <cellStyle name="Normal GHG Textfiels Bold 3 3 2" xfId="1529" builtinId="53" customBuiltin="true"/>
    <cellStyle name="Normal GHG Textfiels Bold 3 3 2 2" xfId="1530" builtinId="53" customBuiltin="true"/>
    <cellStyle name="Normal GHG Textfiels Bold 3 3 2 2 2" xfId="1531" builtinId="53" customBuiltin="true"/>
    <cellStyle name="Normal GHG Textfiels Bold 3 3 2 3" xfId="1532" builtinId="53" customBuiltin="true"/>
    <cellStyle name="Normal GHG Textfiels Bold 3 3 3" xfId="1533" builtinId="53" customBuiltin="true"/>
    <cellStyle name="Normal GHG Textfiels Bold 3 3 3 2" xfId="1534" builtinId="53" customBuiltin="true"/>
    <cellStyle name="Normal GHG Textfiels Bold 3 3 3 2 2" xfId="1535" builtinId="53" customBuiltin="true"/>
    <cellStyle name="Normal GHG Textfiels Bold 3 3 3 3" xfId="1536" builtinId="53" customBuiltin="true"/>
    <cellStyle name="Normal GHG Textfiels Bold 3 3 4" xfId="1537" builtinId="53" customBuiltin="true"/>
    <cellStyle name="Normal GHG Textfiels Bold 3 3 4 2" xfId="1538" builtinId="53" customBuiltin="true"/>
    <cellStyle name="Normal GHG Textfiels Bold 3 3 4 2 2" xfId="1539" builtinId="53" customBuiltin="true"/>
    <cellStyle name="Normal GHG Textfiels Bold 3 3 4 3" xfId="1540" builtinId="53" customBuiltin="true"/>
    <cellStyle name="Normal GHG Textfiels Bold 3 3 5" xfId="1541" builtinId="53" customBuiltin="true"/>
    <cellStyle name="Normal GHG Textfiels Bold 3 3 5 2" xfId="1542" builtinId="53" customBuiltin="true"/>
    <cellStyle name="Normal GHG Textfiels Bold 3 3 6" xfId="1543" builtinId="53" customBuiltin="true"/>
    <cellStyle name="Normal GHG Textfiels Bold 3 4" xfId="1544" builtinId="53" customBuiltin="true"/>
    <cellStyle name="Normal GHG Textfiels Bold 3 4 2" xfId="1545" builtinId="53" customBuiltin="true"/>
    <cellStyle name="Normal GHG Textfiels Bold 3 5" xfId="1546" builtinId="53" customBuiltin="true"/>
    <cellStyle name="Normal GHG whole table" xfId="1547" builtinId="53" customBuiltin="true"/>
    <cellStyle name="Normal GHG whole table 2" xfId="1548" builtinId="53" customBuiltin="true"/>
    <cellStyle name="Normal GHG whole table 2 2" xfId="1549" builtinId="53" customBuiltin="true"/>
    <cellStyle name="Normal GHG whole table 2 2 2" xfId="1550" builtinId="53" customBuiltin="true"/>
    <cellStyle name="Normal GHG whole table 2 2 2 2" xfId="1551" builtinId="53" customBuiltin="true"/>
    <cellStyle name="Normal GHG whole table 2 2 3" xfId="1552" builtinId="53" customBuiltin="true"/>
    <cellStyle name="Normal GHG whole table 2 3" xfId="1553" builtinId="53" customBuiltin="true"/>
    <cellStyle name="Normal GHG whole table 2 3 2" xfId="1554" builtinId="53" customBuiltin="true"/>
    <cellStyle name="Normal GHG whole table 2 4" xfId="1555" builtinId="53" customBuiltin="true"/>
    <cellStyle name="Normal GHG whole table 3" xfId="1556" builtinId="53" customBuiltin="true"/>
    <cellStyle name="Normal GHG whole table 3 2" xfId="0" builtinId="53" customBuiltin="true"/>
    <cellStyle name="Normal GHG whole table 3 2 2" xfId="0" builtinId="53" customBuiltin="true"/>
    <cellStyle name="Normal GHG whole table 3 2 2 2" xfId="0" builtinId="53" customBuiltin="true"/>
    <cellStyle name="Normal GHG whole table 3 2 3" xfId="0" builtinId="53" customBuiltin="true"/>
    <cellStyle name="Normal GHG whole table 3 3" xfId="0" builtinId="53" customBuiltin="true"/>
    <cellStyle name="Normal GHG whole table 3 3 2" xfId="0" builtinId="53" customBuiltin="true"/>
    <cellStyle name="Normal GHG whole table 3 3 2 2" xfId="0" builtinId="53" customBuiltin="true"/>
    <cellStyle name="Normal GHG whole table 3 3 3" xfId="0" builtinId="53" customBuiltin="true"/>
    <cellStyle name="Normal GHG whole table 3 4" xfId="0" builtinId="53" customBuiltin="true"/>
    <cellStyle name="Normal GHG whole table 3 4 2" xfId="0" builtinId="53" customBuiltin="true"/>
    <cellStyle name="Normal GHG whole table 3 4 2 2" xfId="0" builtinId="53" customBuiltin="true"/>
    <cellStyle name="Normal GHG whole table 3 4 3" xfId="0" builtinId="53" customBuiltin="true"/>
    <cellStyle name="Normal GHG whole table 3 5" xfId="0" builtinId="53" customBuiltin="true"/>
    <cellStyle name="Normal GHG whole table 3 5 2" xfId="0" builtinId="53" customBuiltin="true"/>
    <cellStyle name="Normal GHG whole table 3 6" xfId="0" builtinId="53" customBuiltin="true"/>
    <cellStyle name="Normal GHG whole table 4" xfId="0" builtinId="53" customBuiltin="true"/>
    <cellStyle name="Normal GHG whole table 4 2" xfId="0" builtinId="53" customBuiltin="true"/>
    <cellStyle name="Normal GHG whole table 5" xfId="0" builtinId="53" customBuiltin="true"/>
    <cellStyle name="Normal GHG-Shade" xfId="0" builtinId="53" customBuiltin="true"/>
    <cellStyle name="Normal GHG-Shade 2" xfId="0" builtinId="53" customBuiltin="true"/>
    <cellStyle name="Normal GHG-Shade 2 2" xfId="0" builtinId="53" customBuiltin="true"/>
    <cellStyle name="Normal GHG-Shade 2 3" xfId="0" builtinId="53" customBuiltin="true"/>
    <cellStyle name="Normal GHG-Shade 2 4" xfId="0" builtinId="53" customBuiltin="true"/>
    <cellStyle name="Normal GHG-Shade 2 5" xfId="0" builtinId="53" customBuiltin="true"/>
    <cellStyle name="Normal GHG-Shade 3" xfId="0" builtinId="53" customBuiltin="true"/>
    <cellStyle name="Normal GHG-Shade 3 2" xfId="0" builtinId="53" customBuiltin="true"/>
    <cellStyle name="Normal GHG-Shade 4" xfId="0" builtinId="53" customBuiltin="true"/>
    <cellStyle name="Normal GHG-Shade 4 2" xfId="0" builtinId="53" customBuiltin="true"/>
    <cellStyle name="Normale" xfId="0" builtinId="53" customBuiltin="true"/>
    <cellStyle name="Normalny_Input-Output B 95" xfId="0" builtinId="53" customBuiltin="true"/>
    <cellStyle name="Normál_constant00" xfId="0" builtinId="53" customBuiltin="true"/>
    <cellStyle name="note" xfId="0" builtinId="53" customBuiltin="true"/>
    <cellStyle name="Note 2" xfId="0" builtinId="53" customBuiltin="true"/>
    <cellStyle name="Note 2 2" xfId="0" builtinId="53" customBuiltin="true"/>
    <cellStyle name="Note 2 2 2" xfId="0" builtinId="53" customBuiltin="true"/>
    <cellStyle name="Note 2 3" xfId="0" builtinId="53" customBuiltin="true"/>
    <cellStyle name="Note 2 3 2" xfId="0" builtinId="53" customBuiltin="true"/>
    <cellStyle name="Note 2 4" xfId="0" builtinId="53" customBuiltin="true"/>
    <cellStyle name="Note 2 4 2" xfId="0" builtinId="53" customBuiltin="true"/>
    <cellStyle name="Note 2 5" xfId="0" builtinId="53" customBuiltin="true"/>
    <cellStyle name="Note 3" xfId="0" builtinId="53" customBuiltin="true"/>
    <cellStyle name="Note 3 2" xfId="0" builtinId="53" customBuiltin="true"/>
    <cellStyle name="Note 3 2 2" xfId="0" builtinId="53" customBuiltin="true"/>
    <cellStyle name="Note 3 3" xfId="0" builtinId="53" customBuiltin="true"/>
    <cellStyle name="Note 3 3 2" xfId="0" builtinId="53" customBuiltin="true"/>
    <cellStyle name="Note 3 4" xfId="0" builtinId="53" customBuiltin="true"/>
    <cellStyle name="Note 3 4 2" xfId="0" builtinId="53" customBuiltin="true"/>
    <cellStyle name="Note 3 5" xfId="0" builtinId="53" customBuiltin="true"/>
    <cellStyle name="notice_theme" xfId="0" builtinId="53" customBuiltin="true"/>
    <cellStyle name="Notiz" xfId="0" builtinId="53" customBuiltin="true"/>
    <cellStyle name="Notiz 2" xfId="0" builtinId="53" customBuiltin="true"/>
    <cellStyle name="Notiz 2 2" xfId="0" builtinId="53" customBuiltin="true"/>
    <cellStyle name="Notiz 3" xfId="0" builtinId="53" customBuiltin="true"/>
    <cellStyle name="Notiz 3 2" xfId="0" builtinId="53" customBuiltin="true"/>
    <cellStyle name="Notiz 4" xfId="0" builtinId="53" customBuiltin="true"/>
    <cellStyle name="Notiz 4 2" xfId="0" builtinId="53" customBuiltin="true"/>
    <cellStyle name="Notiz 5" xfId="0" builtinId="53" customBuiltin="true"/>
    <cellStyle name="num_note" xfId="0" builtinId="53" customBuiltin="true"/>
    <cellStyle name="Output" xfId="0" builtinId="53" customBuiltin="true"/>
    <cellStyle name="Output 2" xfId="0" builtinId="53" customBuiltin="true"/>
    <cellStyle name="Output 2 2" xfId="0" builtinId="53" customBuiltin="true"/>
    <cellStyle name="Output 2 2 2" xfId="0" builtinId="53" customBuiltin="true"/>
    <cellStyle name="Output 2 2 3" xfId="0" builtinId="53" customBuiltin="true"/>
    <cellStyle name="Output 2 2 4" xfId="0" builtinId="53" customBuiltin="true"/>
    <cellStyle name="Output 2 3" xfId="0" builtinId="53" customBuiltin="true"/>
    <cellStyle name="Output 2 3 2" xfId="0" builtinId="53" customBuiltin="true"/>
    <cellStyle name="Output 2 3 3" xfId="0" builtinId="53" customBuiltin="true"/>
    <cellStyle name="Output 2 3 4" xfId="0" builtinId="53" customBuiltin="true"/>
    <cellStyle name="Output 2 4" xfId="0" builtinId="53" customBuiltin="true"/>
    <cellStyle name="Output 2 5" xfId="0" builtinId="53" customBuiltin="true"/>
    <cellStyle name="Output 2 6" xfId="0" builtinId="53" customBuiltin="true"/>
    <cellStyle name="Output 3" xfId="0" builtinId="53" customBuiltin="true"/>
    <cellStyle name="Output 3 2" xfId="0" builtinId="53" customBuiltin="true"/>
    <cellStyle name="Output 3 2 2" xfId="0" builtinId="53" customBuiltin="true"/>
    <cellStyle name="Output 3 2 3" xfId="0" builtinId="53" customBuiltin="true"/>
    <cellStyle name="Output 3 2 4" xfId="0" builtinId="53" customBuiltin="true"/>
    <cellStyle name="Output 3 3" xfId="0" builtinId="53" customBuiltin="true"/>
    <cellStyle name="Output 3 3 2" xfId="0" builtinId="53" customBuiltin="true"/>
    <cellStyle name="Output 3 3 3" xfId="0" builtinId="53" customBuiltin="true"/>
    <cellStyle name="Output 3 3 4" xfId="0" builtinId="53" customBuiltin="true"/>
    <cellStyle name="Output 3 4" xfId="0" builtinId="53" customBuiltin="true"/>
    <cellStyle name="Output 3 5" xfId="0" builtinId="53" customBuiltin="true"/>
    <cellStyle name="Output 3 6" xfId="0" builtinId="53" customBuiltin="true"/>
    <cellStyle name="Output 4" xfId="0" builtinId="53" customBuiltin="true"/>
    <cellStyle name="Output 5" xfId="0" builtinId="53" customBuiltin="true"/>
    <cellStyle name="Output 6" xfId="0" builtinId="53" customBuiltin="true"/>
    <cellStyle name="Pattern" xfId="0" builtinId="53" customBuiltin="true"/>
    <cellStyle name="Pattern 2" xfId="0" builtinId="53" customBuiltin="true"/>
    <cellStyle name="Pattern 2 2" xfId="0" builtinId="53" customBuiltin="true"/>
    <cellStyle name="Pattern 2 2 2" xfId="0" builtinId="53" customBuiltin="true"/>
    <cellStyle name="Pattern 2 2 2 2" xfId="0" builtinId="53" customBuiltin="true"/>
    <cellStyle name="Pattern 2 2 3" xfId="0" builtinId="53" customBuiltin="true"/>
    <cellStyle name="Pattern 2 3" xfId="0" builtinId="53" customBuiltin="true"/>
    <cellStyle name="Pattern 2 4" xfId="0" builtinId="53" customBuiltin="true"/>
    <cellStyle name="Pattern 2 5" xfId="0" builtinId="53" customBuiltin="true"/>
    <cellStyle name="Pattern 3" xfId="0" builtinId="53" customBuiltin="true"/>
    <cellStyle name="Pattern 3 2" xfId="0" builtinId="53" customBuiltin="true"/>
    <cellStyle name="Pattern 3 2 2" xfId="0" builtinId="53" customBuiltin="true"/>
    <cellStyle name="Pattern 3 2 2 2" xfId="0" builtinId="53" customBuiltin="true"/>
    <cellStyle name="Pattern 3 2 3" xfId="0" builtinId="53" customBuiltin="true"/>
    <cellStyle name="Pattern 3 3" xfId="0" builtinId="53" customBuiltin="true"/>
    <cellStyle name="Pattern 3 3 2" xfId="0" builtinId="53" customBuiltin="true"/>
    <cellStyle name="Pattern 3 3 2 2" xfId="0" builtinId="53" customBuiltin="true"/>
    <cellStyle name="Pattern 3 3 3" xfId="0" builtinId="53" customBuiltin="true"/>
    <cellStyle name="Pattern 3 4" xfId="0" builtinId="53" customBuiltin="true"/>
    <cellStyle name="Pattern 3 4 2" xfId="0" builtinId="53" customBuiltin="true"/>
    <cellStyle name="Pattern 3 4 2 2" xfId="0" builtinId="53" customBuiltin="true"/>
    <cellStyle name="Pattern 3 4 3" xfId="0" builtinId="53" customBuiltin="true"/>
    <cellStyle name="Pattern 3 5" xfId="0" builtinId="53" customBuiltin="true"/>
    <cellStyle name="Pattern 3 5 2" xfId="0" builtinId="53" customBuiltin="true"/>
    <cellStyle name="Pattern 3 6" xfId="0" builtinId="53" customBuiltin="true"/>
    <cellStyle name="Pattern 4" xfId="0" builtinId="53" customBuiltin="true"/>
    <cellStyle name="Pattern 5" xfId="0" builtinId="53" customBuiltin="true"/>
    <cellStyle name="Pattern 6" xfId="0" builtinId="53" customBuiltin="true"/>
    <cellStyle name="Percent 2" xfId="0" builtinId="53" customBuiltin="true"/>
    <cellStyle name="Percent 2 2" xfId="0" builtinId="53" customBuiltin="true"/>
    <cellStyle name="Pourcentage 2" xfId="0" builtinId="53" customBuiltin="true"/>
    <cellStyle name="Pourcentage 2 2" xfId="0" builtinId="53" customBuiltin="true"/>
    <cellStyle name="Pourcentage 3" xfId="0" builtinId="53" customBuiltin="true"/>
    <cellStyle name="Pourcentage 4" xfId="0" builtinId="53" customBuiltin="true"/>
    <cellStyle name="Pourcentage 5" xfId="0" builtinId="53" customBuiltin="true"/>
    <cellStyle name="Pourcentage 6" xfId="0" builtinId="53" customBuiltin="true"/>
    <cellStyle name="Pourcentage 7" xfId="0" builtinId="53" customBuiltin="true"/>
    <cellStyle name="Pénznem [0]_Ques_15-19_4.1" xfId="0" builtinId="53" customBuiltin="true"/>
    <cellStyle name="Pénznem_Ques_15-19_4.1" xfId="0" builtinId="53" customBuiltin="true"/>
    <cellStyle name="RowLevel_1 2" xfId="0" builtinId="53" customBuiltin="true"/>
    <cellStyle name="Rubrik" xfId="0" builtinId="53" customBuiltin="true"/>
    <cellStyle name="Rubrik 1" xfId="0" builtinId="53" customBuiltin="true"/>
    <cellStyle name="Rubrik 2" xfId="0" builtinId="53" customBuiltin="true"/>
    <cellStyle name="Rubrik 3" xfId="0" builtinId="53" customBuiltin="true"/>
    <cellStyle name="Rubrik 4" xfId="0" builtinId="53" customBuiltin="true"/>
    <cellStyle name="Satisfaisant 2" xfId="0" builtinId="53" customBuiltin="true"/>
    <cellStyle name="Schlecht" xfId="0" builtinId="53" customBuiltin="true"/>
    <cellStyle name="Shade" xfId="0" builtinId="53" customBuiltin="true"/>
    <cellStyle name="Shade 2" xfId="0" builtinId="53" customBuiltin="true"/>
    <cellStyle name="Shade 2 2" xfId="0" builtinId="53" customBuiltin="true"/>
    <cellStyle name="Shade 2 2 2" xfId="0" builtinId="53" customBuiltin="true"/>
    <cellStyle name="Shade 2 2 2 2" xfId="0" builtinId="53" customBuiltin="true"/>
    <cellStyle name="Shade 2 2 2 2 2" xfId="0" builtinId="53" customBuiltin="true"/>
    <cellStyle name="Shade 2 2 2 3" xfId="0" builtinId="53" customBuiltin="true"/>
    <cellStyle name="Shade 2 2 3" xfId="0" builtinId="53" customBuiltin="true"/>
    <cellStyle name="Shade 2 2 3 2" xfId="0" builtinId="53" customBuiltin="true"/>
    <cellStyle name="Shade 2 2 4" xfId="0" builtinId="53" customBuiltin="true"/>
    <cellStyle name="Shade 2 3" xfId="0" builtinId="53" customBuiltin="true"/>
    <cellStyle name="Shade 2 3 2" xfId="0" builtinId="53" customBuiltin="true"/>
    <cellStyle name="Shade 2 3 2 2" xfId="0" builtinId="53" customBuiltin="true"/>
    <cellStyle name="Shade 2 3 2 2 2" xfId="0" builtinId="53" customBuiltin="true"/>
    <cellStyle name="Shade 2 3 2 3" xfId="0" builtinId="53" customBuiltin="true"/>
    <cellStyle name="Shade 2 3 3" xfId="0" builtinId="53" customBuiltin="true"/>
    <cellStyle name="Shade 2 3 3 2" xfId="0" builtinId="53" customBuiltin="true"/>
    <cellStyle name="Shade 2 3 3 2 2" xfId="0" builtinId="53" customBuiltin="true"/>
    <cellStyle name="Shade 2 3 3 3" xfId="0" builtinId="53" customBuiltin="true"/>
    <cellStyle name="Shade 2 3 4" xfId="0" builtinId="53" customBuiltin="true"/>
    <cellStyle name="Shade 2 3 4 2" xfId="0" builtinId="53" customBuiltin="true"/>
    <cellStyle name="Shade 2 3 4 2 2" xfId="0" builtinId="53" customBuiltin="true"/>
    <cellStyle name="Shade 2 3 4 3" xfId="0" builtinId="53" customBuiltin="true"/>
    <cellStyle name="Shade 2 3 5" xfId="0" builtinId="53" customBuiltin="true"/>
    <cellStyle name="Shade 2 3 5 2" xfId="0" builtinId="53" customBuiltin="true"/>
    <cellStyle name="Shade 2 3 6" xfId="0" builtinId="53" customBuiltin="true"/>
    <cellStyle name="Shade 2 4" xfId="0" builtinId="53" customBuiltin="true"/>
    <cellStyle name="Shade 2 4 2" xfId="0" builtinId="53" customBuiltin="true"/>
    <cellStyle name="Shade 2 5" xfId="0" builtinId="53" customBuiltin="true"/>
    <cellStyle name="Shade 3" xfId="0" builtinId="53" customBuiltin="true"/>
    <cellStyle name="Shade 3 2" xfId="0" builtinId="53" customBuiltin="true"/>
    <cellStyle name="Shade 3 2 2" xfId="0" builtinId="53" customBuiltin="true"/>
    <cellStyle name="Shade 3 2 2 2" xfId="0" builtinId="53" customBuiltin="true"/>
    <cellStyle name="Shade 3 2 3" xfId="0" builtinId="53" customBuiltin="true"/>
    <cellStyle name="Shade 3 3" xfId="0" builtinId="53" customBuiltin="true"/>
    <cellStyle name="Shade 3 3 2" xfId="0" builtinId="53" customBuiltin="true"/>
    <cellStyle name="Shade 3 4" xfId="0" builtinId="53" customBuiltin="true"/>
    <cellStyle name="Shade 4" xfId="0" builtinId="53" customBuiltin="true"/>
    <cellStyle name="Shade 4 2" xfId="0" builtinId="53" customBuiltin="true"/>
    <cellStyle name="Shade 4 2 2" xfId="0" builtinId="53" customBuiltin="true"/>
    <cellStyle name="Shade 4 2 2 2" xfId="0" builtinId="53" customBuiltin="true"/>
    <cellStyle name="Shade 4 2 3" xfId="0" builtinId="53" customBuiltin="true"/>
    <cellStyle name="Shade 4 3" xfId="0" builtinId="53" customBuiltin="true"/>
    <cellStyle name="Shade 4 3 2" xfId="0" builtinId="53" customBuiltin="true"/>
    <cellStyle name="Shade 4 3 2 2" xfId="0" builtinId="53" customBuiltin="true"/>
    <cellStyle name="Shade 4 3 3" xfId="0" builtinId="53" customBuiltin="true"/>
    <cellStyle name="Shade 4 4" xfId="0" builtinId="53" customBuiltin="true"/>
    <cellStyle name="Shade 4 4 2" xfId="0" builtinId="53" customBuiltin="true"/>
    <cellStyle name="Shade 4 4 2 2" xfId="0" builtinId="53" customBuiltin="true"/>
    <cellStyle name="Shade 4 4 3" xfId="0" builtinId="53" customBuiltin="true"/>
    <cellStyle name="Shade 4 5" xfId="0" builtinId="53" customBuiltin="true"/>
    <cellStyle name="Shade 4 5 2" xfId="0" builtinId="53" customBuiltin="true"/>
    <cellStyle name="Shade 4 6" xfId="0" builtinId="53" customBuiltin="true"/>
    <cellStyle name="Shade 5" xfId="0" builtinId="53" customBuiltin="true"/>
    <cellStyle name="Shade 5 2" xfId="0" builtinId="53" customBuiltin="true"/>
    <cellStyle name="Shade 6" xfId="0" builtinId="53" customBuiltin="true"/>
    <cellStyle name="Shade_B_border2" xfId="0" builtinId="53" customBuiltin="true"/>
    <cellStyle name="Sortie 2" xfId="0" builtinId="53" customBuiltin="true"/>
    <cellStyle name="Sortie 2 2" xfId="0" builtinId="53" customBuiltin="true"/>
    <cellStyle name="Sortie 2 3" xfId="0" builtinId="53" customBuiltin="true"/>
    <cellStyle name="Sortie 2 4" xfId="0" builtinId="53" customBuiltin="true"/>
    <cellStyle name="source" xfId="0" builtinId="53" customBuiltin="true"/>
    <cellStyle name="Standaard2" xfId="0" builtinId="53" customBuiltin="true"/>
    <cellStyle name="Standaard_TABLEX7" xfId="0" builtinId="53" customBuiltin="true"/>
    <cellStyle name="Standard 2" xfId="0" builtinId="53" customBuiltin="true"/>
    <cellStyle name="Standard 2 2" xfId="0" builtinId="53" customBuiltin="true"/>
    <cellStyle name="Standard 2 2 2" xfId="0" builtinId="53" customBuiltin="true"/>
    <cellStyle name="Standard 2 3" xfId="0" builtinId="53" customBuiltin="true"/>
    <cellStyle name="Standard_huSUT2000_revised_current" xfId="0" builtinId="53" customBuiltin="true"/>
    <cellStyle name="Summa" xfId="0" builtinId="53" customBuiltin="true"/>
    <cellStyle name="Summa 2" xfId="0" builtinId="53" customBuiltin="true"/>
    <cellStyle name="tableau | cellule | (normal) | decimal 1" xfId="0" builtinId="53" customBuiltin="true"/>
    <cellStyle name="tableau | cellule | (normal) | decimal 1 2" xfId="0" builtinId="53" customBuiltin="true"/>
    <cellStyle name="tableau | cellule | (normal) | decimal 2" xfId="0" builtinId="53" customBuiltin="true"/>
    <cellStyle name="tableau | cellule | (normal) | decimal 2 2" xfId="0" builtinId="53" customBuiltin="true"/>
    <cellStyle name="tableau | cellule | (normal) | decimal 3" xfId="0" builtinId="53" customBuiltin="true"/>
    <cellStyle name="tableau | cellule | (normal) | decimal 3 2" xfId="0" builtinId="53" customBuiltin="true"/>
    <cellStyle name="tableau | cellule | (normal) | decimal 4" xfId="0" builtinId="53" customBuiltin="true"/>
    <cellStyle name="tableau | cellule | (normal) | decimal 4 2" xfId="0" builtinId="53" customBuiltin="true"/>
    <cellStyle name="tableau | cellule | (normal) | entier" xfId="0" builtinId="53" customBuiltin="true"/>
    <cellStyle name="tableau | cellule | (normal) | entier 2" xfId="0" builtinId="53" customBuiltin="true"/>
    <cellStyle name="tableau | cellule | (normal) | euro | decimal 1" xfId="0" builtinId="53" customBuiltin="true"/>
    <cellStyle name="tableau | cellule | (normal) | euro | decimal 1 2" xfId="0" builtinId="53" customBuiltin="true"/>
    <cellStyle name="tableau | cellule | (normal) | euro | decimal 2" xfId="0" builtinId="53" customBuiltin="true"/>
    <cellStyle name="tableau | cellule | (normal) | euro | decimal 2 2" xfId="0" builtinId="53" customBuiltin="true"/>
    <cellStyle name="tableau | cellule | (normal) | euro | entier" xfId="0" builtinId="53" customBuiltin="true"/>
    <cellStyle name="tableau | cellule | (normal) | euro | entier 2" xfId="0" builtinId="53" customBuiltin="true"/>
    <cellStyle name="tableau | cellule | (normal) | franc | decimal 1" xfId="0" builtinId="53" customBuiltin="true"/>
    <cellStyle name="tableau | cellule | (normal) | franc | decimal 1 2" xfId="0" builtinId="53" customBuiltin="true"/>
    <cellStyle name="tableau | cellule | (normal) | franc | decimal 2" xfId="0" builtinId="53" customBuiltin="true"/>
    <cellStyle name="tableau | cellule | (normal) | franc | decimal 2 2" xfId="0" builtinId="53" customBuiltin="true"/>
    <cellStyle name="tableau | cellule | (normal) | franc | entier" xfId="0" builtinId="53" customBuiltin="true"/>
    <cellStyle name="tableau | cellule | (normal) | franc | entier 2" xfId="0" builtinId="53" customBuiltin="true"/>
    <cellStyle name="tableau | cellule | (normal) | pourcentage | decimal 1" xfId="0" builtinId="53" customBuiltin="true"/>
    <cellStyle name="tableau | cellule | (normal) | pourcentage | decimal 1 2" xfId="0" builtinId="53" customBuiltin="true"/>
    <cellStyle name="tableau | cellule | (normal) | pourcentage | decimal 2" xfId="0" builtinId="53" customBuiltin="true"/>
    <cellStyle name="tableau | cellule | (normal) | pourcentage | decimal 2 2" xfId="0" builtinId="53" customBuiltin="true"/>
    <cellStyle name="tableau | cellule | (normal) | pourcentage | entier" xfId="0" builtinId="53" customBuiltin="true"/>
    <cellStyle name="tableau | cellule | (normal) | pourcentage | entier 2" xfId="0" builtinId="53" customBuiltin="true"/>
    <cellStyle name="tableau | cellule | (normal) | standard" xfId="0" builtinId="53" customBuiltin="true"/>
    <cellStyle name="tableau | cellule | (normal) | standard 2" xfId="0" builtinId="53" customBuiltin="true"/>
    <cellStyle name="tableau | cellule | (normal) | texte" xfId="0" builtinId="53" customBuiltin="true"/>
    <cellStyle name="tableau | cellule | (normal) | texte 2" xfId="0" builtinId="53" customBuiltin="true"/>
    <cellStyle name="tableau | cellule | (total) | decimal 1" xfId="0" builtinId="53" customBuiltin="true"/>
    <cellStyle name="tableau | cellule | (total) | decimal 1 2" xfId="0" builtinId="53" customBuiltin="true"/>
    <cellStyle name="tableau | cellule | (total) | decimal 2" xfId="0" builtinId="53" customBuiltin="true"/>
    <cellStyle name="tableau | cellule | (total) | decimal 2 2" xfId="0" builtinId="53" customBuiltin="true"/>
    <cellStyle name="tableau | cellule | (total) | decimal 3" xfId="0" builtinId="53" customBuiltin="true"/>
    <cellStyle name="tableau | cellule | (total) | decimal 3 2" xfId="0" builtinId="53" customBuiltin="true"/>
    <cellStyle name="tableau | cellule | (total) | decimal 4" xfId="0" builtinId="53" customBuiltin="true"/>
    <cellStyle name="tableau | cellule | (total) | decimal 4 2" xfId="0" builtinId="53" customBuiltin="true"/>
    <cellStyle name="tableau | cellule | (total) | entier" xfId="0" builtinId="53" customBuiltin="true"/>
    <cellStyle name="tableau | cellule | (total) | entier 2" xfId="0" builtinId="53" customBuiltin="true"/>
    <cellStyle name="tableau | cellule | (total) | euro | decimal 1" xfId="0" builtinId="53" customBuiltin="true"/>
    <cellStyle name="tableau | cellule | (total) | euro | decimal 1 2" xfId="0" builtinId="53" customBuiltin="true"/>
    <cellStyle name="tableau | cellule | (total) | euro | decimal 2" xfId="0" builtinId="53" customBuiltin="true"/>
    <cellStyle name="tableau | cellule | (total) | euro | decimal 2 2" xfId="0" builtinId="53" customBuiltin="true"/>
    <cellStyle name="tableau | cellule | (total) | euro | entier" xfId="0" builtinId="53" customBuiltin="true"/>
    <cellStyle name="tableau | cellule | (total) | euro | entier 2" xfId="0" builtinId="53" customBuiltin="true"/>
    <cellStyle name="tableau | cellule | (total) | franc | decimal 1" xfId="0" builtinId="53" customBuiltin="true"/>
    <cellStyle name="tableau | cellule | (total) | franc | decimal 1 2" xfId="0" builtinId="53" customBuiltin="true"/>
    <cellStyle name="tableau | cellule | (total) | franc | decimal 2" xfId="0" builtinId="53" customBuiltin="true"/>
    <cellStyle name="tableau | cellule | (total) | franc | decimal 2 2" xfId="0" builtinId="53" customBuiltin="true"/>
    <cellStyle name="tableau | cellule | (total) | franc | entier" xfId="0" builtinId="53" customBuiltin="true"/>
    <cellStyle name="tableau | cellule | (total) | franc | entier 2" xfId="0" builtinId="53" customBuiltin="true"/>
    <cellStyle name="tableau | cellule | (total) | pourcentage | decimal 1" xfId="0" builtinId="53" customBuiltin="true"/>
    <cellStyle name="tableau | cellule | (total) | pourcentage | decimal 1 2" xfId="0" builtinId="53" customBuiltin="true"/>
    <cellStyle name="tableau | cellule | (total) | pourcentage | decimal 2" xfId="0" builtinId="53" customBuiltin="true"/>
    <cellStyle name="tableau | cellule | (total) | pourcentage | decimal 2 2" xfId="0" builtinId="53" customBuiltin="true"/>
    <cellStyle name="tableau | cellule | (total) | pourcentage | entier" xfId="0" builtinId="53" customBuiltin="true"/>
    <cellStyle name="tableau | cellule | (total) | pourcentage | entier 2" xfId="0" builtinId="53" customBuiltin="true"/>
    <cellStyle name="tableau | cellule | (total) | standard" xfId="0" builtinId="53" customBuiltin="true"/>
    <cellStyle name="tableau | cellule | (total) | standard 2" xfId="0" builtinId="53" customBuiltin="true"/>
    <cellStyle name="tableau | cellule | (total) | texte" xfId="0" builtinId="53" customBuiltin="true"/>
    <cellStyle name="tableau | cellule | (total) | texte 2" xfId="0" builtinId="53" customBuiltin="true"/>
    <cellStyle name="tableau | cellule | normal | decimal 1" xfId="0" builtinId="53" customBuiltin="true"/>
    <cellStyle name="tableau | cellule | normal | decimal 1 2" xfId="0" builtinId="53" customBuiltin="true"/>
    <cellStyle name="tableau | cellule | normal | decimal 2" xfId="0" builtinId="53" customBuiltin="true"/>
    <cellStyle name="tableau | cellule | normal | decimal 2 2" xfId="0" builtinId="53" customBuiltin="true"/>
    <cellStyle name="tableau | cellule | normal | decimal 3" xfId="0" builtinId="53" customBuiltin="true"/>
    <cellStyle name="tableau | cellule | normal | decimal 3 2" xfId="0" builtinId="53" customBuiltin="true"/>
    <cellStyle name="tableau | cellule | normal | decimal 4" xfId="0" builtinId="53" customBuiltin="true"/>
    <cellStyle name="tableau | cellule | normal | decimal 4 2" xfId="0" builtinId="53" customBuiltin="true"/>
    <cellStyle name="tableau | cellule | normal | entier" xfId="0" builtinId="53" customBuiltin="true"/>
    <cellStyle name="tableau | cellule | normal | entier 2" xfId="0" builtinId="53" customBuiltin="true"/>
    <cellStyle name="tableau | cellule | normal | euro | decimal 1" xfId="0" builtinId="53" customBuiltin="true"/>
    <cellStyle name="tableau | cellule | normal | euro | decimal 1 2" xfId="0" builtinId="53" customBuiltin="true"/>
    <cellStyle name="tableau | cellule | normal | euro | decimal 2" xfId="0" builtinId="53" customBuiltin="true"/>
    <cellStyle name="tableau | cellule | normal | euro | decimal 2 2" xfId="0" builtinId="53" customBuiltin="true"/>
    <cellStyle name="tableau | cellule | normal | euro | entier" xfId="0" builtinId="53" customBuiltin="true"/>
    <cellStyle name="tableau | cellule | normal | euro | entier 2" xfId="0" builtinId="53" customBuiltin="true"/>
    <cellStyle name="tableau | cellule | normal | franc | decimal 1" xfId="0" builtinId="53" customBuiltin="true"/>
    <cellStyle name="tableau | cellule | normal | franc | decimal 1 2" xfId="0" builtinId="53" customBuiltin="true"/>
    <cellStyle name="tableau | cellule | normal | franc | decimal 2" xfId="0" builtinId="53" customBuiltin="true"/>
    <cellStyle name="tableau | cellule | normal | franc | decimal 2 2" xfId="0" builtinId="53" customBuiltin="true"/>
    <cellStyle name="tableau | cellule | normal | franc | entier" xfId="0" builtinId="53" customBuiltin="true"/>
    <cellStyle name="tableau | cellule | normal | franc | entier 2" xfId="0" builtinId="53" customBuiltin="true"/>
    <cellStyle name="tableau | cellule | normal | pourcentage | decimal 1" xfId="0" builtinId="53" customBuiltin="true"/>
    <cellStyle name="tableau | cellule | normal | pourcentage | decimal 1 2" xfId="0" builtinId="53" customBuiltin="true"/>
    <cellStyle name="tableau | cellule | normal | pourcentage | decimal 2" xfId="0" builtinId="53" customBuiltin="true"/>
    <cellStyle name="tableau | cellule | normal | pourcentage | decimal 2 2" xfId="0" builtinId="53" customBuiltin="true"/>
    <cellStyle name="tableau | cellule | normal | pourcentage | entier" xfId="0" builtinId="53" customBuiltin="true"/>
    <cellStyle name="tableau | cellule | normal | pourcentage | entier 2" xfId="0" builtinId="53" customBuiltin="true"/>
    <cellStyle name="tableau | cellule | normal | standard" xfId="0" builtinId="53" customBuiltin="true"/>
    <cellStyle name="tableau | cellule | normal | standard 2" xfId="0" builtinId="53" customBuiltin="true"/>
    <cellStyle name="tableau | cellule | normal | texte" xfId="0" builtinId="53" customBuiltin="true"/>
    <cellStyle name="tableau | cellule | normal | texte 2" xfId="0" builtinId="53" customBuiltin="true"/>
    <cellStyle name="tableau | cellule | total | decimal 1" xfId="0" builtinId="53" customBuiltin="true"/>
    <cellStyle name="tableau | cellule | total | decimal 1 2" xfId="0" builtinId="53" customBuiltin="true"/>
    <cellStyle name="tableau | cellule | total | decimal 2" xfId="0" builtinId="53" customBuiltin="true"/>
    <cellStyle name="tableau | cellule | total | decimal 2 2" xfId="0" builtinId="53" customBuiltin="true"/>
    <cellStyle name="tableau | cellule | total | decimal 3" xfId="0" builtinId="53" customBuiltin="true"/>
    <cellStyle name="tableau | cellule | total | decimal 3 2" xfId="0" builtinId="53" customBuiltin="true"/>
    <cellStyle name="tableau | cellule | total | decimal 4" xfId="0" builtinId="53" customBuiltin="true"/>
    <cellStyle name="tableau | cellule | total | decimal 4 2" xfId="0" builtinId="53" customBuiltin="true"/>
    <cellStyle name="tableau | cellule | total | entier" xfId="0" builtinId="53" customBuiltin="true"/>
    <cellStyle name="tableau | cellule | total | entier 2" xfId="0" builtinId="53" customBuiltin="true"/>
    <cellStyle name="tableau | cellule | total | euro | decimal 1" xfId="0" builtinId="53" customBuiltin="true"/>
    <cellStyle name="tableau | cellule | total | euro | decimal 1 2" xfId="0" builtinId="53" customBuiltin="true"/>
    <cellStyle name="tableau | cellule | total | euro | decimal 2" xfId="0" builtinId="53" customBuiltin="true"/>
    <cellStyle name="tableau | cellule | total | euro | decimal 2 2" xfId="0" builtinId="53" customBuiltin="true"/>
    <cellStyle name="tableau | cellule | total | euro | entier" xfId="0" builtinId="53" customBuiltin="true"/>
    <cellStyle name="tableau | cellule | total | euro | entier 2" xfId="0" builtinId="53" customBuiltin="true"/>
    <cellStyle name="tableau | cellule | total | franc | decimal 1" xfId="0" builtinId="53" customBuiltin="true"/>
    <cellStyle name="tableau | cellule | total | franc | decimal 1 2" xfId="0" builtinId="53" customBuiltin="true"/>
    <cellStyle name="tableau | cellule | total | franc | decimal 2" xfId="0" builtinId="53" customBuiltin="true"/>
    <cellStyle name="tableau | cellule | total | franc | decimal 2 2" xfId="0" builtinId="53" customBuiltin="true"/>
    <cellStyle name="tableau | cellule | total | franc | entier" xfId="0" builtinId="53" customBuiltin="true"/>
    <cellStyle name="tableau | cellule | total | franc | entier 2" xfId="0" builtinId="53" customBuiltin="true"/>
    <cellStyle name="tableau | cellule | total | pourcentage | decimal 1" xfId="0" builtinId="53" customBuiltin="true"/>
    <cellStyle name="tableau | cellule | total | pourcentage | decimal 1 2" xfId="0" builtinId="53" customBuiltin="true"/>
    <cellStyle name="tableau | cellule | total | pourcentage | decimal 2" xfId="0" builtinId="53" customBuiltin="true"/>
    <cellStyle name="tableau | cellule | total | pourcentage | decimal 2 2" xfId="0" builtinId="53" customBuiltin="true"/>
    <cellStyle name="tableau | cellule | total | pourcentage | entier" xfId="0" builtinId="53" customBuiltin="true"/>
    <cellStyle name="tableau | cellule | total | pourcentage | entier 2" xfId="0" builtinId="53" customBuiltin="true"/>
    <cellStyle name="tableau | cellule | total | standard" xfId="0" builtinId="53" customBuiltin="true"/>
    <cellStyle name="tableau | cellule | total | standard 2" xfId="0" builtinId="53" customBuiltin="true"/>
    <cellStyle name="tableau | cellule | total | texte" xfId="0" builtinId="53" customBuiltin="true"/>
    <cellStyle name="tableau | cellule | total | texte 2" xfId="0" builtinId="53" customBuiltin="true"/>
    <cellStyle name="tableau | coin superieur gauche" xfId="0" builtinId="53" customBuiltin="true"/>
    <cellStyle name="tableau | coin superieur gauche 2" xfId="0" builtinId="53" customBuiltin="true"/>
    <cellStyle name="tableau | coin superieur gauche 2 2" xfId="0" builtinId="53" customBuiltin="true"/>
    <cellStyle name="tableau | coin superieur gauche 3" xfId="0" builtinId="53" customBuiltin="true"/>
    <cellStyle name="tableau | coin superieur gauche 4" xfId="0" builtinId="53" customBuiltin="true"/>
    <cellStyle name="tableau | coin superieur gauche 5" xfId="0" builtinId="53" customBuiltin="true"/>
    <cellStyle name="tableau | entete-colonne | series" xfId="0" builtinId="53" customBuiltin="true"/>
    <cellStyle name="tableau | entete-colonne | series 2" xfId="0" builtinId="53" customBuiltin="true"/>
    <cellStyle name="tableau | entete-colonne | series 2 2" xfId="0" builtinId="53" customBuiltin="true"/>
    <cellStyle name="tableau | entete-colonne | series 3" xfId="0" builtinId="53" customBuiltin="true"/>
    <cellStyle name="tableau | entete-colonne | series 4" xfId="0" builtinId="53" customBuiltin="true"/>
    <cellStyle name="tableau | entete-colonne | series 5" xfId="0" builtinId="53" customBuiltin="true"/>
    <cellStyle name="tableau | entete-colonne | structure | normal" xfId="0" builtinId="53" customBuiltin="true"/>
    <cellStyle name="tableau | entete-colonne | structure | normal 2" xfId="0" builtinId="53" customBuiltin="true"/>
    <cellStyle name="tableau | entete-colonne | structure | normal 2 2" xfId="0" builtinId="53" customBuiltin="true"/>
    <cellStyle name="tableau | entete-colonne | structure | normal 3" xfId="0" builtinId="53" customBuiltin="true"/>
    <cellStyle name="tableau | entete-colonne | structure | normal 4" xfId="0" builtinId="53" customBuiltin="true"/>
    <cellStyle name="tableau | entete-colonne | structure | normal 5" xfId="0" builtinId="53" customBuiltin="true"/>
    <cellStyle name="tableau | entete-colonne | structure | total" xfId="0" builtinId="53" customBuiltin="true"/>
    <cellStyle name="tableau | entete-colonne | structure | total 2" xfId="0" builtinId="53" customBuiltin="true"/>
    <cellStyle name="tableau | entete-colonne | structure | total 2 2" xfId="0" builtinId="53" customBuiltin="true"/>
    <cellStyle name="tableau | entete-colonne | structure | total 3" xfId="0" builtinId="53" customBuiltin="true"/>
    <cellStyle name="tableau | entete-colonne | structure | total 4" xfId="0" builtinId="53" customBuiltin="true"/>
    <cellStyle name="tableau | entete-colonne | structure | total 5" xfId="0" builtinId="53" customBuiltin="true"/>
    <cellStyle name="tableau | entete-ligne | normal" xfId="0" builtinId="53" customBuiltin="true"/>
    <cellStyle name="tableau | entete-ligne | normal 2" xfId="0" builtinId="53" customBuiltin="true"/>
    <cellStyle name="tableau | entete-ligne | normal 2 2" xfId="0" builtinId="53" customBuiltin="true"/>
    <cellStyle name="tableau | entete-ligne | normal 3" xfId="0" builtinId="53" customBuiltin="true"/>
    <cellStyle name="tableau | entete-ligne | normal 4" xfId="0" builtinId="53" customBuiltin="true"/>
    <cellStyle name="tableau | entete-ligne | normal 5" xfId="0" builtinId="53" customBuiltin="true"/>
    <cellStyle name="tableau | entete-ligne | total" xfId="0" builtinId="53" customBuiltin="true"/>
    <cellStyle name="tableau | entete-ligne | total 2" xfId="0" builtinId="53" customBuiltin="true"/>
    <cellStyle name="tableau | entete-ligne | total 2 2" xfId="0" builtinId="53" customBuiltin="true"/>
    <cellStyle name="tableau | entete-ligne | total 3" xfId="0" builtinId="53" customBuiltin="true"/>
    <cellStyle name="tableau | entete-ligne | total 4" xfId="0" builtinId="53" customBuiltin="true"/>
    <cellStyle name="tableau | entete-ligne | total 5" xfId="0" builtinId="53" customBuiltin="true"/>
    <cellStyle name="tableau | indice | plage de cellules" xfId="0" builtinId="53" customBuiltin="true"/>
    <cellStyle name="tableau | indice | texte" xfId="0" builtinId="53" customBuiltin="true"/>
    <cellStyle name="tableau | ligne de cesure" xfId="0" builtinId="53" customBuiltin="true"/>
    <cellStyle name="tableau | ligne-titre | niveau1" xfId="0" builtinId="53" customBuiltin="true"/>
    <cellStyle name="tableau | ligne-titre | niveau1 2" xfId="0" builtinId="53" customBuiltin="true"/>
    <cellStyle name="tableau | ligne-titre | niveau1 2 2" xfId="0" builtinId="53" customBuiltin="true"/>
    <cellStyle name="tableau | ligne-titre | niveau1 3" xfId="0" builtinId="53" customBuiltin="true"/>
    <cellStyle name="tableau | ligne-titre | niveau1 4" xfId="0" builtinId="53" customBuiltin="true"/>
    <cellStyle name="tableau | ligne-titre | niveau1 5" xfId="0" builtinId="53" customBuiltin="true"/>
    <cellStyle name="tableau | ligne-titre | niveau2" xfId="0" builtinId="53" customBuiltin="true"/>
    <cellStyle name="tableau | ligne-titre | niveau2 2" xfId="0" builtinId="53" customBuiltin="true"/>
    <cellStyle name="tableau | ligne-titre | niveau2 2 2" xfId="0" builtinId="53" customBuiltin="true"/>
    <cellStyle name="tableau | ligne-titre | niveau2 3" xfId="0" builtinId="53" customBuiltin="true"/>
    <cellStyle name="tableau | ligne-titre | niveau2 4" xfId="0" builtinId="53" customBuiltin="true"/>
    <cellStyle name="tableau | ligne-titre | niveau2 5" xfId="0" builtinId="53" customBuiltin="true"/>
    <cellStyle name="tableau | ligne-titre | niveau3" xfId="0" builtinId="53" customBuiltin="true"/>
    <cellStyle name="tableau | ligne-titre | niveau3 2" xfId="0" builtinId="53" customBuiltin="true"/>
    <cellStyle name="tableau | ligne-titre | niveau3 2 2" xfId="0" builtinId="53" customBuiltin="true"/>
    <cellStyle name="tableau | ligne-titre | niveau3 3" xfId="0" builtinId="53" customBuiltin="true"/>
    <cellStyle name="tableau | ligne-titre | niveau3 4" xfId="0" builtinId="53" customBuiltin="true"/>
    <cellStyle name="tableau | ligne-titre | niveau3 5" xfId="0" builtinId="53" customBuiltin="true"/>
    <cellStyle name="tableau | ligne-titre | niveau4" xfId="0" builtinId="53" customBuiltin="true"/>
    <cellStyle name="tableau | ligne-titre | niveau4 2" xfId="0" builtinId="53" customBuiltin="true"/>
    <cellStyle name="tableau | ligne-titre | niveau4 2 2" xfId="0" builtinId="53" customBuiltin="true"/>
    <cellStyle name="tableau | ligne-titre | niveau4 3" xfId="0" builtinId="53" customBuiltin="true"/>
    <cellStyle name="tableau | ligne-titre | niveau4 4" xfId="0" builtinId="53" customBuiltin="true"/>
    <cellStyle name="tableau | ligne-titre | niveau4 5" xfId="0" builtinId="53" customBuiltin="true"/>
    <cellStyle name="tableau | ligne-titre | niveau5" xfId="0" builtinId="53" customBuiltin="true"/>
    <cellStyle name="tableau | ligne-titre | niveau5 2" xfId="0" builtinId="53" customBuiltin="true"/>
    <cellStyle name="tableau | ligne-titre | niveau5 2 2" xfId="0" builtinId="53" customBuiltin="true"/>
    <cellStyle name="tableau | ligne-titre | niveau5 3" xfId="0" builtinId="53" customBuiltin="true"/>
    <cellStyle name="tableau | ligne-titre | niveau5 4" xfId="0" builtinId="53" customBuiltin="true"/>
    <cellStyle name="tableau | ligne-titre | niveau5 5" xfId="0" builtinId="53" customBuiltin="true"/>
    <cellStyle name="tableau | source | plage de cellules" xfId="0" builtinId="53" customBuiltin="true"/>
    <cellStyle name="tableau | source | texte" xfId="0" builtinId="53" customBuiltin="true"/>
    <cellStyle name="tableau | unite | plage de cellules" xfId="0" builtinId="53" customBuiltin="true"/>
    <cellStyle name="tableau | unite | texte" xfId="0" builtinId="53" customBuiltin="true"/>
    <cellStyle name="Texte explicatif 2" xfId="0" builtinId="53" customBuiltin="true"/>
    <cellStyle name="Title" xfId="0" builtinId="53" customBuiltin="true"/>
    <cellStyle name="Title 2" xfId="0" builtinId="53" customBuiltin="true"/>
    <cellStyle name="Title 3" xfId="0" builtinId="53" customBuiltin="true"/>
    <cellStyle name="Titre 2" xfId="0" builtinId="53" customBuiltin="true"/>
    <cellStyle name="Titre 1 2" xfId="0" builtinId="53" customBuiltin="true"/>
    <cellStyle name="Titre 2 2" xfId="0" builtinId="53" customBuiltin="true"/>
    <cellStyle name="Titre 3 2" xfId="0" builtinId="53" customBuiltin="true"/>
    <cellStyle name="Titre 4 2" xfId="0" builtinId="53" customBuiltin="true"/>
    <cellStyle name="Total 2" xfId="0" builtinId="53" customBuiltin="true"/>
    <cellStyle name="Total 2 2" xfId="0" builtinId="53" customBuiltin="true"/>
    <cellStyle name="Total 2 2 2" xfId="0" builtinId="53" customBuiltin="true"/>
    <cellStyle name="Total 2 3" xfId="0" builtinId="53" customBuiltin="true"/>
    <cellStyle name="Total 2 3 2" xfId="0" builtinId="53" customBuiltin="true"/>
    <cellStyle name="Total 2 4" xfId="0" builtinId="53" customBuiltin="true"/>
    <cellStyle name="Total 2 4 2" xfId="0" builtinId="53" customBuiltin="true"/>
    <cellStyle name="Total 2 5" xfId="0" builtinId="53" customBuiltin="true"/>
    <cellStyle name="Total 3" xfId="0" builtinId="53" customBuiltin="true"/>
    <cellStyle name="Total 3 2" xfId="0" builtinId="53" customBuiltin="true"/>
    <cellStyle name="Total 3 2 2" xfId="0" builtinId="53" customBuiltin="true"/>
    <cellStyle name="Total 3 3" xfId="0" builtinId="53" customBuiltin="true"/>
    <cellStyle name="Total 3 3 2" xfId="0" builtinId="53" customBuiltin="true"/>
    <cellStyle name="Total 3 4" xfId="0" builtinId="53" customBuiltin="true"/>
    <cellStyle name="Total 3 4 2" xfId="0" builtinId="53" customBuiltin="true"/>
    <cellStyle name="Total 3 5" xfId="0" builtinId="53" customBuiltin="true"/>
    <cellStyle name="unite" xfId="0" builtinId="53" customBuiltin="true"/>
    <cellStyle name="Utdata" xfId="0" builtinId="53" customBuiltin="true"/>
    <cellStyle name="Utdata 2" xfId="0" builtinId="53" customBuiltin="true"/>
    <cellStyle name="Utdata 3" xfId="0" builtinId="53" customBuiltin="true"/>
    <cellStyle name="Utdata 4" xfId="0" builtinId="53" customBuiltin="true"/>
    <cellStyle name="Valuta [0]_TABLEX7" xfId="0" builtinId="53" customBuiltin="true"/>
    <cellStyle name="Valuta_TABLEX7" xfId="0" builtinId="53" customBuiltin="true"/>
    <cellStyle name="Varningstext" xfId="0" builtinId="53" customBuiltin="true"/>
    <cellStyle name="Verknüpfte Zelle" xfId="0" builtinId="53" customBuiltin="true"/>
    <cellStyle name="Virgule fixe" xfId="0" builtinId="53" customBuiltin="true"/>
    <cellStyle name="Vérification 2" xfId="0" builtinId="53" customBuiltin="true"/>
    <cellStyle name="Warnender Text" xfId="0" builtinId="53" customBuiltin="true"/>
    <cellStyle name="Warnender Text 2" xfId="0" builtinId="53" customBuiltin="true"/>
    <cellStyle name="Warnender Text 3" xfId="0" builtinId="53" customBuiltin="true"/>
    <cellStyle name="Warning Text 2" xfId="0" builtinId="53" customBuiltin="true"/>
    <cellStyle name="Warning Text 3" xfId="0" builtinId="53" customBuiltin="true"/>
    <cellStyle name="Year" xfId="0" builtinId="53" customBuiltin="true"/>
    <cellStyle name="Zelle überprüfen" xfId="0" builtinId="53" customBuiltin="true"/>
    <cellStyle name="Überschrift" xfId="0" builtinId="53" customBuiltin="true"/>
    <cellStyle name="Überschrift 1" xfId="0" builtinId="53" customBuiltin="true"/>
    <cellStyle name="Überschrift 2" xfId="0" builtinId="53" customBuiltin="true"/>
    <cellStyle name="Überschrift 3" xfId="0" builtinId="53" customBuiltin="true"/>
    <cellStyle name="Überschrift 4" xfId="0" builtinId="53" customBuiltin="true"/>
    <cellStyle name="Гиперссылка" xfId="0" builtinId="53" customBuiltin="true"/>
    <cellStyle name="Гиперссылка 2" xfId="0" builtinId="53" customBuiltin="true"/>
    <cellStyle name="Гиперссылка 3" xfId="0" builtinId="53" customBuiltin="true"/>
    <cellStyle name="Гиперссылка 4" xfId="0" builtinId="53" customBuiltin="true"/>
    <cellStyle name="Обычный_2++" xfId="0" builtinId="53" customBuiltin="true"/>
    <cellStyle name="€ : (converti en EURO)" xfId="0" builtinId="53" customBuiltin="true"/>
    <cellStyle name="€ : (formule ECRASEE)" xfId="0" builtinId="53" customBuiltin="true"/>
    <cellStyle name="€ : (NON converti)" xfId="0" builtinId="53" customBuiltin="true"/>
    <cellStyle name="€ : (passage a l'EURO)" xfId="0" builtinId="53" customBuiltin="true"/>
    <cellStyle name="€ : (passage a l'EURO) 2" xfId="0" builtinId="53" customBuiltin="true"/>
    <cellStyle name="€ : (passage a l'EURO) 3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CCE5"/>
      <rgbColor rgb="FF7EE9FD"/>
      <rgbColor rgb="FFFFE57F"/>
      <rgbColor rgb="FF008000"/>
      <rgbColor rgb="FFF6FDB3"/>
      <rgbColor rgb="FF77A10F"/>
      <rgbColor rgb="FF800080"/>
      <rgbColor rgb="FF00B14C"/>
      <rgbColor rgb="FFC0C0C0"/>
      <rgbColor rgb="FF7F7F81"/>
      <rgbColor rgb="FF9999FF"/>
      <rgbColor rgb="FFFF9F9F"/>
      <rgbColor rgb="FFFFFFCC"/>
      <rgbColor rgb="FFCCFFFF"/>
      <rgbColor rgb="FFDCE6F2"/>
      <rgbColor rgb="FFFF807F"/>
      <rgbColor rgb="FF006AC6"/>
      <rgbColor rgb="FFCCCCFF"/>
      <rgbColor rgb="FFEFFFFC"/>
      <rgbColor rgb="FFE5CCFF"/>
      <rgbColor rgb="FFFFFF7F"/>
      <rgbColor rgb="FFCCE5FF"/>
      <rgbColor rgb="FFFFCC7F"/>
      <rgbColor rgb="FFE5E5FF"/>
      <rgbColor rgb="FFDCDCDC"/>
      <rgbColor rgb="FFEBF1DE"/>
      <rgbColor rgb="FFACC6E0"/>
      <rgbColor rgb="FFCDFFCD"/>
      <rgbColor rgb="FFCCFFCC"/>
      <rgbColor rgb="FFFFFF99"/>
      <rgbColor rgb="FF99CCFF"/>
      <rgbColor rgb="FFFF99CC"/>
      <rgbColor rgb="FFD396FF"/>
      <rgbColor rgb="FFFFCC99"/>
      <rgbColor rgb="FFB9CDE5"/>
      <rgbColor rgb="FF31CCCD"/>
      <rgbColor rgb="FF99FF99"/>
      <rgbColor rgb="FFFFCC00"/>
      <rgbColor rgb="FFFF9900"/>
      <rgbColor rgb="FFFF6600"/>
      <rgbColor rgb="FFCCB2E5"/>
      <rgbColor rgb="FF959895"/>
      <rgbColor rgb="FF002668"/>
      <rgbColor rgb="FF339967"/>
      <rgbColor rgb="FFDFEF9F"/>
      <rgbColor rgb="FF433D2E"/>
      <rgbColor rgb="FFFFBFBF"/>
      <rgbColor rgb="FFC8C9DC"/>
      <rgbColor rgb="FF35339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"/>
          <c:y val="0.189641905889316"/>
          <c:w val="0.999961319769466"/>
          <c:h val="0.8102989050014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data_Maslow!$H$4:$H$7</c:f>
              <c:strCache>
                <c:ptCount val="4"/>
                <c:pt idx="0">
                  <c:v>1 934 kg</c:v>
                </c:pt>
                <c:pt idx="1">
                  <c:v>2 334 kg</c:v>
                </c:pt>
                <c:pt idx="2">
                  <c:v>2 665 kg</c:v>
                </c:pt>
                <c:pt idx="3">
                  <c:v>5 159 kg</c:v>
                </c:pt>
              </c:strCache>
            </c:strRef>
          </c:cat>
          <c:val>
            <c:numRef>
              <c:f>data_Maslow!$F$4:$F$7</c:f>
              <c:numCache>
                <c:formatCode>General</c:formatCode>
                <c:ptCount val="4"/>
                <c:pt idx="0">
                  <c:v>0.159947159603352</c:v>
                </c:pt>
                <c:pt idx="1">
                  <c:v>0.19303621304925</c:v>
                </c:pt>
                <c:pt idx="2">
                  <c:v>0.220355582914103</c:v>
                </c:pt>
                <c:pt idx="3">
                  <c:v>0.426661044433295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1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1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1"/>
              <c:showSerName val="0"/>
              <c:showPercent val="0"/>
            </c:dLbl>
            <c:dLblPos val="inBase"/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data_Maslow!$H$4:$H$7</c:f>
              <c:strCache>
                <c:ptCount val="4"/>
                <c:pt idx="0">
                  <c:v>1 934 kg</c:v>
                </c:pt>
                <c:pt idx="1">
                  <c:v>2 334 kg</c:v>
                </c:pt>
                <c:pt idx="2">
                  <c:v>2 665 kg</c:v>
                </c:pt>
                <c:pt idx="3">
                  <c:v>5 159 kg</c:v>
                </c:pt>
              </c:strCache>
            </c:strRef>
          </c:cat>
          <c:val>
            <c:numRef>
              <c:f>data_Maslow!$G$4:$G$7</c:f>
              <c:numCache>
                <c:formatCode>General</c:formatCode>
                <c:ptCount val="4"/>
                <c:pt idx="0">
                  <c:v>-0.159947159603352</c:v>
                </c:pt>
                <c:pt idx="1">
                  <c:v>-0.19303621304925</c:v>
                </c:pt>
                <c:pt idx="2">
                  <c:v>-0.220355582914103</c:v>
                </c:pt>
                <c:pt idx="3">
                  <c:v>-0.426661044433295</c:v>
                </c:pt>
              </c:numCache>
            </c:numRef>
          </c:val>
        </c:ser>
        <c:gapWidth val="0"/>
        <c:overlap val="100"/>
        <c:axId val="75038761"/>
        <c:axId val="77871061"/>
      </c:barChart>
      <c:catAx>
        <c:axId val="7503876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71061"/>
        <c:crosses val="autoZero"/>
        <c:auto val="1"/>
        <c:lblAlgn val="ctr"/>
        <c:lblOffset val="100"/>
      </c:catAx>
      <c:valAx>
        <c:axId val="77871061"/>
        <c:scaling>
          <c:orientation val="minMax"/>
          <c:max val="0.47"/>
          <c:min val="-0.47"/>
        </c:scaling>
        <c:delete val="1"/>
        <c:axPos val="l"/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38761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19270490852125"/>
          <c:y val="0.0549866824504291"/>
          <c:w val="0.90612308049356"/>
          <c:h val="0.834803196211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data_empreinte!$C$5</c:f>
              <c:strCache>
                <c:ptCount val="1"/>
                <c:pt idx="0">
                  <c:v>Viandes et Poissons</c:v>
                </c:pt>
              </c:strCache>
            </c:strRef>
          </c:tx>
          <c:spPr>
            <a:solidFill>
              <a:srgbClr val="6a5286"/>
            </a:solidFill>
            <a:ln>
              <a:noFill/>
            </a:ln>
          </c:spPr>
          <c:invertIfNegative val="0"/>
          <c:dLbls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data_empreinte!$D$5:$H$5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1143.7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data_empreinte!$C$7</c:f>
              <c:strCache>
                <c:ptCount val="1"/>
                <c:pt idx="0">
                  <c:v>Produits laitiers et œufs</c:v>
                </c:pt>
              </c:strCache>
            </c:strRef>
          </c:tx>
          <c:spPr>
            <a:solidFill>
              <a:srgbClr val="809b49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data_empreinte!$D$7:$H$7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408.18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data_empreinte!$C$6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9f423f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data_empreinte!$D$6:$H$6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537.955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data_empreinte!$C$8</c:f>
              <c:strCache>
                <c:ptCount val="1"/>
                <c:pt idx="0">
                  <c:v>Boissons</c:v>
                </c:pt>
              </c:strCache>
            </c:strRef>
          </c:tx>
          <c:spPr>
            <a:solidFill>
              <a:srgbClr val="416a9c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data_empreinte!$D$8:$H$8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262.777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tx>
            <c:strRef>
              <c:f>data_empreinte!$C$9</c:f>
              <c:strCache>
                <c:ptCount val="1"/>
                <c:pt idx="0">
                  <c:v>Achat et usages Internet et technologies</c:v>
                </c:pt>
              </c:strCache>
            </c:strRef>
          </c:tx>
          <c:spPr>
            <a:solidFill>
              <a:srgbClr val="c5d6ac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data_empreinte!$D$9:$H$9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1179.73205914883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data_empreinte!$C$10</c:f>
              <c:strCache>
                <c:ptCount val="1"/>
                <c:pt idx="0">
                  <c:v>Autres Biens et Services</c:v>
                </c:pt>
              </c:strCache>
            </c:strRef>
          </c:tx>
          <c:spPr>
            <a:solidFill>
              <a:srgbClr val="cc7c3a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data_empreinte!$D$10:$H$10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682.4496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6"/>
          <c:order val="6"/>
          <c:tx>
            <c:strRef>
              <c:f>data_empreinte!$C$11</c:f>
              <c:strCache>
                <c:ptCount val="1"/>
                <c:pt idx="0">
                  <c:v>Habillement</c:v>
                </c:pt>
              </c:strCache>
            </c:strRef>
          </c:tx>
          <c:spPr>
            <a:solidFill>
              <a:srgbClr val="3e8ea4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data_empreinte!$D$11:$H$11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763.367</c:v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7"/>
          <c:order val="7"/>
          <c:tx>
            <c:strRef>
              <c:f>data_empreinte!$C$12</c:f>
              <c:strCache>
                <c:ptCount val="1"/>
                <c:pt idx="0">
                  <c:v>Voiture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data_empreinte!$D$12:$H$12</c:f>
              <c:numCache>
                <c:formatCode>General</c:formatCode>
                <c:ptCount val="5"/>
                <c:pt idx="0">
                  <c:v>1972.3312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8"/>
          <c:order val="8"/>
          <c:tx>
            <c:strRef>
              <c:f>data_empreinte!$C$13</c:f>
              <c:strCache>
                <c:ptCount val="1"/>
                <c:pt idx="0">
                  <c:v>Avion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data_empreinte!$D$13:$H$13</c:f>
              <c:numCache>
                <c:formatCode>General</c:formatCode>
                <c:ptCount val="5"/>
                <c:pt idx="0">
                  <c:v>479.718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9"/>
          <c:order val="9"/>
          <c:tx>
            <c:strRef>
              <c:f>data_empreinte!$C$14</c:f>
              <c:strCache>
                <c:ptCount val="1"/>
                <c:pt idx="0">
                  <c:v>Fret et messagerie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data_empreinte!$D$14:$H$14</c:f>
              <c:numCache>
                <c:formatCode>General</c:formatCode>
                <c:ptCount val="5"/>
                <c:pt idx="0">
                  <c:v>382.88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0"/>
          <c:order val="10"/>
          <c:tx>
            <c:strRef>
              <c:f>data_empreinte!$C$15</c:f>
              <c:strCache>
                <c:ptCount val="1"/>
                <c:pt idx="0">
                  <c:v>Train et bus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data_empreinte!$D$15:$H$15</c:f>
              <c:numCache>
                <c:formatCode>General</c:formatCode>
                <c:ptCount val="5"/>
                <c:pt idx="0">
                  <c:v>84.548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1"/>
          <c:order val="11"/>
          <c:tx>
            <c:strRef>
              <c:f>data_empreinte!$C$16</c:f>
              <c:strCache>
                <c:ptCount val="1"/>
                <c:pt idx="0">
                  <c:v>Services Publics,  Santé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data_empreinte!$D$16:$H$16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1489.1616</c:v>
                </c:pt>
              </c:numCache>
            </c:numRef>
          </c:val>
        </c:ser>
        <c:ser>
          <c:idx val="12"/>
          <c:order val="12"/>
          <c:tx>
            <c:strRef>
              <c:f>data_empreinte!$C$17</c:f>
              <c:strCache>
                <c:ptCount val="1"/>
                <c:pt idx="0">
                  <c:v>Energie et utilités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data_empreinte!$D$17:$H$17</c:f>
              <c:numCache>
                <c:formatCode>General</c:formatCode>
                <c:ptCount val="5"/>
                <c:pt idx="0">
                  <c:v/>
                </c:pt>
                <c:pt idx="1">
                  <c:v>1696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3"/>
          <c:order val="13"/>
          <c:tx>
            <c:strRef>
              <c:f>data_empreinte!$C$18</c:f>
              <c:strCache>
                <c:ptCount val="1"/>
                <c:pt idx="0">
                  <c:v>Construction &amp; gros entretien</c:v>
                </c:pt>
              </c:strCache>
            </c:strRef>
          </c:tx>
          <c:spPr>
            <a:solidFill>
              <a:srgbClr val="aabad7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data_empreinte!$D$18:$H$18</c:f>
              <c:numCache>
                <c:formatCode>General</c:formatCode>
                <c:ptCount val="5"/>
                <c:pt idx="0">
                  <c:v/>
                </c:pt>
                <c:pt idx="1">
                  <c:v>674.600694444444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ser>
          <c:idx val="14"/>
          <c:order val="14"/>
          <c:tx>
            <c:strRef>
              <c:f>data_empreinte!$C$19</c:f>
              <c:strCache>
                <c:ptCount val="1"/>
                <c:pt idx="0">
                  <c:v>Equipement des logements</c:v>
                </c:pt>
              </c:strCache>
            </c:strRef>
          </c:tx>
          <c:spPr>
            <a:solidFill>
              <a:srgbClr val="d8aaa9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data_empreinte!$D$4:$H$4</c:f>
              <c:strCache>
                <c:ptCount val="5"/>
                <c:pt idx="0">
                  <c:v>Transport</c:v>
                </c:pt>
                <c:pt idx="1">
                  <c:v>Logement</c:v>
                </c:pt>
                <c:pt idx="2">
                  <c:v>Bien conso</c:v>
                </c:pt>
                <c:pt idx="3">
                  <c:v>Alimentation</c:v>
                </c:pt>
                <c:pt idx="4">
                  <c:v>Services</c:v>
                </c:pt>
              </c:strCache>
            </c:strRef>
          </c:cat>
          <c:val>
            <c:numRef>
              <c:f>data_empreinte!$D$19:$H$19</c:f>
              <c:numCache>
                <c:formatCode>General</c:formatCode>
                <c:ptCount val="5"/>
                <c:pt idx="0">
                  <c:v/>
                </c:pt>
                <c:pt idx="1">
                  <c:v>334.533237385568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0"/>
        <c:overlap val="100"/>
        <c:axId val="25852166"/>
        <c:axId val="14528102"/>
      </c:barChart>
      <c:catAx>
        <c:axId val="25852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28102"/>
        <c:crosses val="autoZero"/>
        <c:auto val="1"/>
        <c:lblAlgn val="ctr"/>
        <c:lblOffset val="100"/>
      </c:catAx>
      <c:valAx>
        <c:axId val="14528102"/>
        <c:scaling>
          <c:orientation val="minMax"/>
          <c:max val="3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5216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85680</xdr:colOff>
      <xdr:row>5</xdr:row>
      <xdr:rowOff>47520</xdr:rowOff>
    </xdr:from>
    <xdr:to>
      <xdr:col>7</xdr:col>
      <xdr:colOff>551880</xdr:colOff>
      <xdr:row>28</xdr:row>
      <xdr:rowOff>18720</xdr:rowOff>
    </xdr:to>
    <xdr:sp>
      <xdr:nvSpPr>
        <xdr:cNvPr id="0" name="CustomShape 1"/>
        <xdr:cNvSpPr/>
      </xdr:nvSpPr>
      <xdr:spPr>
        <a:xfrm>
          <a:off x="2946960" y="914040"/>
          <a:ext cx="466200" cy="3705120"/>
        </a:xfrm>
        <a:prstGeom prst="righ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533520</xdr:colOff>
      <xdr:row>5</xdr:row>
      <xdr:rowOff>133200</xdr:rowOff>
    </xdr:from>
    <xdr:to>
      <xdr:col>7</xdr:col>
      <xdr:colOff>990360</xdr:colOff>
      <xdr:row>15</xdr:row>
      <xdr:rowOff>113760</xdr:rowOff>
    </xdr:to>
    <xdr:sp>
      <xdr:nvSpPr>
        <xdr:cNvPr id="1" name="CustomShape 1"/>
        <xdr:cNvSpPr/>
      </xdr:nvSpPr>
      <xdr:spPr>
        <a:xfrm>
          <a:off x="3394800" y="999720"/>
          <a:ext cx="456840" cy="1609560"/>
        </a:xfrm>
        <a:prstGeom prst="curvedConnector3">
          <a:avLst>
            <a:gd name="adj1" fmla="val 67752"/>
          </a:avLst>
        </a:prstGeom>
        <a:noFill/>
        <a:ln>
          <a:solidFill>
            <a:srgbClr val="4a7ebb"/>
          </a:solidFill>
          <a:round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305640</xdr:colOff>
      <xdr:row>37</xdr:row>
      <xdr:rowOff>67320</xdr:rowOff>
    </xdr:to>
    <xdr:graphicFrame>
      <xdr:nvGraphicFramePr>
        <xdr:cNvPr id="2" name="Graphique 1"/>
        <xdr:cNvGraphicFramePr/>
      </xdr:nvGraphicFramePr>
      <xdr:xfrm>
        <a:off x="0" y="0"/>
        <a:ext cx="9306720" cy="60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250200</xdr:colOff>
      <xdr:row>7</xdr:row>
      <xdr:rowOff>36720</xdr:rowOff>
    </xdr:from>
    <xdr:to>
      <xdr:col>14</xdr:col>
      <xdr:colOff>511920</xdr:colOff>
      <xdr:row>14</xdr:row>
      <xdr:rowOff>96480</xdr:rowOff>
    </xdr:to>
    <xdr:sp>
      <xdr:nvSpPr>
        <xdr:cNvPr id="3" name="CustomShape 1"/>
        <xdr:cNvSpPr/>
      </xdr:nvSpPr>
      <xdr:spPr>
        <a:xfrm>
          <a:off x="250200" y="1174320"/>
          <a:ext cx="8662680" cy="1197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 anchorCtr="1"/>
        <a:p>
          <a:pPr>
            <a:lnSpc>
              <a:spcPct val="100000"/>
            </a:lnSpc>
          </a:pPr>
          <a:r>
            <a:rPr b="1" lang="fr-FR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Hiérarchie et Accomplissement</a:t>
          </a: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101160</xdr:colOff>
      <xdr:row>14</xdr:row>
      <xdr:rowOff>96840</xdr:rowOff>
    </xdr:from>
    <xdr:to>
      <xdr:col>11</xdr:col>
      <xdr:colOff>204840</xdr:colOff>
      <xdr:row>22</xdr:row>
      <xdr:rowOff>57240</xdr:rowOff>
    </xdr:to>
    <xdr:sp>
      <xdr:nvSpPr>
        <xdr:cNvPr id="4" name="CustomShape 1"/>
        <xdr:cNvSpPr/>
      </xdr:nvSpPr>
      <xdr:spPr>
        <a:xfrm>
          <a:off x="2501280" y="2372400"/>
          <a:ext cx="4304160" cy="1261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 anchorCtr="1"/>
        <a:p>
          <a:pPr>
            <a:lnSpc>
              <a:spcPct val="100000"/>
            </a:lnSpc>
          </a:pPr>
          <a:r>
            <a:rPr b="1" lang="fr-FR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Appartenance</a:t>
          </a: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333720</xdr:colOff>
      <xdr:row>22</xdr:row>
      <xdr:rowOff>1440</xdr:rowOff>
    </xdr:from>
    <xdr:to>
      <xdr:col>10</xdr:col>
      <xdr:colOff>475200</xdr:colOff>
      <xdr:row>29</xdr:row>
      <xdr:rowOff>105840</xdr:rowOff>
    </xdr:to>
    <xdr:sp>
      <xdr:nvSpPr>
        <xdr:cNvPr id="5" name="CustomShape 1"/>
        <xdr:cNvSpPr/>
      </xdr:nvSpPr>
      <xdr:spPr>
        <a:xfrm>
          <a:off x="2733840" y="3577680"/>
          <a:ext cx="3741840" cy="1242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 anchorCtr="1"/>
        <a:p>
          <a:pPr>
            <a:lnSpc>
              <a:spcPct val="100000"/>
            </a:lnSpc>
          </a:pPr>
          <a:r>
            <a:rPr b="1" lang="fr-FR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Sécurité</a:t>
          </a: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62280</xdr:colOff>
      <xdr:row>30</xdr:row>
      <xdr:rowOff>360</xdr:rowOff>
    </xdr:from>
    <xdr:to>
      <xdr:col>10</xdr:col>
      <xdr:colOff>144360</xdr:colOff>
      <xdr:row>35</xdr:row>
      <xdr:rowOff>27360</xdr:rowOff>
    </xdr:to>
    <xdr:sp>
      <xdr:nvSpPr>
        <xdr:cNvPr id="6" name="CustomShape 1"/>
        <xdr:cNvSpPr/>
      </xdr:nvSpPr>
      <xdr:spPr>
        <a:xfrm>
          <a:off x="3062520" y="4876920"/>
          <a:ext cx="3082320" cy="839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 anchorCtr="1"/>
        <a:p>
          <a:r>
            <a:rPr b="1" lang="fr-FR" sz="2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Physiologique</a:t>
          </a: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64080</xdr:colOff>
      <xdr:row>0</xdr:row>
      <xdr:rowOff>104760</xdr:rowOff>
    </xdr:from>
    <xdr:to>
      <xdr:col>15</xdr:col>
      <xdr:colOff>209520</xdr:colOff>
      <xdr:row>5</xdr:row>
      <xdr:rowOff>128520</xdr:rowOff>
    </xdr:to>
    <xdr:sp>
      <xdr:nvSpPr>
        <xdr:cNvPr id="7" name="CustomShape 1"/>
        <xdr:cNvSpPr/>
      </xdr:nvSpPr>
      <xdr:spPr>
        <a:xfrm>
          <a:off x="64080" y="104760"/>
          <a:ext cx="9146520" cy="83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1" lang="fr-FR" sz="3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Pyramide de Maslow de l'Empreinte Carbone</a:t>
          </a:r>
          <a:endParaRPr b="0" lang="fr-FR" sz="3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11</xdr:col>
      <xdr:colOff>211680</xdr:colOff>
      <xdr:row>34</xdr:row>
      <xdr:rowOff>27360</xdr:rowOff>
    </xdr:from>
    <xdr:to>
      <xdr:col>15</xdr:col>
      <xdr:colOff>225360</xdr:colOff>
      <xdr:row>37</xdr:row>
      <xdr:rowOff>66960</xdr:rowOff>
    </xdr:to>
    <xdr:sp>
      <xdr:nvSpPr>
        <xdr:cNvPr id="8" name="CustomShape 1"/>
        <xdr:cNvSpPr/>
      </xdr:nvSpPr>
      <xdr:spPr>
        <a:xfrm>
          <a:off x="6812280" y="5554080"/>
          <a:ext cx="2414160" cy="52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En kg CO2 eq/an</a:t>
          </a:r>
          <a:br/>
          <a:r>
            <a:rPr b="0" lang="fr-FR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ravijen.fr</a:t>
          </a:r>
          <a:endParaRPr b="0" lang="fr-FR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183600</xdr:colOff>
      <xdr:row>30</xdr:row>
      <xdr:rowOff>138240</xdr:rowOff>
    </xdr:from>
    <xdr:to>
      <xdr:col>4</xdr:col>
      <xdr:colOff>422640</xdr:colOff>
      <xdr:row>37</xdr:row>
      <xdr:rowOff>21240</xdr:rowOff>
    </xdr:to>
    <xdr:sp>
      <xdr:nvSpPr>
        <xdr:cNvPr id="9" name="CustomShape 1"/>
        <xdr:cNvSpPr/>
      </xdr:nvSpPr>
      <xdr:spPr>
        <a:xfrm>
          <a:off x="183600" y="5014800"/>
          <a:ext cx="2639160" cy="1020960"/>
        </a:xfrm>
        <a:prstGeom prst="roundRect">
          <a:avLst>
            <a:gd name="adj" fmla="val 16667"/>
          </a:avLst>
        </a:prstGeom>
        <a:solidFill>
          <a:srgbClr val="0070c0"/>
        </a:solidFill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fr-FR" sz="24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Empreinte totale </a:t>
          </a:r>
          <a:endParaRPr b="0" lang="fr-FR" sz="2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24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12 092 </a:t>
          </a:r>
          <a:r>
            <a:rPr b="1" lang="fr-FR" sz="20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kg CO2 eq/an</a:t>
          </a:r>
          <a:endParaRPr b="0" lang="fr-FR" sz="20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305640</xdr:colOff>
      <xdr:row>37</xdr:row>
      <xdr:rowOff>67320</xdr:rowOff>
    </xdr:to>
    <xdr:graphicFrame>
      <xdr:nvGraphicFramePr>
        <xdr:cNvPr id="10" name="Graphique 1"/>
        <xdr:cNvGraphicFramePr/>
      </xdr:nvGraphicFramePr>
      <xdr:xfrm>
        <a:off x="0" y="0"/>
        <a:ext cx="9306720" cy="60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aumineralenaturelle.fr/chambre-syndicale/leau-minerale-en-chiffres" TargetMode="External"/><Relationship Id="rId3" Type="http://schemas.openxmlformats.org/officeDocument/2006/relationships/hyperlink" Target="http://www.vinetsociete.fr/magazine/article/le-vin-en-quelques-chiffres-cles" TargetMode="External"/><Relationship Id="rId4" Type="http://schemas.openxmlformats.org/officeDocument/2006/relationships/hyperlink" Target="https://www.bonial.fr/info/conso-boissons-sans-alcool-europe/" TargetMode="External"/><Relationship Id="rId5" Type="http://schemas.openxmlformats.org/officeDocument/2006/relationships/hyperlink" Target="http://www.lefigaro.fr/conso/2018/03/17/20010-20180317ARTFIG00024-apres-36-ans-de-recul-la-consommation-de-biere-repart-en-france.php" TargetMode="External"/><Relationship Id="rId6" Type="http://schemas.openxmlformats.org/officeDocument/2006/relationships/hyperlink" Target="https://www.passioncereales.fr/dossier-thematique/les-filieres-riz-et-autres-cereales-en-chiffres" TargetMode="External"/><Relationship Id="rId7" Type="http://schemas.openxmlformats.org/officeDocument/2006/relationships/hyperlink" Target="http://agreste.agriculture.gouv.fr/IMG/pdf/Gaf2017p100-105.pdf" TargetMode="External"/><Relationship Id="rId8" Type="http://schemas.openxmlformats.org/officeDocument/2006/relationships/hyperlink" Target="http://agreste.agriculture.gouv.fr/IMG/pdf/Gaf2017p100-105.pdf" TargetMode="External"/><Relationship Id="rId9" Type="http://schemas.openxmlformats.org/officeDocument/2006/relationships/hyperlink" Target="http://agriculture.gouv.fr/infographie-production-et-consommation-de-produits-laitiers-en-France" TargetMode="External"/><Relationship Id="rId10" Type="http://schemas.openxmlformats.org/officeDocument/2006/relationships/hyperlink" Target="http://www.franceagrimer.fr/content/download/39054/361017/file/Fiche%20fili&#232;re%202014%20-%20Oeufs%20-%20FR.pdf" TargetMode="External"/><Relationship Id="rId11" Type="http://schemas.openxmlformats.org/officeDocument/2006/relationships/hyperlink" Target="http://www.franceagrimer.fr/content/download/52763/508694/file/STA-MER-CONSO%202016-juil2017.pdf" TargetMode="External"/><Relationship Id="rId12" Type="http://schemas.openxmlformats.org/officeDocument/2006/relationships/hyperlink" Target="http://www.franceagrimer.fr/content/download/40104/372599/file/STA-VIA-CONSO%202014-aout2015.pdf" TargetMode="External"/><Relationship Id="rId13" Type="http://schemas.openxmlformats.org/officeDocument/2006/relationships/hyperlink" Target="http://agreste.agriculture.gouv.fr/IMG/pdf/Gaf2017p100-105.pdf" TargetMode="External"/><Relationship Id="rId14" Type="http://schemas.openxmlformats.org/officeDocument/2006/relationships/hyperlink" Target="https://www.novethic.fr/actualite/energie/efficacite-energetique/isr-rse/energie-grise-la-face-cachee-de-l-eco-construction-122077.html" TargetMode="External"/><Relationship Id="rId15" Type="http://schemas.openxmlformats.org/officeDocument/2006/relationships/hyperlink" Target="https://www.ademe.fr/sites/default/files/assets/documents/ademe_mag108_dossier.pdf" TargetMode="External"/><Relationship Id="rId16" Type="http://schemas.openxmlformats.org/officeDocument/2006/relationships/hyperlink" Target="http://www.o-immobilierdurable.fr/wp-content/uploads/2016/12/SINTEO_Livre-Blanc-bas-carbone.pdf" TargetMode="External"/><Relationship Id="rId17" Type="http://schemas.openxmlformats.org/officeDocument/2006/relationships/hyperlink" Target="https://www.economie-magazine.com/dossier-30-marche-bricolage-france.html" TargetMode="External"/><Relationship Id="rId18" Type="http://schemas.openxmlformats.org/officeDocument/2006/relationships/hyperlink" Target="http://www.fmbricolage.com/page?n=40" TargetMode="External"/><Relationship Id="rId19" Type="http://schemas.openxmlformats.org/officeDocument/2006/relationships/hyperlink" Target="https://www.lesechos.fr/13/01/2018/lesechos.fr/0301123997829_quand-la-ville-ensevelit-les-sols.htm" TargetMode="External"/><Relationship Id="rId20" Type="http://schemas.openxmlformats.org/officeDocument/2006/relationships/hyperlink" Target="https://www.zdnet.fr/actualites/chiffres-cles-les-ventes-de-mobiles-et-de-smartphones-39789928.htm" TargetMode="External"/><Relationship Id="rId21" Type="http://schemas.openxmlformats.org/officeDocument/2006/relationships/hyperlink" Target="https://www.zdnet.fr/actualites/chiffres-cles-le-marche-des-tablettes-39789571.htm" TargetMode="External"/><Relationship Id="rId22" Type="http://schemas.openxmlformats.org/officeDocument/2006/relationships/hyperlink" Target="https://theshiftproject.org/wp-content/uploads/2018/10/2018-10-04_Rapport_Pour-une-sobri&#233;t&#233;-num&#233;rique_Rapport_The-Shift-Project.pdf" TargetMode="External"/><Relationship Id="rId23" Type="http://schemas.openxmlformats.org/officeDocument/2006/relationships/hyperlink" Target="https://www.internetworldstats.com/stats4.htm" TargetMode="External"/><Relationship Id="rId24" Type="http://schemas.openxmlformats.org/officeDocument/2006/relationships/hyperlink" Target="https://www.internetworldstats.com/stats4.htm" TargetMode="External"/><Relationship Id="rId25" Type="http://schemas.openxmlformats.org/officeDocument/2006/relationships/drawing" Target="../drawings/drawing1.xml"/><Relationship Id="rId26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R5" activeCellId="0" sqref="R5"/>
    </sheetView>
  </sheetViews>
  <sheetFormatPr defaultRowHeight="12.75" outlineLevelRow="0" outlineLevelCol="0"/>
  <cols>
    <col collapsed="false" customWidth="true" hidden="false" outlineLevel="0" max="2" min="1" style="0" width="3.14"/>
    <col collapsed="false" customWidth="true" hidden="false" outlineLevel="0" max="3" min="3" style="1" width="3.14"/>
    <col collapsed="false" customWidth="true" hidden="false" outlineLevel="0" max="4" min="4" style="2" width="2.42"/>
    <col collapsed="false" customWidth="true" hidden="false" outlineLevel="0" max="5" min="5" style="0" width="5.28"/>
    <col collapsed="false" customWidth="true" hidden="false" outlineLevel="0" max="6" min="6" style="0" width="18.42"/>
    <col collapsed="false" customWidth="true" hidden="false" outlineLevel="0" max="7" min="7" style="0" width="5.01"/>
    <col collapsed="false" customWidth="true" hidden="false" outlineLevel="0" max="8" min="8" style="3" width="19.99"/>
    <col collapsed="false" customWidth="true" hidden="false" outlineLevel="0" max="9" min="9" style="4" width="7.57"/>
    <col collapsed="false" customWidth="true" hidden="false" outlineLevel="0" max="10" min="10" style="0" width="7.71"/>
    <col collapsed="false" customWidth="true" hidden="false" outlineLevel="0" max="11" min="11" style="0" width="8"/>
    <col collapsed="false" customWidth="true" hidden="false" outlineLevel="0" max="12" min="12" style="5" width="2.85"/>
    <col collapsed="false" customWidth="true" hidden="false" outlineLevel="0" max="13" min="13" style="5" width="3.71"/>
    <col collapsed="false" customWidth="true" hidden="false" outlineLevel="0" max="14" min="14" style="4" width="10.29"/>
    <col collapsed="false" customWidth="true" hidden="false" outlineLevel="0" max="16" min="15" style="4" width="7.15"/>
    <col collapsed="false" customWidth="true" hidden="false" outlineLevel="0" max="20" min="17" style="0" width="8"/>
    <col collapsed="false" customWidth="true" hidden="false" outlineLevel="0" max="21" min="21" style="0" width="9.71"/>
    <col collapsed="false" customWidth="true" hidden="false" outlineLevel="0" max="22" min="22" style="0" width="5.86"/>
    <col collapsed="false" customWidth="true" hidden="false" outlineLevel="0" max="23" min="23" style="6" width="11.42"/>
    <col collapsed="false" customWidth="true" hidden="false" outlineLevel="0" max="1025" min="24" style="0" width="10.67"/>
  </cols>
  <sheetData>
    <row r="1" customFormat="false" ht="13.5" hidden="false" customHeight="false" outlineLevel="0" collapsed="false">
      <c r="L1" s="0"/>
      <c r="M1" s="4"/>
      <c r="O1" s="7"/>
      <c r="U1" s="6"/>
    </row>
    <row r="2" customFormat="false" ht="13.5" hidden="false" customHeight="true" outlineLevel="0" collapsed="false">
      <c r="G2" s="8" t="s">
        <v>0</v>
      </c>
      <c r="H2" s="8"/>
      <c r="I2" s="8"/>
      <c r="J2" s="8"/>
      <c r="K2" s="8"/>
      <c r="L2" s="9"/>
      <c r="M2" s="4"/>
      <c r="N2" s="10" t="s">
        <v>1</v>
      </c>
      <c r="O2" s="11" t="s">
        <v>2</v>
      </c>
      <c r="P2" s="11"/>
      <c r="Q2" s="11"/>
      <c r="R2" s="11"/>
      <c r="S2" s="12"/>
      <c r="T2" s="13" t="s">
        <v>3</v>
      </c>
      <c r="U2" s="14"/>
      <c r="V2" s="15" t="s">
        <v>4</v>
      </c>
    </row>
    <row r="3" customFormat="false" ht="13.5" hidden="false" customHeight="false" outlineLevel="0" collapsed="false">
      <c r="G3" s="16"/>
      <c r="H3" s="17"/>
      <c r="I3" s="18" t="n">
        <v>10397</v>
      </c>
      <c r="J3" s="19"/>
      <c r="K3" s="20"/>
      <c r="L3" s="0"/>
      <c r="M3" s="4"/>
      <c r="N3" s="21" t="n">
        <f aca="false">+SUMIF(M5:M93,"x",N5:N93)</f>
        <v>11131</v>
      </c>
      <c r="O3" s="11"/>
      <c r="P3" s="11"/>
      <c r="Q3" s="11"/>
      <c r="R3" s="11"/>
      <c r="S3" s="12"/>
      <c r="T3" s="12"/>
      <c r="U3" s="22" t="s">
        <v>5</v>
      </c>
    </row>
    <row r="4" customFormat="false" ht="13.5" hidden="false" customHeight="false" outlineLevel="0" collapsed="false">
      <c r="B4" s="0" t="n">
        <f aca="false">1+B3</f>
        <v>1</v>
      </c>
      <c r="C4" s="1" t="s">
        <v>6</v>
      </c>
      <c r="L4" s="0"/>
      <c r="M4" s="4"/>
      <c r="N4" s="23"/>
      <c r="O4" s="7"/>
      <c r="Q4" s="24" t="n">
        <f aca="false">+SUM(Q5:Q93)</f>
        <v>12091.9333909788</v>
      </c>
      <c r="R4" s="25" t="n">
        <f aca="false">+Q4/$Q$4</f>
        <v>1</v>
      </c>
      <c r="U4" s="14"/>
    </row>
    <row r="5" customFormat="false" ht="14.25" hidden="false" customHeight="false" outlineLevel="0" collapsed="false">
      <c r="B5" s="0" t="n">
        <f aca="false">1+B4</f>
        <v>2</v>
      </c>
      <c r="D5" s="26" t="s">
        <v>7</v>
      </c>
      <c r="E5" s="27"/>
      <c r="F5" s="27"/>
      <c r="G5" s="27"/>
      <c r="H5" s="28"/>
      <c r="I5" s="29" t="n">
        <v>2457</v>
      </c>
      <c r="J5" s="30"/>
      <c r="K5" s="30" t="n">
        <f aca="false">+(I5)/$I$3</f>
        <v>0.23631816870251</v>
      </c>
      <c r="L5" s="30"/>
      <c r="M5" s="31" t="s">
        <v>7</v>
      </c>
      <c r="N5" s="32"/>
      <c r="O5" s="33"/>
      <c r="P5" s="34"/>
      <c r="Q5" s="35" t="n">
        <f aca="false">+SUM(O7:O46)</f>
        <v>2352.612</v>
      </c>
      <c r="R5" s="36" t="n">
        <f aca="false">+Q5/$Q$4</f>
        <v>0.19456044984131</v>
      </c>
      <c r="S5" s="37" t="s">
        <v>8</v>
      </c>
      <c r="T5" s="38" t="s">
        <v>9</v>
      </c>
      <c r="U5" s="14"/>
    </row>
    <row r="6" customFormat="false" ht="13.5" hidden="false" customHeight="false" outlineLevel="0" collapsed="false">
      <c r="B6" s="0" t="n">
        <f aca="false">1+B5</f>
        <v>3</v>
      </c>
      <c r="D6" s="39"/>
      <c r="E6" s="40" t="s">
        <v>10</v>
      </c>
      <c r="F6" s="40"/>
      <c r="G6" s="41" t="n">
        <v>0.25</v>
      </c>
      <c r="H6" s="42" t="n">
        <f aca="false">+G6*$I$5</f>
        <v>614.25</v>
      </c>
      <c r="I6" s="43"/>
      <c r="J6" s="44" t="n">
        <f aca="false">+(H6)/$I$3</f>
        <v>0.0590795421756276</v>
      </c>
      <c r="K6" s="44"/>
      <c r="L6" s="44"/>
      <c r="M6" s="45" t="s">
        <v>11</v>
      </c>
      <c r="N6" s="46" t="n">
        <v>1816</v>
      </c>
      <c r="O6" s="47"/>
      <c r="P6" s="48"/>
      <c r="Q6" s="49"/>
      <c r="R6" s="49"/>
      <c r="S6" s="12"/>
      <c r="T6" s="12"/>
      <c r="U6" s="14"/>
    </row>
    <row r="7" customFormat="false" ht="12.75" hidden="false" customHeight="false" outlineLevel="0" collapsed="false">
      <c r="B7" s="0" t="n">
        <f aca="false">1+B6</f>
        <v>4</v>
      </c>
      <c r="D7" s="39"/>
      <c r="E7" s="40"/>
      <c r="F7" s="40" t="s">
        <v>12</v>
      </c>
      <c r="G7" s="41"/>
      <c r="H7" s="42"/>
      <c r="I7" s="43"/>
      <c r="J7" s="44"/>
      <c r="K7" s="44"/>
      <c r="L7" s="44"/>
      <c r="M7" s="50"/>
      <c r="N7" s="51"/>
      <c r="O7" s="52" t="n">
        <f aca="false">+T7*V7</f>
        <v>49.125</v>
      </c>
      <c r="P7" s="48" t="n">
        <f aca="false">+SUM(O7:O10)</f>
        <v>262.777</v>
      </c>
      <c r="Q7" s="49"/>
      <c r="R7" s="49"/>
      <c r="S7" s="53" t="n">
        <f aca="false">+T7*1000/365</f>
        <v>342.465753424658</v>
      </c>
      <c r="T7" s="13" t="n">
        <v>125</v>
      </c>
      <c r="U7" s="54" t="s">
        <v>13</v>
      </c>
      <c r="V7" s="0" t="n">
        <v>0.393</v>
      </c>
    </row>
    <row r="8" customFormat="false" ht="12.75" hidden="false" customHeight="false" outlineLevel="0" collapsed="false">
      <c r="B8" s="0" t="n">
        <f aca="false">1+B7</f>
        <v>5</v>
      </c>
      <c r="D8" s="39"/>
      <c r="E8" s="40"/>
      <c r="F8" s="40" t="s">
        <v>14</v>
      </c>
      <c r="G8" s="41"/>
      <c r="H8" s="42"/>
      <c r="I8" s="43"/>
      <c r="J8" s="44"/>
      <c r="K8" s="44"/>
      <c r="L8" s="44"/>
      <c r="M8" s="50"/>
      <c r="N8" s="51"/>
      <c r="O8" s="55" t="n">
        <f aca="false">+T8*V8</f>
        <v>68.452</v>
      </c>
      <c r="P8" s="48"/>
      <c r="Q8" s="49"/>
      <c r="R8" s="49"/>
      <c r="S8" s="53" t="n">
        <f aca="false">+T8*1000/365</f>
        <v>172.054794520548</v>
      </c>
      <c r="T8" s="13" t="n">
        <v>62.8</v>
      </c>
      <c r="U8" s="54" t="s">
        <v>15</v>
      </c>
      <c r="V8" s="0" t="n">
        <v>1.09</v>
      </c>
    </row>
    <row r="9" customFormat="false" ht="12.75" hidden="false" customHeight="false" outlineLevel="0" collapsed="false">
      <c r="B9" s="0" t="n">
        <f aca="false">1+B8</f>
        <v>6</v>
      </c>
      <c r="D9" s="39"/>
      <c r="E9" s="40"/>
      <c r="F9" s="40" t="s">
        <v>16</v>
      </c>
      <c r="G9" s="41"/>
      <c r="H9" s="42"/>
      <c r="I9" s="43"/>
      <c r="J9" s="44"/>
      <c r="K9" s="44"/>
      <c r="L9" s="44"/>
      <c r="M9" s="50"/>
      <c r="N9" s="51"/>
      <c r="O9" s="55" t="n">
        <f aca="false">+T9*V9</f>
        <v>58.8</v>
      </c>
      <c r="P9" s="48"/>
      <c r="Q9" s="49"/>
      <c r="R9" s="49"/>
      <c r="S9" s="53" t="n">
        <f aca="false">+T9*1000/365</f>
        <v>115.068493150685</v>
      </c>
      <c r="T9" s="13" t="n">
        <v>42</v>
      </c>
      <c r="U9" s="54" t="s">
        <v>17</v>
      </c>
      <c r="V9" s="0" t="n">
        <v>1.4</v>
      </c>
      <c r="W9" s="56" t="s">
        <v>18</v>
      </c>
    </row>
    <row r="10" customFormat="false" ht="12.75" hidden="false" customHeight="false" outlineLevel="0" collapsed="false">
      <c r="B10" s="0" t="n">
        <f aca="false">1+B9</f>
        <v>7</v>
      </c>
      <c r="D10" s="39"/>
      <c r="E10" s="40"/>
      <c r="F10" s="57" t="s">
        <v>19</v>
      </c>
      <c r="G10" s="41"/>
      <c r="H10" s="42"/>
      <c r="I10" s="43"/>
      <c r="J10" s="44"/>
      <c r="K10" s="44"/>
      <c r="L10" s="44"/>
      <c r="M10" s="50"/>
      <c r="N10" s="51"/>
      <c r="O10" s="58" t="n">
        <f aca="false">+T10*V10</f>
        <v>86.4</v>
      </c>
      <c r="P10" s="48"/>
      <c r="Q10" s="49"/>
      <c r="R10" s="49"/>
      <c r="S10" s="53" t="n">
        <f aca="false">+T10*1000/365</f>
        <v>87.6712328767123</v>
      </c>
      <c r="T10" s="13" t="n">
        <v>32</v>
      </c>
      <c r="U10" s="54" t="s">
        <v>20</v>
      </c>
      <c r="V10" s="0" t="n">
        <v>2.7</v>
      </c>
    </row>
    <row r="11" customFormat="false" ht="12.75" hidden="false" customHeight="false" outlineLevel="0" collapsed="false">
      <c r="D11" s="39"/>
      <c r="E11" s="40"/>
      <c r="F11" s="57"/>
      <c r="G11" s="41"/>
      <c r="H11" s="42"/>
      <c r="I11" s="43"/>
      <c r="J11" s="44"/>
      <c r="K11" s="44"/>
      <c r="L11" s="44"/>
      <c r="M11" s="50"/>
      <c r="N11" s="51"/>
      <c r="O11" s="47"/>
      <c r="P11" s="48"/>
      <c r="Q11" s="49"/>
      <c r="R11" s="49"/>
      <c r="S11" s="53"/>
      <c r="T11" s="13"/>
      <c r="U11" s="54"/>
      <c r="W11" s="0"/>
    </row>
    <row r="12" customFormat="false" ht="12.75" hidden="false" customHeight="false" outlineLevel="0" collapsed="false">
      <c r="B12" s="0" t="n">
        <f aca="false">1+B10</f>
        <v>8</v>
      </c>
      <c r="D12" s="39"/>
      <c r="E12" s="40" t="s">
        <v>21</v>
      </c>
      <c r="F12" s="57"/>
      <c r="G12" s="41"/>
      <c r="H12" s="42"/>
      <c r="I12" s="43"/>
      <c r="J12" s="44"/>
      <c r="K12" s="44"/>
      <c r="L12" s="44"/>
      <c r="M12" s="50"/>
      <c r="N12" s="51"/>
      <c r="O12" s="59"/>
      <c r="P12" s="48" t="n">
        <f aca="false">+SUM(O12:O19)</f>
        <v>147.755</v>
      </c>
      <c r="Q12" s="49"/>
      <c r="R12" s="49"/>
      <c r="S12" s="12"/>
      <c r="T12" s="13"/>
      <c r="U12" s="54"/>
    </row>
    <row r="13" customFormat="false" ht="12.75" hidden="false" customHeight="false" outlineLevel="0" collapsed="false">
      <c r="B13" s="0" t="n">
        <f aca="false">1+B12</f>
        <v>9</v>
      </c>
      <c r="D13" s="39"/>
      <c r="E13" s="40"/>
      <c r="F13" s="40" t="s">
        <v>22</v>
      </c>
      <c r="G13" s="41"/>
      <c r="H13" s="42"/>
      <c r="I13" s="43"/>
      <c r="J13" s="44"/>
      <c r="K13" s="44"/>
      <c r="L13" s="44"/>
      <c r="M13" s="50"/>
      <c r="N13" s="51"/>
      <c r="O13" s="60" t="n">
        <f aca="false">+T13*V13</f>
        <v>11.475</v>
      </c>
      <c r="P13" s="48"/>
      <c r="Q13" s="49"/>
      <c r="R13" s="49"/>
      <c r="S13" s="53" t="n">
        <f aca="false">+T13*1000/365</f>
        <v>12.3287671232877</v>
      </c>
      <c r="T13" s="13" t="n">
        <v>4.5</v>
      </c>
      <c r="U13" s="54" t="s">
        <v>23</v>
      </c>
      <c r="V13" s="0" t="n">
        <v>2.55</v>
      </c>
    </row>
    <row r="14" customFormat="false" ht="12.75" hidden="false" customHeight="false" outlineLevel="0" collapsed="false">
      <c r="B14" s="0" t="n">
        <f aca="false">1+B13</f>
        <v>10</v>
      </c>
      <c r="D14" s="39"/>
      <c r="E14" s="40"/>
      <c r="F14" s="57" t="s">
        <v>24</v>
      </c>
      <c r="G14" s="41"/>
      <c r="H14" s="42"/>
      <c r="I14" s="43"/>
      <c r="J14" s="44"/>
      <c r="K14" s="44"/>
      <c r="L14" s="44"/>
      <c r="M14" s="50"/>
      <c r="N14" s="51"/>
      <c r="O14" s="60" t="n">
        <f aca="false">+T14*V14</f>
        <v>54</v>
      </c>
      <c r="P14" s="48"/>
      <c r="Q14" s="49"/>
      <c r="R14" s="49"/>
      <c r="S14" s="53" t="n">
        <f aca="false">+T14*1000/365</f>
        <v>98.6301369863014</v>
      </c>
      <c r="T14" s="13" t="n">
        <v>36</v>
      </c>
      <c r="U14" s="54"/>
      <c r="V14" s="0" t="n">
        <v>1.5</v>
      </c>
    </row>
    <row r="15" customFormat="false" ht="12.75" hidden="false" customHeight="false" outlineLevel="0" collapsed="false">
      <c r="B15" s="0" t="n">
        <f aca="false">1+B14</f>
        <v>11</v>
      </c>
      <c r="D15" s="39"/>
      <c r="E15" s="40"/>
      <c r="F15" s="57" t="s">
        <v>25</v>
      </c>
      <c r="G15" s="41"/>
      <c r="H15" s="42"/>
      <c r="I15" s="43"/>
      <c r="J15" s="44"/>
      <c r="K15" s="44"/>
      <c r="L15" s="44"/>
      <c r="M15" s="50"/>
      <c r="N15" s="51"/>
      <c r="O15" s="60" t="n">
        <f aca="false">+T15*V15</f>
        <v>28.56</v>
      </c>
      <c r="P15" s="48"/>
      <c r="Q15" s="49"/>
      <c r="R15" s="49"/>
      <c r="S15" s="53" t="n">
        <f aca="false">+T15*1000/365</f>
        <v>130.41095890411</v>
      </c>
      <c r="T15" s="13" t="n">
        <v>47.6</v>
      </c>
      <c r="U15" s="54" t="s">
        <v>26</v>
      </c>
      <c r="V15" s="0" t="n">
        <v>0.6</v>
      </c>
    </row>
    <row r="16" customFormat="false" ht="12.75" hidden="false" customHeight="false" outlineLevel="0" collapsed="false">
      <c r="B16" s="0" t="n">
        <f aca="false">1+B15</f>
        <v>12</v>
      </c>
      <c r="D16" s="39"/>
      <c r="E16" s="40"/>
      <c r="F16" s="57" t="s">
        <v>27</v>
      </c>
      <c r="G16" s="41"/>
      <c r="H16" s="42"/>
      <c r="I16" s="43"/>
      <c r="J16" s="44"/>
      <c r="K16" s="44"/>
      <c r="L16" s="44"/>
      <c r="M16" s="50"/>
      <c r="N16" s="51"/>
      <c r="O16" s="60" t="n">
        <f aca="false">+T16*V16</f>
        <v>23</v>
      </c>
      <c r="P16" s="48"/>
      <c r="Q16" s="49"/>
      <c r="R16" s="49"/>
      <c r="S16" s="53" t="n">
        <f aca="false">+T16*1000/365</f>
        <v>31.5068493150685</v>
      </c>
      <c r="T16" s="13" t="n">
        <v>11.5</v>
      </c>
      <c r="U16" s="54" t="s">
        <v>26</v>
      </c>
      <c r="V16" s="0" t="n">
        <v>2</v>
      </c>
    </row>
    <row r="17" customFormat="false" ht="12.75" hidden="false" customHeight="false" outlineLevel="0" collapsed="false">
      <c r="B17" s="0" t="n">
        <f aca="false">1+B16</f>
        <v>13</v>
      </c>
      <c r="D17" s="39"/>
      <c r="E17" s="40"/>
      <c r="F17" s="57" t="s">
        <v>28</v>
      </c>
      <c r="G17" s="41"/>
      <c r="H17" s="42"/>
      <c r="I17" s="43"/>
      <c r="J17" s="44"/>
      <c r="K17" s="44"/>
      <c r="L17" s="44"/>
      <c r="M17" s="50"/>
      <c r="N17" s="51"/>
      <c r="O17" s="60" t="n">
        <f aca="false">+T17*V17</f>
        <v>18.72</v>
      </c>
      <c r="P17" s="48"/>
      <c r="Q17" s="49"/>
      <c r="R17" s="49"/>
      <c r="S17" s="53" t="n">
        <f aca="false">+T17*1000/365</f>
        <v>85.4794520547945</v>
      </c>
      <c r="T17" s="13" t="n">
        <v>31.2</v>
      </c>
      <c r="U17" s="54"/>
      <c r="V17" s="0" t="n">
        <v>0.6</v>
      </c>
    </row>
    <row r="18" customFormat="false" ht="12.75" hidden="false" customHeight="false" outlineLevel="0" collapsed="false">
      <c r="D18" s="39"/>
      <c r="E18" s="40"/>
      <c r="F18" s="57"/>
      <c r="G18" s="41"/>
      <c r="H18" s="42"/>
      <c r="I18" s="43"/>
      <c r="J18" s="44"/>
      <c r="K18" s="44"/>
      <c r="L18" s="44"/>
      <c r="M18" s="50"/>
      <c r="N18" s="51"/>
      <c r="O18" s="60"/>
      <c r="P18" s="48"/>
      <c r="Q18" s="49"/>
      <c r="R18" s="49"/>
      <c r="S18" s="53"/>
      <c r="T18" s="13"/>
      <c r="U18" s="54"/>
      <c r="W18" s="0"/>
    </row>
    <row r="19" customFormat="false" ht="12.75" hidden="false" customHeight="false" outlineLevel="0" collapsed="false">
      <c r="D19" s="39"/>
      <c r="E19" s="40"/>
      <c r="F19" s="57" t="s">
        <v>29</v>
      </c>
      <c r="G19" s="41"/>
      <c r="H19" s="42"/>
      <c r="I19" s="43"/>
      <c r="J19" s="44"/>
      <c r="K19" s="44"/>
      <c r="L19" s="44"/>
      <c r="M19" s="50"/>
      <c r="N19" s="51"/>
      <c r="O19" s="61" t="n">
        <f aca="false">+T19*V19</f>
        <v>12</v>
      </c>
      <c r="P19" s="48"/>
      <c r="Q19" s="49"/>
      <c r="R19" s="49"/>
      <c r="S19" s="53" t="n">
        <f aca="false">+T19*1000/365</f>
        <v>21.9178082191781</v>
      </c>
      <c r="T19" s="13" t="n">
        <v>8</v>
      </c>
      <c r="U19" s="54"/>
      <c r="V19" s="0" t="n">
        <v>1.5</v>
      </c>
      <c r="W19" s="0"/>
    </row>
    <row r="20" customFormat="false" ht="12.75" hidden="false" customHeight="false" outlineLevel="0" collapsed="false">
      <c r="B20" s="0" t="n">
        <f aca="false">1+B17</f>
        <v>14</v>
      </c>
      <c r="D20" s="39"/>
      <c r="E20" s="40"/>
      <c r="F20" s="57"/>
      <c r="G20" s="41"/>
      <c r="H20" s="42"/>
      <c r="I20" s="43"/>
      <c r="J20" s="44"/>
      <c r="K20" s="44"/>
      <c r="L20" s="44"/>
      <c r="M20" s="50"/>
      <c r="N20" s="51"/>
      <c r="O20" s="47"/>
      <c r="P20" s="48"/>
      <c r="Q20" s="49"/>
      <c r="R20" s="49"/>
      <c r="S20" s="53"/>
      <c r="T20" s="13"/>
      <c r="U20" s="54"/>
    </row>
    <row r="21" customFormat="false" ht="12.75" hidden="false" customHeight="false" outlineLevel="0" collapsed="false">
      <c r="B21" s="0" t="n">
        <f aca="false">1+B20</f>
        <v>15</v>
      </c>
      <c r="D21" s="39"/>
      <c r="E21" s="57" t="s">
        <v>30</v>
      </c>
      <c r="G21" s="41"/>
      <c r="H21" s="42"/>
      <c r="I21" s="43"/>
      <c r="J21" s="44"/>
      <c r="K21" s="44"/>
      <c r="L21" s="44"/>
      <c r="M21" s="50"/>
      <c r="N21" s="51"/>
      <c r="O21" s="59" t="n">
        <f aca="false">+T21*V21</f>
        <v>102.2</v>
      </c>
      <c r="P21" s="48" t="n">
        <f aca="false">+SUM(O21:O24)</f>
        <v>102.2</v>
      </c>
      <c r="Q21" s="49"/>
      <c r="R21" s="49"/>
      <c r="S21" s="53" t="n">
        <f aca="false">+T21*1000/365</f>
        <v>280</v>
      </c>
      <c r="T21" s="13" t="n">
        <f aca="false">0.28*365</f>
        <v>102.2</v>
      </c>
      <c r="U21" s="54"/>
      <c r="V21" s="0" t="n">
        <v>1</v>
      </c>
    </row>
    <row r="22" customFormat="false" ht="12.75" hidden="false" customHeight="false" outlineLevel="0" collapsed="false">
      <c r="D22" s="39"/>
      <c r="E22" s="57"/>
      <c r="F22" s="15" t="s">
        <v>31</v>
      </c>
      <c r="G22" s="41"/>
      <c r="H22" s="42"/>
      <c r="I22" s="43"/>
      <c r="J22" s="44"/>
      <c r="K22" s="44"/>
      <c r="L22" s="44"/>
      <c r="M22" s="50"/>
      <c r="N22" s="51"/>
      <c r="O22" s="60"/>
      <c r="P22" s="48"/>
      <c r="Q22" s="49"/>
      <c r="R22" s="49"/>
      <c r="S22" s="53"/>
      <c r="T22" s="13"/>
      <c r="U22" s="54"/>
      <c r="W22" s="0"/>
    </row>
    <row r="23" customFormat="false" ht="12.75" hidden="false" customHeight="false" outlineLevel="0" collapsed="false">
      <c r="D23" s="39"/>
      <c r="E23" s="57"/>
      <c r="G23" s="41"/>
      <c r="H23" s="42"/>
      <c r="I23" s="43"/>
      <c r="J23" s="44"/>
      <c r="K23" s="44"/>
      <c r="L23" s="44"/>
      <c r="M23" s="50"/>
      <c r="N23" s="51"/>
      <c r="O23" s="60"/>
      <c r="P23" s="48"/>
      <c r="Q23" s="49"/>
      <c r="R23" s="49"/>
      <c r="S23" s="53"/>
      <c r="T23" s="13"/>
      <c r="U23" s="54"/>
      <c r="W23" s="0"/>
    </row>
    <row r="24" customFormat="false" ht="12.75" hidden="false" customHeight="false" outlineLevel="0" collapsed="false">
      <c r="B24" s="0" t="n">
        <f aca="false">1+B21</f>
        <v>16</v>
      </c>
      <c r="D24" s="39"/>
      <c r="E24" s="40"/>
      <c r="F24" s="40"/>
      <c r="G24" s="41"/>
      <c r="H24" s="42"/>
      <c r="I24" s="43"/>
      <c r="J24" s="44"/>
      <c r="K24" s="44"/>
      <c r="L24" s="44"/>
      <c r="M24" s="50"/>
      <c r="N24" s="51"/>
      <c r="O24" s="61"/>
      <c r="P24" s="48"/>
      <c r="Q24" s="49"/>
      <c r="R24" s="49"/>
      <c r="S24" s="12"/>
      <c r="T24" s="13" t="s">
        <v>32</v>
      </c>
      <c r="U24" s="54"/>
    </row>
    <row r="25" customFormat="false" ht="12.75" hidden="false" customHeight="false" outlineLevel="0" collapsed="false">
      <c r="B25" s="0" t="n">
        <f aca="false">1+B24</f>
        <v>17</v>
      </c>
      <c r="D25" s="39"/>
      <c r="E25" s="40"/>
      <c r="F25" s="40"/>
      <c r="G25" s="41"/>
      <c r="H25" s="42"/>
      <c r="I25" s="43"/>
      <c r="J25" s="44"/>
      <c r="K25" s="44"/>
      <c r="L25" s="44"/>
      <c r="M25" s="50"/>
      <c r="N25" s="51"/>
      <c r="O25" s="47"/>
      <c r="P25" s="48"/>
      <c r="Q25" s="49"/>
      <c r="R25" s="49"/>
      <c r="S25" s="12"/>
      <c r="T25" s="13"/>
      <c r="U25" s="62"/>
    </row>
    <row r="26" customFormat="false" ht="12.75" hidden="false" customHeight="false" outlineLevel="0" collapsed="false">
      <c r="B26" s="0" t="n">
        <f aca="false">1+B25</f>
        <v>18</v>
      </c>
      <c r="D26" s="39"/>
      <c r="E26" s="40" t="s">
        <v>33</v>
      </c>
      <c r="G26" s="41"/>
      <c r="H26" s="42"/>
      <c r="I26" s="43"/>
      <c r="J26" s="44"/>
      <c r="K26" s="44"/>
      <c r="L26" s="44"/>
      <c r="M26" s="50"/>
      <c r="N26" s="51"/>
      <c r="O26" s="59" t="n">
        <v>288</v>
      </c>
      <c r="P26" s="48" t="n">
        <f aca="false">+O26</f>
        <v>288</v>
      </c>
      <c r="Q26" s="49"/>
      <c r="R26" s="49"/>
      <c r="S26" s="12"/>
      <c r="T26" s="13"/>
      <c r="U26" s="54"/>
    </row>
    <row r="27" customFormat="false" ht="12.75" hidden="false" customHeight="false" outlineLevel="0" collapsed="false">
      <c r="D27" s="39"/>
      <c r="E27" s="40"/>
      <c r="F27" s="15" t="s">
        <v>34</v>
      </c>
      <c r="G27" s="41"/>
      <c r="H27" s="42"/>
      <c r="I27" s="43"/>
      <c r="J27" s="44"/>
      <c r="K27" s="44"/>
      <c r="L27" s="44"/>
      <c r="M27" s="50"/>
      <c r="N27" s="51"/>
      <c r="O27" s="61"/>
      <c r="P27" s="48"/>
      <c r="Q27" s="49"/>
      <c r="R27" s="49"/>
      <c r="S27" s="12"/>
      <c r="T27" s="13"/>
      <c r="U27" s="54"/>
      <c r="W27" s="0"/>
    </row>
    <row r="28" customFormat="false" ht="12.75" hidden="false" customHeight="false" outlineLevel="0" collapsed="false">
      <c r="B28" s="0" t="n">
        <f aca="false">1+B26</f>
        <v>19</v>
      </c>
      <c r="D28" s="39"/>
      <c r="E28" s="40"/>
      <c r="G28" s="41"/>
      <c r="H28" s="42"/>
      <c r="I28" s="43"/>
      <c r="J28" s="44"/>
      <c r="K28" s="44"/>
      <c r="L28" s="44"/>
      <c r="M28" s="50"/>
      <c r="N28" s="51"/>
      <c r="O28" s="47"/>
      <c r="P28" s="48"/>
      <c r="Q28" s="49"/>
      <c r="R28" s="49"/>
      <c r="S28" s="12"/>
      <c r="T28" s="13"/>
      <c r="U28" s="54"/>
    </row>
    <row r="29" customFormat="false" ht="12.75" hidden="false" customHeight="false" outlineLevel="0" collapsed="false">
      <c r="B29" s="0" t="n">
        <f aca="false">1+B28</f>
        <v>20</v>
      </c>
      <c r="D29" s="39"/>
      <c r="E29" s="40"/>
      <c r="F29" s="40"/>
      <c r="G29" s="41"/>
      <c r="H29" s="42"/>
      <c r="I29" s="43"/>
      <c r="J29" s="44"/>
      <c r="K29" s="44"/>
      <c r="L29" s="44"/>
      <c r="M29" s="50"/>
      <c r="N29" s="51"/>
      <c r="O29" s="47"/>
      <c r="P29" s="48"/>
      <c r="Q29" s="49"/>
      <c r="R29" s="49"/>
      <c r="S29" s="12"/>
      <c r="T29" s="13"/>
      <c r="U29" s="54"/>
    </row>
    <row r="30" customFormat="false" ht="12.75" hidden="false" customHeight="false" outlineLevel="0" collapsed="false">
      <c r="B30" s="0" t="n">
        <f aca="false">1+B29</f>
        <v>21</v>
      </c>
      <c r="D30" s="39"/>
      <c r="E30" s="40" t="s">
        <v>35</v>
      </c>
      <c r="F30" s="40"/>
      <c r="G30" s="41" t="n">
        <v>0.34</v>
      </c>
      <c r="H30" s="42" t="n">
        <f aca="false">+G30*$I$5</f>
        <v>835.38</v>
      </c>
      <c r="I30" s="43"/>
      <c r="J30" s="44" t="n">
        <f aca="false">+(H30)/$I$3</f>
        <v>0.0803481773588535</v>
      </c>
      <c r="K30" s="44"/>
      <c r="L30" s="44"/>
      <c r="M30" s="50"/>
      <c r="N30" s="51"/>
      <c r="O30" s="47"/>
      <c r="P30" s="48" t="n">
        <f aca="false">+SUM(O31:O36)</f>
        <v>408.18</v>
      </c>
      <c r="Q30" s="49"/>
      <c r="R30" s="49"/>
      <c r="S30" s="12"/>
      <c r="T30" s="12"/>
      <c r="U30" s="14"/>
    </row>
    <row r="31" customFormat="false" ht="12.75" hidden="false" customHeight="false" outlineLevel="0" collapsed="false">
      <c r="B31" s="0" t="n">
        <f aca="false">1+B30</f>
        <v>22</v>
      </c>
      <c r="D31" s="39"/>
      <c r="E31" s="40"/>
      <c r="F31" s="57" t="s">
        <v>36</v>
      </c>
      <c r="G31" s="41"/>
      <c r="H31" s="42"/>
      <c r="I31" s="43"/>
      <c r="J31" s="44"/>
      <c r="K31" s="44"/>
      <c r="L31" s="44"/>
      <c r="M31" s="50"/>
      <c r="N31" s="51"/>
      <c r="O31" s="47" t="n">
        <f aca="false">+T31*V31</f>
        <v>74.4</v>
      </c>
      <c r="P31" s="48"/>
      <c r="Q31" s="49"/>
      <c r="R31" s="49"/>
      <c r="S31" s="53" t="n">
        <f aca="false">+T31*1000/365</f>
        <v>169.86301369863</v>
      </c>
      <c r="T31" s="12" t="n">
        <v>62</v>
      </c>
      <c r="U31" s="54" t="s">
        <v>37</v>
      </c>
      <c r="V31" s="0" t="n">
        <v>1.2</v>
      </c>
    </row>
    <row r="32" customFormat="false" ht="12.75" hidden="false" customHeight="false" outlineLevel="0" collapsed="false">
      <c r="B32" s="0" t="n">
        <f aca="false">1+B31</f>
        <v>23</v>
      </c>
      <c r="D32" s="39"/>
      <c r="E32" s="40"/>
      <c r="F32" s="57" t="s">
        <v>38</v>
      </c>
      <c r="G32" s="41"/>
      <c r="H32" s="42"/>
      <c r="I32" s="43"/>
      <c r="J32" s="44"/>
      <c r="K32" s="44"/>
      <c r="L32" s="44"/>
      <c r="M32" s="50"/>
      <c r="N32" s="51"/>
      <c r="O32" s="47" t="n">
        <f aca="false">+T32*V32</f>
        <v>93.96</v>
      </c>
      <c r="P32" s="48"/>
      <c r="Q32" s="49"/>
      <c r="R32" s="49"/>
      <c r="S32" s="53" t="n">
        <f aca="false">+T32*1000/365</f>
        <v>88.7671232876712</v>
      </c>
      <c r="T32" s="12" t="n">
        <f aca="false">37-T34</f>
        <v>32.4</v>
      </c>
      <c r="U32" s="54"/>
      <c r="V32" s="0" t="n">
        <v>2.9</v>
      </c>
    </row>
    <row r="33" customFormat="false" ht="12.75" hidden="false" customHeight="false" outlineLevel="0" collapsed="false">
      <c r="B33" s="0" t="n">
        <f aca="false">1+B32</f>
        <v>24</v>
      </c>
      <c r="D33" s="39"/>
      <c r="E33" s="40"/>
      <c r="F33" s="57" t="s">
        <v>39</v>
      </c>
      <c r="G33" s="41"/>
      <c r="H33" s="42"/>
      <c r="I33" s="43"/>
      <c r="J33" s="44"/>
      <c r="K33" s="44"/>
      <c r="L33" s="44"/>
      <c r="M33" s="50"/>
      <c r="N33" s="51"/>
      <c r="O33" s="47" t="n">
        <f aca="false">+T33*V33</f>
        <v>120</v>
      </c>
      <c r="P33" s="48"/>
      <c r="Q33" s="49"/>
      <c r="R33" s="49"/>
      <c r="S33" s="53" t="n">
        <f aca="false">+T33*1000/365</f>
        <v>65.7534246575343</v>
      </c>
      <c r="T33" s="12" t="n">
        <v>24</v>
      </c>
      <c r="U33" s="14"/>
      <c r="V33" s="0" t="n">
        <v>5</v>
      </c>
    </row>
    <row r="34" customFormat="false" ht="12.75" hidden="false" customHeight="false" outlineLevel="0" collapsed="false">
      <c r="B34" s="0" t="n">
        <f aca="false">1+B33</f>
        <v>25</v>
      </c>
      <c r="D34" s="39"/>
      <c r="E34" s="40"/>
      <c r="F34" s="57" t="s">
        <v>40</v>
      </c>
      <c r="G34" s="41"/>
      <c r="H34" s="42"/>
      <c r="I34" s="43"/>
      <c r="J34" s="44"/>
      <c r="K34" s="44"/>
      <c r="L34" s="44"/>
      <c r="M34" s="50"/>
      <c r="N34" s="51"/>
      <c r="O34" s="47" t="n">
        <f aca="false">+T34*V34</f>
        <v>16.1</v>
      </c>
      <c r="P34" s="48"/>
      <c r="Q34" s="49"/>
      <c r="R34" s="49"/>
      <c r="S34" s="53" t="n">
        <f aca="false">+T34*1000/365</f>
        <v>12.6027397260274</v>
      </c>
      <c r="T34" s="12" t="n">
        <v>4.6</v>
      </c>
      <c r="U34" s="54" t="s">
        <v>41</v>
      </c>
      <c r="V34" s="0" t="n">
        <v>3.5</v>
      </c>
    </row>
    <row r="35" customFormat="false" ht="12.75" hidden="false" customHeight="false" outlineLevel="0" collapsed="false">
      <c r="B35" s="0" t="n">
        <f aca="false">1+B34</f>
        <v>26</v>
      </c>
      <c r="D35" s="39"/>
      <c r="E35" s="40"/>
      <c r="F35" s="57" t="s">
        <v>42</v>
      </c>
      <c r="G35" s="41"/>
      <c r="H35" s="42"/>
      <c r="I35" s="43"/>
      <c r="J35" s="44"/>
      <c r="K35" s="44"/>
      <c r="L35" s="44"/>
      <c r="M35" s="50"/>
      <c r="N35" s="51"/>
      <c r="O35" s="47" t="n">
        <f aca="false">+T35*V35</f>
        <v>76</v>
      </c>
      <c r="P35" s="48"/>
      <c r="Q35" s="49"/>
      <c r="R35" s="49"/>
      <c r="S35" s="53" t="n">
        <f aca="false">+T35*1000/365</f>
        <v>21.9178082191781</v>
      </c>
      <c r="T35" s="12" t="n">
        <v>8</v>
      </c>
      <c r="U35" s="14"/>
      <c r="V35" s="0" t="n">
        <v>9.5</v>
      </c>
    </row>
    <row r="36" customFormat="false" ht="12.75" hidden="false" customHeight="false" outlineLevel="0" collapsed="false">
      <c r="B36" s="0" t="n">
        <f aca="false">1+B35</f>
        <v>27</v>
      </c>
      <c r="D36" s="39"/>
      <c r="E36" s="40"/>
      <c r="F36" s="57" t="s">
        <v>43</v>
      </c>
      <c r="G36" s="41"/>
      <c r="H36" s="42"/>
      <c r="I36" s="43"/>
      <c r="J36" s="44"/>
      <c r="K36" s="44"/>
      <c r="L36" s="44"/>
      <c r="M36" s="50"/>
      <c r="N36" s="51"/>
      <c r="O36" s="47" t="n">
        <f aca="false">+T36*V36</f>
        <v>27.72</v>
      </c>
      <c r="P36" s="48"/>
      <c r="Q36" s="49"/>
      <c r="R36" s="49"/>
      <c r="S36" s="53" t="n">
        <f aca="false">+T36*1000/365</f>
        <v>36.1643835616438</v>
      </c>
      <c r="T36" s="12" t="n">
        <v>13.2</v>
      </c>
      <c r="U36" s="54" t="s">
        <v>44</v>
      </c>
      <c r="V36" s="0" t="n">
        <v>2.1</v>
      </c>
    </row>
    <row r="37" customFormat="false" ht="12.75" hidden="false" customHeight="false" outlineLevel="0" collapsed="false">
      <c r="B37" s="0" t="n">
        <f aca="false">1+B36</f>
        <v>28</v>
      </c>
      <c r="D37" s="39"/>
      <c r="E37" s="40"/>
      <c r="F37" s="57"/>
      <c r="G37" s="41"/>
      <c r="H37" s="42"/>
      <c r="I37" s="43"/>
      <c r="J37" s="44"/>
      <c r="K37" s="44"/>
      <c r="L37" s="44"/>
      <c r="M37" s="50"/>
      <c r="N37" s="51"/>
      <c r="O37" s="47"/>
      <c r="P37" s="48"/>
      <c r="Q37" s="49"/>
      <c r="R37" s="49"/>
      <c r="S37" s="12"/>
      <c r="T37" s="12"/>
      <c r="U37" s="14"/>
    </row>
    <row r="38" customFormat="false" ht="12.75" hidden="false" customHeight="false" outlineLevel="0" collapsed="false">
      <c r="B38" s="0" t="n">
        <f aca="false">1+B37</f>
        <v>29</v>
      </c>
      <c r="D38" s="39"/>
      <c r="E38" s="40" t="s">
        <v>45</v>
      </c>
      <c r="F38" s="40"/>
      <c r="G38" s="41" t="n">
        <v>0.41</v>
      </c>
      <c r="H38" s="42" t="n">
        <f aca="false">+G38*$I$5</f>
        <v>1007.37</v>
      </c>
      <c r="I38" s="43"/>
      <c r="J38" s="44" t="n">
        <f aca="false">+(H38)/$I$3</f>
        <v>0.0968904491680292</v>
      </c>
      <c r="K38" s="44"/>
      <c r="L38" s="44"/>
      <c r="M38" s="50"/>
      <c r="N38" s="51"/>
      <c r="O38" s="47"/>
      <c r="P38" s="48" t="n">
        <f aca="false">+SUM(O39:O45)</f>
        <v>1143.7</v>
      </c>
      <c r="Q38" s="49"/>
      <c r="R38" s="49"/>
      <c r="S38" s="12"/>
      <c r="T38" s="12"/>
      <c r="U38" s="14"/>
    </row>
    <row r="39" customFormat="false" ht="12.75" hidden="false" customHeight="false" outlineLevel="0" collapsed="false">
      <c r="B39" s="0" t="n">
        <f aca="false">1+B38</f>
        <v>30</v>
      </c>
      <c r="D39" s="39"/>
      <c r="E39" s="40"/>
      <c r="F39" s="57" t="s">
        <v>46</v>
      </c>
      <c r="G39" s="41"/>
      <c r="H39" s="42"/>
      <c r="I39" s="43"/>
      <c r="J39" s="44"/>
      <c r="K39" s="44"/>
      <c r="L39" s="44"/>
      <c r="M39" s="50"/>
      <c r="N39" s="51"/>
      <c r="O39" s="47" t="n">
        <f aca="false">+T39*V39</f>
        <v>168.3</v>
      </c>
      <c r="P39" s="48"/>
      <c r="Q39" s="49"/>
      <c r="R39" s="49"/>
      <c r="S39" s="12"/>
      <c r="T39" s="12" t="n">
        <v>33</v>
      </c>
      <c r="U39" s="54" t="s">
        <v>47</v>
      </c>
      <c r="V39" s="0" t="n">
        <v>5.1</v>
      </c>
    </row>
    <row r="40" customFormat="false" ht="12.75" hidden="false" customHeight="false" outlineLevel="0" collapsed="false">
      <c r="B40" s="0" t="n">
        <f aca="false">1+B39</f>
        <v>31</v>
      </c>
      <c r="D40" s="39"/>
      <c r="E40" s="40"/>
      <c r="F40" s="40" t="s">
        <v>48</v>
      </c>
      <c r="G40" s="41"/>
      <c r="H40" s="42"/>
      <c r="I40" s="43"/>
      <c r="J40" s="44"/>
      <c r="K40" s="44"/>
      <c r="L40" s="44"/>
      <c r="M40" s="50"/>
      <c r="N40" s="51"/>
      <c r="O40" s="47" t="n">
        <f aca="false">+T40*V40</f>
        <v>199.1</v>
      </c>
      <c r="P40" s="48"/>
      <c r="Q40" s="49"/>
      <c r="R40" s="49"/>
      <c r="S40" s="53" t="n">
        <f aca="false">+T40*1000/365</f>
        <v>99.1780821917808</v>
      </c>
      <c r="T40" s="12" t="n">
        <v>36.2</v>
      </c>
      <c r="U40" s="54" t="s">
        <v>49</v>
      </c>
      <c r="V40" s="0" t="n">
        <v>5.5</v>
      </c>
      <c r="X40" s="0" t="n">
        <f aca="false">+V40*T40</f>
        <v>199.1</v>
      </c>
    </row>
    <row r="41" customFormat="false" ht="12.75" hidden="false" customHeight="false" outlineLevel="0" collapsed="false">
      <c r="B41" s="0" t="n">
        <f aca="false">1+B40</f>
        <v>32</v>
      </c>
      <c r="D41" s="39"/>
      <c r="E41" s="40"/>
      <c r="F41" s="40" t="s">
        <v>50</v>
      </c>
      <c r="G41" s="41"/>
      <c r="H41" s="42"/>
      <c r="I41" s="43"/>
      <c r="J41" s="44"/>
      <c r="K41" s="44"/>
      <c r="L41" s="44"/>
      <c r="M41" s="50"/>
      <c r="N41" s="51"/>
      <c r="O41" s="47" t="n">
        <f aca="false">+T41*V41</f>
        <v>109.2</v>
      </c>
      <c r="P41" s="48"/>
      <c r="Q41" s="49"/>
      <c r="R41" s="49"/>
      <c r="S41" s="53" t="n">
        <f aca="false">+T41*1000/365</f>
        <v>74.7945205479452</v>
      </c>
      <c r="T41" s="12" t="n">
        <v>27.3</v>
      </c>
      <c r="U41" s="54" t="s">
        <v>26</v>
      </c>
      <c r="V41" s="0" t="n">
        <v>4</v>
      </c>
      <c r="X41" s="0" t="n">
        <f aca="false">+V41*T41</f>
        <v>109.2</v>
      </c>
    </row>
    <row r="42" customFormat="false" ht="12.75" hidden="false" customHeight="false" outlineLevel="0" collapsed="false">
      <c r="B42" s="0" t="n">
        <f aca="false">1+B41</f>
        <v>33</v>
      </c>
      <c r="D42" s="39"/>
      <c r="E42" s="40"/>
      <c r="F42" s="40" t="s">
        <v>51</v>
      </c>
      <c r="G42" s="41"/>
      <c r="H42" s="42"/>
      <c r="I42" s="43"/>
      <c r="J42" s="44"/>
      <c r="K42" s="44"/>
      <c r="L42" s="44"/>
      <c r="M42" s="50"/>
      <c r="N42" s="51"/>
      <c r="O42" s="47" t="n">
        <f aca="false">+T42*V42</f>
        <v>505</v>
      </c>
      <c r="P42" s="48"/>
      <c r="Q42" s="49"/>
      <c r="R42" s="49"/>
      <c r="S42" s="53" t="n">
        <f aca="false">+T42*1000/365</f>
        <v>55.3424657534247</v>
      </c>
      <c r="T42" s="12" t="n">
        <v>20.2</v>
      </c>
      <c r="U42" s="14"/>
      <c r="V42" s="0" t="n">
        <v>25</v>
      </c>
      <c r="X42" s="0" t="n">
        <f aca="false">+V42*T42</f>
        <v>505</v>
      </c>
    </row>
    <row r="43" customFormat="false" ht="12.75" hidden="false" customHeight="false" outlineLevel="0" collapsed="false">
      <c r="B43" s="0" t="n">
        <f aca="false">1+B42</f>
        <v>34</v>
      </c>
      <c r="D43" s="39"/>
      <c r="E43" s="40"/>
      <c r="F43" s="57" t="s">
        <v>52</v>
      </c>
      <c r="G43" s="41"/>
      <c r="H43" s="42"/>
      <c r="I43" s="43"/>
      <c r="J43" s="44"/>
      <c r="K43" s="44"/>
      <c r="L43" s="44"/>
      <c r="M43" s="50"/>
      <c r="N43" s="51"/>
      <c r="O43" s="47" t="n">
        <f aca="false">+T43*V43</f>
        <v>56</v>
      </c>
      <c r="P43" s="48"/>
      <c r="Q43" s="49"/>
      <c r="R43" s="49"/>
      <c r="S43" s="53"/>
      <c r="T43" s="12" t="n">
        <v>3.5</v>
      </c>
      <c r="U43" s="14"/>
      <c r="V43" s="0" t="n">
        <v>16</v>
      </c>
    </row>
    <row r="44" customFormat="false" ht="12.75" hidden="false" customHeight="false" outlineLevel="0" collapsed="false">
      <c r="B44" s="0" t="n">
        <f aca="false">1+B43</f>
        <v>35</v>
      </c>
      <c r="D44" s="39"/>
      <c r="E44" s="40"/>
      <c r="F44" s="57" t="s">
        <v>53</v>
      </c>
      <c r="G44" s="41"/>
      <c r="H44" s="42"/>
      <c r="I44" s="43"/>
      <c r="J44" s="44"/>
      <c r="K44" s="44"/>
      <c r="L44" s="44"/>
      <c r="M44" s="50"/>
      <c r="N44" s="51"/>
      <c r="O44" s="47" t="n">
        <f aca="false">+T44*V44</f>
        <v>89.1</v>
      </c>
      <c r="P44" s="48"/>
      <c r="Q44" s="49"/>
      <c r="R44" s="49"/>
      <c r="S44" s="53"/>
      <c r="T44" s="12" t="n">
        <v>2.7</v>
      </c>
      <c r="U44" s="14"/>
      <c r="V44" s="0" t="n">
        <v>33</v>
      </c>
    </row>
    <row r="45" customFormat="false" ht="12.75" hidden="false" customHeight="false" outlineLevel="0" collapsed="false">
      <c r="B45" s="0" t="n">
        <f aca="false">1+B44</f>
        <v>36</v>
      </c>
      <c r="D45" s="39"/>
      <c r="E45" s="40"/>
      <c r="F45" s="40" t="s">
        <v>54</v>
      </c>
      <c r="G45" s="41"/>
      <c r="H45" s="42"/>
      <c r="I45" s="43"/>
      <c r="J45" s="44"/>
      <c r="K45" s="44"/>
      <c r="L45" s="44"/>
      <c r="M45" s="50"/>
      <c r="N45" s="51"/>
      <c r="O45" s="47" t="n">
        <f aca="false">+T45*V45</f>
        <v>17</v>
      </c>
      <c r="P45" s="48"/>
      <c r="Q45" s="49"/>
      <c r="R45" s="49"/>
      <c r="S45" s="53" t="n">
        <f aca="false">+T45*1000/365</f>
        <v>9.31506849315069</v>
      </c>
      <c r="T45" s="12" t="n">
        <v>3.4</v>
      </c>
      <c r="U45" s="14"/>
      <c r="V45" s="0" t="n">
        <v>5</v>
      </c>
      <c r="X45" s="0" t="n">
        <f aca="false">+V45*T45</f>
        <v>17</v>
      </c>
    </row>
    <row r="46" customFormat="false" ht="13.5" hidden="false" customHeight="false" outlineLevel="0" collapsed="false">
      <c r="B46" s="0" t="n">
        <f aca="false">1+B45</f>
        <v>37</v>
      </c>
      <c r="D46" s="63"/>
      <c r="E46" s="64"/>
      <c r="F46" s="64"/>
      <c r="G46" s="65"/>
      <c r="H46" s="66"/>
      <c r="I46" s="67"/>
      <c r="J46" s="68"/>
      <c r="K46" s="68"/>
      <c r="L46" s="68"/>
      <c r="M46" s="69"/>
      <c r="N46" s="70"/>
      <c r="O46" s="71"/>
      <c r="P46" s="72"/>
      <c r="Q46" s="49"/>
      <c r="R46" s="49"/>
      <c r="S46" s="12"/>
      <c r="T46" s="12"/>
      <c r="U46" s="14"/>
    </row>
    <row r="47" customFormat="false" ht="14.25" hidden="false" customHeight="false" outlineLevel="0" collapsed="false">
      <c r="B47" s="0" t="n">
        <f aca="false">1+B46</f>
        <v>38</v>
      </c>
      <c r="D47" s="26" t="s">
        <v>55</v>
      </c>
      <c r="E47" s="27"/>
      <c r="F47" s="27"/>
      <c r="G47" s="27"/>
      <c r="H47" s="28"/>
      <c r="I47" s="73" t="n">
        <v>2393</v>
      </c>
      <c r="J47" s="30"/>
      <c r="K47" s="30" t="n">
        <f aca="false">+(I47)/$I$3</f>
        <v>0.230162546888526</v>
      </c>
      <c r="L47" s="30"/>
      <c r="M47" s="31" t="s">
        <v>56</v>
      </c>
      <c r="N47" s="32"/>
      <c r="O47" s="33"/>
      <c r="P47" s="74"/>
      <c r="Q47" s="35" t="n">
        <f aca="false">+SUM(O48:O50)</f>
        <v>763.367</v>
      </c>
      <c r="R47" s="36" t="n">
        <f aca="false">+Q47/$Q$4</f>
        <v>0.0631302683629987</v>
      </c>
      <c r="S47" s="75" t="s">
        <v>57</v>
      </c>
      <c r="T47" s="76"/>
      <c r="U47" s="14"/>
    </row>
    <row r="48" customFormat="false" ht="13.5" hidden="false" customHeight="false" outlineLevel="0" collapsed="false">
      <c r="B48" s="0" t="n">
        <f aca="false">1+B47</f>
        <v>39</v>
      </c>
      <c r="D48" s="39"/>
      <c r="E48" s="77"/>
      <c r="F48" s="77"/>
      <c r="G48" s="77"/>
      <c r="H48" s="42"/>
      <c r="I48" s="43"/>
      <c r="J48" s="44"/>
      <c r="K48" s="44"/>
      <c r="L48" s="44"/>
      <c r="M48" s="45" t="s">
        <v>11</v>
      </c>
      <c r="N48" s="78" t="n">
        <v>786</v>
      </c>
      <c r="O48" s="47"/>
      <c r="P48" s="48"/>
      <c r="Q48" s="49"/>
      <c r="R48" s="49"/>
      <c r="S48" s="13" t="s">
        <v>58</v>
      </c>
      <c r="T48" s="12"/>
      <c r="U48" s="14"/>
    </row>
    <row r="49" customFormat="false" ht="12.75" hidden="false" customHeight="false" outlineLevel="0" collapsed="false">
      <c r="B49" s="0" t="n">
        <f aca="false">1+B48</f>
        <v>40</v>
      </c>
      <c r="D49" s="39"/>
      <c r="E49" s="40" t="s">
        <v>59</v>
      </c>
      <c r="F49" s="40"/>
      <c r="G49" s="41" t="n">
        <v>0.29</v>
      </c>
      <c r="H49" s="42" t="n">
        <f aca="false">+G49*$I$47</f>
        <v>693.97</v>
      </c>
      <c r="I49" s="43"/>
      <c r="J49" s="44" t="n">
        <f aca="false">+(H49)/$I$3</f>
        <v>0.0667471385976724</v>
      </c>
      <c r="K49" s="44"/>
      <c r="L49" s="44"/>
      <c r="M49" s="50"/>
      <c r="N49" s="79"/>
      <c r="O49" s="80" t="n">
        <f aca="false">+H49*S49</f>
        <v>763.367</v>
      </c>
      <c r="P49" s="48"/>
      <c r="Q49" s="49"/>
      <c r="R49" s="49"/>
      <c r="S49" s="81" t="n">
        <v>1.1</v>
      </c>
      <c r="T49" s="12"/>
      <c r="U49" s="14"/>
    </row>
    <row r="50" customFormat="false" ht="13.5" hidden="false" customHeight="false" outlineLevel="0" collapsed="false">
      <c r="B50" s="0" t="n">
        <f aca="false">1+B49</f>
        <v>41</v>
      </c>
      <c r="D50" s="39"/>
      <c r="E50" s="40"/>
      <c r="F50" s="40"/>
      <c r="G50" s="41"/>
      <c r="H50" s="42"/>
      <c r="I50" s="43"/>
      <c r="J50" s="44"/>
      <c r="K50" s="44"/>
      <c r="L50" s="44"/>
      <c r="M50" s="50"/>
      <c r="N50" s="51"/>
      <c r="O50" s="47"/>
      <c r="P50" s="48"/>
      <c r="Q50" s="49"/>
      <c r="R50" s="49"/>
      <c r="S50" s="12"/>
      <c r="T50" s="12"/>
      <c r="U50" s="14"/>
    </row>
    <row r="51" customFormat="false" ht="14.25" hidden="false" customHeight="false" outlineLevel="0" collapsed="false">
      <c r="B51" s="0" t="n">
        <f aca="false">1+B50</f>
        <v>42</v>
      </c>
      <c r="D51" s="39"/>
      <c r="E51" s="40"/>
      <c r="F51" s="40"/>
      <c r="G51" s="41"/>
      <c r="H51" s="42"/>
      <c r="I51" s="43"/>
      <c r="J51" s="44"/>
      <c r="K51" s="44"/>
      <c r="L51" s="44"/>
      <c r="M51" s="31" t="s">
        <v>60</v>
      </c>
      <c r="N51" s="82"/>
      <c r="O51" s="83" t="s">
        <v>32</v>
      </c>
      <c r="P51" s="48"/>
      <c r="Q51" s="84" t="n">
        <f aca="false">+SUM(O52:O61)</f>
        <v>1862.18165914883</v>
      </c>
      <c r="R51" s="36" t="n">
        <f aca="false">+Q51/$Q$4</f>
        <v>0.154001977925061</v>
      </c>
      <c r="S51" s="12"/>
      <c r="T51" s="12"/>
      <c r="U51" s="14"/>
    </row>
    <row r="52" customFormat="false" ht="13.5" hidden="false" customHeight="false" outlineLevel="0" collapsed="false">
      <c r="B52" s="0" t="n">
        <f aca="false">1+B51</f>
        <v>43</v>
      </c>
      <c r="D52" s="39"/>
      <c r="E52" s="40" t="s">
        <v>61</v>
      </c>
      <c r="F52" s="40"/>
      <c r="G52" s="41" t="n">
        <v>0.27</v>
      </c>
      <c r="H52" s="42" t="n">
        <f aca="false">+G52*$I$47</f>
        <v>646.11</v>
      </c>
      <c r="I52" s="43"/>
      <c r="J52" s="44" t="n">
        <f aca="false">+(H52)/$I$3</f>
        <v>0.0621438876599019</v>
      </c>
      <c r="K52" s="42" t="n">
        <f aca="false">+H52</f>
        <v>646.11</v>
      </c>
      <c r="L52" s="42"/>
      <c r="M52" s="45" t="s">
        <v>11</v>
      </c>
      <c r="N52" s="78" t="n">
        <v>1401</v>
      </c>
      <c r="O52" s="80" t="n">
        <f aca="false">+K52*S52</f>
        <v>1033.776</v>
      </c>
      <c r="P52" s="48" t="n">
        <f aca="false">+O52+O59</f>
        <v>1179.73205914883</v>
      </c>
      <c r="Q52" s="49"/>
      <c r="R52" s="85" t="n">
        <f aca="false">+O52/$Q$4</f>
        <v>0.0854930280025563</v>
      </c>
      <c r="S52" s="81" t="n">
        <v>1.6</v>
      </c>
      <c r="T52" s="12"/>
      <c r="U52" s="14"/>
      <c r="W52" s="15" t="n">
        <f aca="false">1.2*1.33</f>
        <v>1.596</v>
      </c>
    </row>
    <row r="53" customFormat="false" ht="12.75" hidden="false" customHeight="false" outlineLevel="0" collapsed="false">
      <c r="B53" s="0" t="n">
        <f aca="false">1+B52</f>
        <v>44</v>
      </c>
      <c r="D53" s="39" t="s">
        <v>62</v>
      </c>
      <c r="E53" s="40" t="s">
        <v>63</v>
      </c>
      <c r="F53" s="40"/>
      <c r="G53" s="41" t="n">
        <v>0.16</v>
      </c>
      <c r="H53" s="42" t="n">
        <f aca="false">+G53*$I$47</f>
        <v>382.88</v>
      </c>
      <c r="I53" s="43"/>
      <c r="J53" s="44" t="n">
        <f aca="false">+(H53)/$I$3</f>
        <v>0.0368260075021641</v>
      </c>
      <c r="K53" s="86" t="s">
        <v>64</v>
      </c>
      <c r="L53" s="42"/>
      <c r="M53" s="50"/>
      <c r="N53" s="51"/>
      <c r="O53" s="47"/>
      <c r="P53" s="48"/>
      <c r="Q53" s="49"/>
      <c r="R53" s="49"/>
      <c r="S53" s="41"/>
      <c r="T53" s="12"/>
      <c r="U53" s="14"/>
    </row>
    <row r="54" customFormat="false" ht="12.75" hidden="false" customHeight="false" outlineLevel="0" collapsed="false">
      <c r="B54" s="0" t="n">
        <f aca="false">1+B53</f>
        <v>45</v>
      </c>
      <c r="D54" s="39" t="s">
        <v>62</v>
      </c>
      <c r="E54" s="40" t="s">
        <v>65</v>
      </c>
      <c r="F54" s="40"/>
      <c r="G54" s="41" t="n">
        <v>0.06</v>
      </c>
      <c r="H54" s="42" t="n">
        <f aca="false">+G54*$I$47</f>
        <v>143.58</v>
      </c>
      <c r="I54" s="43"/>
      <c r="J54" s="44" t="n">
        <f aca="false">+(H54)/$I$3</f>
        <v>0.0138097528133115</v>
      </c>
      <c r="K54" s="42" t="n">
        <f aca="false">+H54</f>
        <v>143.58</v>
      </c>
      <c r="L54" s="42"/>
      <c r="M54" s="50"/>
      <c r="N54" s="79"/>
      <c r="O54" s="80" t="n">
        <f aca="false">+S54*H54</f>
        <v>150.759</v>
      </c>
      <c r="P54" s="48" t="n">
        <f aca="false">+O54+O58</f>
        <v>682.4496</v>
      </c>
      <c r="Q54" s="49"/>
      <c r="R54" s="49"/>
      <c r="S54" s="81" t="n">
        <v>1.05</v>
      </c>
      <c r="T54" s="12"/>
      <c r="U54" s="14"/>
    </row>
    <row r="55" customFormat="false" ht="12.75" hidden="false" customHeight="false" outlineLevel="0" collapsed="false">
      <c r="B55" s="0" t="n">
        <f aca="false">1+B54</f>
        <v>46</v>
      </c>
      <c r="D55" s="39" t="s">
        <v>66</v>
      </c>
      <c r="E55" s="40" t="s">
        <v>67</v>
      </c>
      <c r="F55" s="40"/>
      <c r="G55" s="41" t="n">
        <v>0.05</v>
      </c>
      <c r="H55" s="42" t="n">
        <f aca="false">+G55*$I$47</f>
        <v>119.65</v>
      </c>
      <c r="I55" s="43"/>
      <c r="J55" s="44" t="n">
        <f aca="false">+(H55)/$I$3</f>
        <v>0.0115081273444263</v>
      </c>
      <c r="K55" s="86" t="s">
        <v>64</v>
      </c>
      <c r="L55" s="44"/>
      <c r="M55" s="50"/>
      <c r="N55" s="51"/>
      <c r="O55" s="47"/>
      <c r="P55" s="48"/>
      <c r="Q55" s="49"/>
      <c r="R55" s="49"/>
      <c r="S55" s="43"/>
      <c r="T55" s="12"/>
      <c r="U55" s="14"/>
    </row>
    <row r="56" customFormat="false" ht="12.75" hidden="false" customHeight="false" outlineLevel="0" collapsed="false">
      <c r="B56" s="0" t="n">
        <f aca="false">1+B55</f>
        <v>47</v>
      </c>
      <c r="D56" s="39" t="s">
        <v>66</v>
      </c>
      <c r="E56" s="40" t="s">
        <v>68</v>
      </c>
      <c r="F56" s="40"/>
      <c r="G56" s="41" t="n">
        <v>0.04</v>
      </c>
      <c r="H56" s="42" t="n">
        <f aca="false">+G56*$I$47</f>
        <v>95.72</v>
      </c>
      <c r="I56" s="43"/>
      <c r="J56" s="44" t="n">
        <f aca="false">+(H56)/$I$3</f>
        <v>0.00920650187554102</v>
      </c>
      <c r="K56" s="86" t="s">
        <v>64</v>
      </c>
      <c r="L56" s="44"/>
      <c r="M56" s="50"/>
      <c r="N56" s="51"/>
      <c r="O56" s="47"/>
      <c r="P56" s="48"/>
      <c r="Q56" s="49"/>
      <c r="R56" s="49"/>
      <c r="S56" s="43"/>
      <c r="T56" s="12"/>
      <c r="U56" s="14"/>
    </row>
    <row r="57" customFormat="false" ht="12.75" hidden="false" customHeight="false" outlineLevel="0" collapsed="false">
      <c r="B57" s="0" t="n">
        <f aca="false">1+B56</f>
        <v>48</v>
      </c>
      <c r="D57" s="39"/>
      <c r="E57" s="40" t="s">
        <v>69</v>
      </c>
      <c r="F57" s="40"/>
      <c r="G57" s="41" t="n">
        <v>0.02</v>
      </c>
      <c r="H57" s="42" t="n">
        <f aca="false">+G57*$I$47</f>
        <v>47.86</v>
      </c>
      <c r="I57" s="43"/>
      <c r="J57" s="44" t="n">
        <f aca="false">+(H57)/$I$3</f>
        <v>0.00460325093777051</v>
      </c>
      <c r="K57" s="86" t="s">
        <v>64</v>
      </c>
      <c r="L57" s="42"/>
      <c r="M57" s="50"/>
      <c r="N57" s="79"/>
      <c r="O57" s="80"/>
      <c r="P57" s="48"/>
      <c r="Q57" s="49"/>
      <c r="R57" s="49"/>
      <c r="S57" s="81" t="n">
        <v>1.065</v>
      </c>
      <c r="T57" s="12"/>
      <c r="U57" s="14"/>
    </row>
    <row r="58" customFormat="false" ht="12.75" hidden="false" customHeight="false" outlineLevel="0" collapsed="false">
      <c r="B58" s="0" t="n">
        <f aca="false">1+B57</f>
        <v>49</v>
      </c>
      <c r="D58" s="39"/>
      <c r="E58" s="40" t="s">
        <v>70</v>
      </c>
      <c r="F58" s="40"/>
      <c r="G58" s="41" t="n">
        <v>0.28</v>
      </c>
      <c r="H58" s="42" t="n">
        <f aca="false">+G58*$I$72</f>
        <v>499.24</v>
      </c>
      <c r="I58" s="43"/>
      <c r="J58" s="44" t="n">
        <f aca="false">+(H58)/$I$3</f>
        <v>0.0480176974127152</v>
      </c>
      <c r="K58" s="42" t="n">
        <f aca="false">+H58</f>
        <v>499.24</v>
      </c>
      <c r="L58" s="42"/>
      <c r="M58" s="50"/>
      <c r="N58" s="79"/>
      <c r="O58" s="80" t="n">
        <f aca="false">+S58*H58</f>
        <v>531.6906</v>
      </c>
      <c r="P58" s="48"/>
      <c r="Q58" s="49"/>
      <c r="R58" s="49"/>
      <c r="S58" s="81" t="n">
        <v>1.065</v>
      </c>
      <c r="T58" s="12"/>
      <c r="U58" s="14"/>
    </row>
    <row r="59" customFormat="false" ht="12.75" hidden="false" customHeight="false" outlineLevel="0" collapsed="false">
      <c r="B59" s="0" t="n">
        <f aca="false">1+B58</f>
        <v>50</v>
      </c>
      <c r="D59" s="39"/>
      <c r="E59" s="57" t="s">
        <v>71</v>
      </c>
      <c r="F59" s="40"/>
      <c r="G59" s="41"/>
      <c r="H59" s="42"/>
      <c r="I59" s="43"/>
      <c r="J59" s="44"/>
      <c r="K59" s="42"/>
      <c r="L59" s="42"/>
      <c r="M59" s="87"/>
      <c r="N59" s="79"/>
      <c r="O59" s="80" t="n">
        <f aca="false">+H131</f>
        <v>145.956059148834</v>
      </c>
      <c r="P59" s="48"/>
      <c r="Q59" s="49"/>
      <c r="R59" s="49"/>
      <c r="S59" s="12"/>
      <c r="T59" s="12"/>
      <c r="U59" s="14"/>
    </row>
    <row r="60" customFormat="false" ht="12.75" hidden="false" customHeight="false" outlineLevel="0" collapsed="false">
      <c r="B60" s="0" t="n">
        <f aca="false">1+B59</f>
        <v>51</v>
      </c>
      <c r="D60" s="39"/>
      <c r="E60" s="40" t="s">
        <v>72</v>
      </c>
      <c r="F60" s="40"/>
      <c r="G60" s="41" t="n">
        <v>0.11</v>
      </c>
      <c r="H60" s="42" t="n">
        <f aca="false">+G60*$I$47</f>
        <v>263.23</v>
      </c>
      <c r="I60" s="43"/>
      <c r="J60" s="44" t="n">
        <f aca="false">+(H60)/$I$3</f>
        <v>0.0253178801577378</v>
      </c>
      <c r="K60" s="86" t="s">
        <v>64</v>
      </c>
      <c r="L60" s="44"/>
      <c r="M60" s="88"/>
      <c r="N60" s="51"/>
      <c r="O60" s="47"/>
      <c r="P60" s="48"/>
      <c r="Q60" s="49"/>
      <c r="R60" s="49"/>
      <c r="S60" s="12"/>
      <c r="T60" s="12"/>
      <c r="U60" s="14"/>
    </row>
    <row r="61" customFormat="false" ht="13.5" hidden="false" customHeight="false" outlineLevel="0" collapsed="false">
      <c r="B61" s="0" t="n">
        <f aca="false">1+B60</f>
        <v>52</v>
      </c>
      <c r="D61" s="63"/>
      <c r="E61" s="64"/>
      <c r="F61" s="64"/>
      <c r="G61" s="65"/>
      <c r="H61" s="66"/>
      <c r="I61" s="67"/>
      <c r="J61" s="68"/>
      <c r="K61" s="68"/>
      <c r="L61" s="68"/>
      <c r="M61" s="89"/>
      <c r="N61" s="70"/>
      <c r="O61" s="71"/>
      <c r="P61" s="72"/>
      <c r="Q61" s="49"/>
      <c r="R61" s="49"/>
      <c r="S61" s="12"/>
      <c r="T61" s="12"/>
      <c r="U61" s="14"/>
    </row>
    <row r="62" customFormat="false" ht="14.25" hidden="false" customHeight="false" outlineLevel="0" collapsed="false">
      <c r="B62" s="0" t="n">
        <f aca="false">1+B61</f>
        <v>53</v>
      </c>
      <c r="D62" s="26" t="s">
        <v>73</v>
      </c>
      <c r="E62" s="27"/>
      <c r="F62" s="27"/>
      <c r="G62" s="27"/>
      <c r="H62" s="28"/>
      <c r="I62" s="73" t="n">
        <v>1838</v>
      </c>
      <c r="J62" s="30"/>
      <c r="K62" s="30" t="n">
        <f aca="false">+(I62)/$I$3</f>
        <v>0.176781763970376</v>
      </c>
      <c r="L62" s="30"/>
      <c r="M62" s="90" t="s">
        <v>74</v>
      </c>
      <c r="N62" s="32"/>
      <c r="O62" s="33"/>
      <c r="P62" s="74"/>
      <c r="Q62" s="84" t="n">
        <f aca="false">+SUM(O63:O71)</f>
        <v>2919.4772</v>
      </c>
      <c r="R62" s="36" t="n">
        <f aca="false">+Q62/$Q$4</f>
        <v>0.241440066331995</v>
      </c>
      <c r="S62" s="12"/>
      <c r="T62" s="12"/>
      <c r="U62" s="14"/>
    </row>
    <row r="63" customFormat="false" ht="13.5" hidden="false" customHeight="false" outlineLevel="0" collapsed="false">
      <c r="B63" s="0" t="n">
        <f aca="false">1+B62</f>
        <v>54</v>
      </c>
      <c r="D63" s="39"/>
      <c r="E63" s="40"/>
      <c r="F63" s="40"/>
      <c r="G63" s="41"/>
      <c r="H63" s="42"/>
      <c r="I63" s="43"/>
      <c r="J63" s="44"/>
      <c r="K63" s="42"/>
      <c r="L63" s="42"/>
      <c r="M63" s="91" t="s">
        <v>11</v>
      </c>
      <c r="N63" s="92" t="n">
        <v>3030</v>
      </c>
      <c r="O63" s="80"/>
      <c r="P63" s="48" t="n">
        <f aca="false">+SUM(O64:O65)</f>
        <v>1972.3312</v>
      </c>
      <c r="Q63" s="49"/>
      <c r="R63" s="49"/>
      <c r="S63" s="12"/>
      <c r="T63" s="12"/>
      <c r="U63" s="14"/>
    </row>
    <row r="64" customFormat="false" ht="12.75" hidden="false" customHeight="false" outlineLevel="0" collapsed="false">
      <c r="B64" s="0" t="n">
        <f aca="false">1+B63</f>
        <v>55</v>
      </c>
      <c r="D64" s="39"/>
      <c r="E64" s="40" t="s">
        <v>72</v>
      </c>
      <c r="F64" s="77"/>
      <c r="G64" s="41" t="n">
        <v>0.11</v>
      </c>
      <c r="H64" s="42" t="n">
        <f aca="false">+G64*$I$47</f>
        <v>263.23</v>
      </c>
      <c r="I64" s="43"/>
      <c r="J64" s="44" t="n">
        <f aca="false">+(H64)/$I$3</f>
        <v>0.0253178801577378</v>
      </c>
      <c r="K64" s="93"/>
      <c r="L64" s="93"/>
      <c r="M64" s="50"/>
      <c r="N64" s="79" t="n">
        <v>400</v>
      </c>
      <c r="O64" s="80" t="n">
        <f aca="false">+N64*S64</f>
        <v>424</v>
      </c>
      <c r="P64" s="48"/>
      <c r="Q64" s="49"/>
      <c r="R64" s="49"/>
      <c r="S64" s="81" t="n">
        <v>1.06</v>
      </c>
      <c r="T64" s="12"/>
      <c r="U64" s="14"/>
      <c r="V64" s="15" t="s">
        <v>75</v>
      </c>
    </row>
    <row r="65" customFormat="false" ht="12.75" hidden="false" customHeight="false" outlineLevel="0" collapsed="false">
      <c r="B65" s="0" t="n">
        <f aca="false">1+B64</f>
        <v>56</v>
      </c>
      <c r="D65" s="39"/>
      <c r="E65" s="40" t="s">
        <v>76</v>
      </c>
      <c r="F65" s="40"/>
      <c r="G65" s="41" t="n">
        <v>0.78</v>
      </c>
      <c r="H65" s="42" t="n">
        <f aca="false">+G65*$I$62</f>
        <v>1433.64</v>
      </c>
      <c r="I65" s="43"/>
      <c r="J65" s="44" t="n">
        <f aca="false">+(H65)/$I$3</f>
        <v>0.137889775896893</v>
      </c>
      <c r="K65" s="44"/>
      <c r="L65" s="44"/>
      <c r="M65" s="50"/>
      <c r="N65" s="79" t="n">
        <v>1800</v>
      </c>
      <c r="O65" s="80" t="n">
        <f aca="false">+S65*H65</f>
        <v>1548.3312</v>
      </c>
      <c r="P65" s="48"/>
      <c r="Q65" s="49"/>
      <c r="R65" s="49"/>
      <c r="S65" s="81" t="n">
        <v>1.08</v>
      </c>
      <c r="T65" s="12"/>
      <c r="U65" s="14"/>
    </row>
    <row r="66" customFormat="false" ht="12.75" hidden="false" customHeight="false" outlineLevel="0" collapsed="false">
      <c r="B66" s="0" t="n">
        <f aca="false">1+B65</f>
        <v>57</v>
      </c>
      <c r="D66" s="39"/>
      <c r="E66" s="40" t="s">
        <v>77</v>
      </c>
      <c r="F66" s="40"/>
      <c r="G66" s="41" t="n">
        <v>0.18</v>
      </c>
      <c r="H66" s="42" t="n">
        <f aca="false">+G66*$I$62</f>
        <v>330.84</v>
      </c>
      <c r="I66" s="43"/>
      <c r="J66" s="44" t="n">
        <f aca="false">+(H66)/$I$3</f>
        <v>0.0318207175146677</v>
      </c>
      <c r="K66" s="44" t="n">
        <f aca="false">1.05^8</f>
        <v>1.47745544378906</v>
      </c>
      <c r="L66" s="44"/>
      <c r="M66" s="50"/>
      <c r="N66" s="79"/>
      <c r="O66" s="80" t="n">
        <f aca="false">+S66*H66</f>
        <v>479.718</v>
      </c>
      <c r="P66" s="48"/>
      <c r="Q66" s="49"/>
      <c r="R66" s="85" t="n">
        <f aca="false">+O66/$Q$4</f>
        <v>0.0396725638894019</v>
      </c>
      <c r="S66" s="81" t="n">
        <v>1.45</v>
      </c>
      <c r="T66" s="12"/>
      <c r="U66" s="14"/>
    </row>
    <row r="67" customFormat="false" ht="12.75" hidden="false" customHeight="false" outlineLevel="0" collapsed="false">
      <c r="B67" s="0" t="n">
        <f aca="false">1+B66</f>
        <v>58</v>
      </c>
      <c r="D67" s="39"/>
      <c r="E67" s="40" t="s">
        <v>78</v>
      </c>
      <c r="F67" s="40"/>
      <c r="G67" s="41" t="n">
        <v>0.04</v>
      </c>
      <c r="H67" s="42" t="n">
        <f aca="false">+G67*$I$62</f>
        <v>73.52</v>
      </c>
      <c r="I67" s="43"/>
      <c r="J67" s="44" t="n">
        <f aca="false">+(H67)/$I$3</f>
        <v>0.00707127055881504</v>
      </c>
      <c r="K67" s="44"/>
      <c r="L67" s="44"/>
      <c r="M67" s="50"/>
      <c r="N67" s="79"/>
      <c r="O67" s="80" t="n">
        <f aca="false">+S67*H67</f>
        <v>84.548</v>
      </c>
      <c r="P67" s="48"/>
      <c r="Q67" s="49"/>
      <c r="R67" s="49"/>
      <c r="S67" s="81" t="n">
        <v>1.15</v>
      </c>
      <c r="T67" s="12"/>
      <c r="U67" s="14"/>
    </row>
    <row r="68" customFormat="false" ht="12.75" hidden="false" customHeight="false" outlineLevel="0" collapsed="false">
      <c r="B68" s="0" t="n">
        <f aca="false">1+B67</f>
        <v>59</v>
      </c>
      <c r="D68" s="39"/>
      <c r="E68" s="40"/>
      <c r="F68" s="40"/>
      <c r="G68" s="41"/>
      <c r="H68" s="42"/>
      <c r="I68" s="43"/>
      <c r="J68" s="44"/>
      <c r="K68" s="44"/>
      <c r="L68" s="44"/>
      <c r="M68" s="50"/>
      <c r="N68" s="79"/>
      <c r="O68" s="80"/>
      <c r="P68" s="48"/>
      <c r="Q68" s="49"/>
      <c r="R68" s="49"/>
      <c r="S68" s="81"/>
      <c r="T68" s="12"/>
      <c r="U68" s="14"/>
    </row>
    <row r="69" customFormat="false" ht="12.75" hidden="false" customHeight="false" outlineLevel="0" collapsed="false">
      <c r="B69" s="0" t="n">
        <f aca="false">1+B68</f>
        <v>60</v>
      </c>
      <c r="D69" s="39"/>
      <c r="E69" s="40" t="s">
        <v>63</v>
      </c>
      <c r="F69" s="40"/>
      <c r="G69" s="41" t="n">
        <v>0.16</v>
      </c>
      <c r="H69" s="42" t="n">
        <f aca="false">+G69*$I$47</f>
        <v>382.88</v>
      </c>
      <c r="I69" s="43"/>
      <c r="J69" s="44" t="n">
        <f aca="false">+(H69)/$I$3</f>
        <v>0.0368260075021641</v>
      </c>
      <c r="K69" s="42"/>
      <c r="L69" s="42"/>
      <c r="M69" s="50"/>
      <c r="N69" s="79" t="n">
        <v>500</v>
      </c>
      <c r="O69" s="80" t="n">
        <f aca="false">+H69</f>
        <v>382.88</v>
      </c>
      <c r="P69" s="48"/>
      <c r="Q69" s="49"/>
      <c r="R69" s="49"/>
      <c r="S69" s="81" t="n">
        <v>1.05</v>
      </c>
      <c r="T69" s="12"/>
      <c r="U69" s="14"/>
    </row>
    <row r="70" customFormat="false" ht="12.75" hidden="false" customHeight="false" outlineLevel="0" collapsed="false">
      <c r="B70" s="0" t="n">
        <f aca="false">1+B69</f>
        <v>61</v>
      </c>
      <c r="D70" s="39"/>
      <c r="E70" s="40"/>
      <c r="F70" s="40"/>
      <c r="G70" s="41"/>
      <c r="H70" s="42"/>
      <c r="I70" s="43"/>
      <c r="J70" s="44"/>
      <c r="K70" s="42"/>
      <c r="L70" s="42"/>
      <c r="M70" s="87"/>
      <c r="N70" s="79"/>
      <c r="O70" s="47"/>
      <c r="P70" s="48"/>
      <c r="Q70" s="49"/>
      <c r="R70" s="49"/>
      <c r="S70" s="12"/>
      <c r="T70" s="12"/>
      <c r="U70" s="14"/>
    </row>
    <row r="71" customFormat="false" ht="13.5" hidden="false" customHeight="false" outlineLevel="0" collapsed="false">
      <c r="B71" s="0" t="n">
        <f aca="false">1+B70</f>
        <v>62</v>
      </c>
      <c r="D71" s="63"/>
      <c r="E71" s="64"/>
      <c r="F71" s="64"/>
      <c r="G71" s="65"/>
      <c r="H71" s="66"/>
      <c r="I71" s="67"/>
      <c r="J71" s="68"/>
      <c r="K71" s="68"/>
      <c r="L71" s="68"/>
      <c r="M71" s="89"/>
      <c r="N71" s="70"/>
      <c r="O71" s="71"/>
      <c r="P71" s="72"/>
      <c r="Q71" s="49"/>
      <c r="R71" s="49"/>
      <c r="S71" s="12"/>
      <c r="T71" s="12"/>
      <c r="U71" s="14"/>
    </row>
    <row r="72" customFormat="false" ht="14.25" hidden="false" customHeight="false" outlineLevel="0" collapsed="false">
      <c r="B72" s="0" t="n">
        <f aca="false">1+B71</f>
        <v>63</v>
      </c>
      <c r="D72" s="26" t="s">
        <v>79</v>
      </c>
      <c r="E72" s="27"/>
      <c r="F72" s="27"/>
      <c r="G72" s="27"/>
      <c r="H72" s="28"/>
      <c r="I72" s="73" t="n">
        <v>1783</v>
      </c>
      <c r="J72" s="30" t="n">
        <f aca="false">+(H72)/$I$3</f>
        <v>0</v>
      </c>
      <c r="K72" s="30" t="n">
        <f aca="false">+(I72)/$I$3</f>
        <v>0.171491776473983</v>
      </c>
      <c r="L72" s="30"/>
      <c r="M72" s="90" t="s">
        <v>80</v>
      </c>
      <c r="N72" s="32"/>
      <c r="O72" s="33"/>
      <c r="P72" s="74"/>
      <c r="Q72" s="35" t="n">
        <f aca="false">+SUM(O73:O75)</f>
        <v>1489.1616</v>
      </c>
      <c r="R72" s="36" t="n">
        <f aca="false">+Q72/$Q$4</f>
        <v>0.123153308230343</v>
      </c>
      <c r="S72" s="12"/>
      <c r="T72" s="12"/>
      <c r="U72" s="14"/>
    </row>
    <row r="73" customFormat="false" ht="13.5" hidden="false" customHeight="false" outlineLevel="0" collapsed="false">
      <c r="B73" s="0" t="n">
        <f aca="false">1+B72</f>
        <v>64</v>
      </c>
      <c r="D73" s="39"/>
      <c r="E73" s="40" t="s">
        <v>81</v>
      </c>
      <c r="F73" s="40"/>
      <c r="G73" s="41" t="n">
        <v>0.72</v>
      </c>
      <c r="H73" s="42" t="n">
        <f aca="false">+G73*$I$72</f>
        <v>1283.76</v>
      </c>
      <c r="I73" s="43"/>
      <c r="J73" s="44" t="n">
        <f aca="false">+(H73)/$I$3</f>
        <v>0.123474079061268</v>
      </c>
      <c r="K73" s="44"/>
      <c r="L73" s="44"/>
      <c r="M73" s="45" t="s">
        <v>11</v>
      </c>
      <c r="N73" s="92" t="n">
        <v>1037</v>
      </c>
      <c r="O73" s="47" t="n">
        <f aca="false">+H73*S73</f>
        <v>1489.1616</v>
      </c>
      <c r="P73" s="48"/>
      <c r="Q73" s="49"/>
      <c r="R73" s="49"/>
      <c r="S73" s="81" t="n">
        <v>1.16</v>
      </c>
      <c r="T73" s="12"/>
      <c r="U73" s="14"/>
    </row>
    <row r="74" customFormat="false" ht="12.75" hidden="false" customHeight="false" outlineLevel="0" collapsed="false">
      <c r="B74" s="0" t="n">
        <f aca="false">1+B73</f>
        <v>65</v>
      </c>
      <c r="D74" s="39"/>
      <c r="E74" s="40" t="s">
        <v>70</v>
      </c>
      <c r="F74" s="40"/>
      <c r="G74" s="41" t="n">
        <v>0.28</v>
      </c>
      <c r="H74" s="42" t="n">
        <f aca="false">+G74*$I$72</f>
        <v>499.24</v>
      </c>
      <c r="I74" s="43"/>
      <c r="J74" s="44" t="n">
        <f aca="false">+(H74)/$I$3</f>
        <v>0.0480176974127152</v>
      </c>
      <c r="K74" s="44"/>
      <c r="L74" s="44"/>
      <c r="M74" s="87"/>
      <c r="N74" s="79"/>
      <c r="O74" s="80"/>
      <c r="P74" s="48"/>
      <c r="Q74" s="49"/>
      <c r="R74" s="49"/>
      <c r="S74" s="12"/>
      <c r="T74" s="12"/>
      <c r="U74" s="14"/>
    </row>
    <row r="75" customFormat="false" ht="13.5" hidden="false" customHeight="false" outlineLevel="0" collapsed="false">
      <c r="B75" s="0" t="n">
        <f aca="false">1+B74</f>
        <v>66</v>
      </c>
      <c r="D75" s="63"/>
      <c r="E75" s="64"/>
      <c r="F75" s="64"/>
      <c r="G75" s="65"/>
      <c r="H75" s="66"/>
      <c r="I75" s="67"/>
      <c r="J75" s="68"/>
      <c r="K75" s="68"/>
      <c r="L75" s="68"/>
      <c r="M75" s="89"/>
      <c r="N75" s="70"/>
      <c r="O75" s="71"/>
      <c r="P75" s="72"/>
      <c r="Q75" s="49"/>
      <c r="R75" s="49"/>
      <c r="S75" s="12"/>
      <c r="T75" s="12"/>
      <c r="U75" s="14"/>
    </row>
    <row r="76" customFormat="false" ht="14.25" hidden="false" customHeight="false" outlineLevel="0" collapsed="false">
      <c r="B76" s="0" t="n">
        <f aca="false">1+B75</f>
        <v>67</v>
      </c>
      <c r="D76" s="26"/>
      <c r="E76" s="94"/>
      <c r="F76" s="94"/>
      <c r="G76" s="95"/>
      <c r="H76" s="28"/>
      <c r="I76" s="96" t="n">
        <f aca="false">+SUM(H78:H92)</f>
        <v>2189.23</v>
      </c>
      <c r="J76" s="30"/>
      <c r="K76" s="30"/>
      <c r="L76" s="30"/>
      <c r="M76" s="90" t="s">
        <v>82</v>
      </c>
      <c r="N76" s="32"/>
      <c r="O76" s="33"/>
      <c r="P76" s="74"/>
      <c r="Q76" s="35" t="n">
        <f aca="false">+SUM(O77:O93)</f>
        <v>2705.13393183001</v>
      </c>
      <c r="R76" s="36" t="n">
        <f aca="false">+Q76/$Q$4</f>
        <v>0.223713929308292</v>
      </c>
      <c r="S76" s="12"/>
      <c r="T76" s="12"/>
      <c r="U76" s="14"/>
    </row>
    <row r="77" customFormat="false" ht="13.5" hidden="false" customHeight="false" outlineLevel="0" collapsed="false">
      <c r="B77" s="0" t="n">
        <f aca="false">1+B76</f>
        <v>68</v>
      </c>
      <c r="D77" s="39" t="s">
        <v>83</v>
      </c>
      <c r="E77" s="77"/>
      <c r="F77" s="77"/>
      <c r="G77" s="77"/>
      <c r="H77" s="42"/>
      <c r="I77" s="43" t="n">
        <v>1556</v>
      </c>
      <c r="J77" s="44"/>
      <c r="K77" s="44" t="n">
        <f aca="false">+(I77)/$I$3</f>
        <v>0.149658555352506</v>
      </c>
      <c r="L77" s="44"/>
      <c r="M77" s="91" t="s">
        <v>11</v>
      </c>
      <c r="N77" s="92" t="n">
        <v>3061</v>
      </c>
      <c r="O77" s="97"/>
      <c r="P77" s="48"/>
      <c r="Q77" s="49"/>
      <c r="R77" s="49"/>
      <c r="S77" s="98"/>
      <c r="T77" s="12"/>
      <c r="U77" s="14"/>
    </row>
    <row r="78" customFormat="false" ht="12.75" hidden="false" customHeight="false" outlineLevel="0" collapsed="false">
      <c r="B78" s="0" t="n">
        <f aca="false">1+B77</f>
        <v>69</v>
      </c>
      <c r="D78" s="39"/>
      <c r="E78" s="40" t="s">
        <v>84</v>
      </c>
      <c r="F78" s="40"/>
      <c r="G78" s="41" t="n">
        <v>0.42</v>
      </c>
      <c r="H78" s="42" t="n">
        <f aca="false">+G78*$I$77</f>
        <v>653.52</v>
      </c>
      <c r="I78" s="43"/>
      <c r="J78" s="44" t="n">
        <f aca="false">+(H78)/$I$3</f>
        <v>0.0628565932480523</v>
      </c>
      <c r="K78" s="99" t="n">
        <f aca="false">900+300+600</f>
        <v>1800</v>
      </c>
      <c r="L78" s="99"/>
      <c r="M78" s="50"/>
      <c r="N78" s="79" t="n">
        <f aca="false">900+300+600</f>
        <v>1800</v>
      </c>
      <c r="O78" s="100" t="n">
        <f aca="false">+H78*S78</f>
        <v>653.52</v>
      </c>
      <c r="P78" s="48"/>
      <c r="Q78" s="49"/>
      <c r="R78" s="49"/>
      <c r="S78" s="81" t="n">
        <v>1</v>
      </c>
      <c r="T78" s="12"/>
      <c r="U78" s="14"/>
    </row>
    <row r="79" customFormat="false" ht="12.75" hidden="false" customHeight="false" outlineLevel="0" collapsed="false">
      <c r="B79" s="0" t="n">
        <f aca="false">1+B78</f>
        <v>70</v>
      </c>
      <c r="D79" s="39"/>
      <c r="E79" s="40" t="s">
        <v>85</v>
      </c>
      <c r="F79" s="40"/>
      <c r="G79" s="41" t="n">
        <v>0.32</v>
      </c>
      <c r="H79" s="42" t="n">
        <f aca="false">+G79*$I$77</f>
        <v>497.92</v>
      </c>
      <c r="I79" s="43"/>
      <c r="J79" s="44" t="n">
        <f aca="false">+(H79)/$I$3</f>
        <v>0.0478907377128018</v>
      </c>
      <c r="K79" s="44"/>
      <c r="L79" s="44"/>
      <c r="M79" s="50"/>
      <c r="N79" s="79"/>
      <c r="O79" s="100" t="n">
        <f aca="false">+H79*S79</f>
        <v>497.92</v>
      </c>
      <c r="P79" s="48"/>
      <c r="Q79" s="49"/>
      <c r="R79" s="49"/>
      <c r="S79" s="81" t="n">
        <v>1</v>
      </c>
      <c r="T79" s="12"/>
      <c r="U79" s="14"/>
    </row>
    <row r="80" customFormat="false" ht="12.75" hidden="false" customHeight="false" outlineLevel="0" collapsed="false">
      <c r="B80" s="0" t="n">
        <f aca="false">1+B79</f>
        <v>71</v>
      </c>
      <c r="D80" s="39"/>
      <c r="E80" s="40" t="s">
        <v>86</v>
      </c>
      <c r="F80" s="40"/>
      <c r="G80" s="41" t="n">
        <v>0.11</v>
      </c>
      <c r="H80" s="42" t="n">
        <f aca="false">+G80*$I$77</f>
        <v>171.16</v>
      </c>
      <c r="I80" s="43"/>
      <c r="J80" s="44" t="n">
        <f aca="false">+(H80)/$I$3</f>
        <v>0.0164624410887756</v>
      </c>
      <c r="K80" s="44"/>
      <c r="L80" s="44"/>
      <c r="M80" s="50"/>
      <c r="N80" s="79"/>
      <c r="O80" s="100" t="n">
        <f aca="false">+H80*S80</f>
        <v>171.16</v>
      </c>
      <c r="P80" s="48"/>
      <c r="Q80" s="49"/>
      <c r="R80" s="49"/>
      <c r="S80" s="81" t="n">
        <v>1</v>
      </c>
      <c r="T80" s="12"/>
      <c r="U80" s="14"/>
    </row>
    <row r="81" customFormat="false" ht="12.75" hidden="false" customHeight="false" outlineLevel="0" collapsed="false">
      <c r="B81" s="0" t="n">
        <f aca="false">1+B80</f>
        <v>72</v>
      </c>
      <c r="D81" s="39"/>
      <c r="E81" s="40" t="s">
        <v>87</v>
      </c>
      <c r="F81" s="40"/>
      <c r="G81" s="41" t="n">
        <v>0.11</v>
      </c>
      <c r="H81" s="42" t="n">
        <f aca="false">+G81*$I$77</f>
        <v>171.16</v>
      </c>
      <c r="I81" s="43"/>
      <c r="J81" s="44" t="n">
        <f aca="false">+(H81)/$I$3</f>
        <v>0.0164624410887756</v>
      </c>
      <c r="K81" s="44"/>
      <c r="L81" s="44"/>
      <c r="M81" s="50"/>
      <c r="N81" s="79"/>
      <c r="O81" s="100" t="n">
        <f aca="false">+H81*S81</f>
        <v>171.16</v>
      </c>
      <c r="P81" s="48"/>
      <c r="Q81" s="49"/>
      <c r="R81" s="49"/>
      <c r="S81" s="81" t="n">
        <v>1</v>
      </c>
      <c r="T81" s="12"/>
      <c r="U81" s="14"/>
    </row>
    <row r="82" customFormat="false" ht="12.75" hidden="false" customHeight="false" outlineLevel="0" collapsed="false">
      <c r="B82" s="0" t="n">
        <f aca="false">1+B81</f>
        <v>73</v>
      </c>
      <c r="D82" s="39"/>
      <c r="E82" s="40" t="s">
        <v>88</v>
      </c>
      <c r="F82" s="40"/>
      <c r="G82" s="41" t="n">
        <v>0.04</v>
      </c>
      <c r="H82" s="42" t="n">
        <f aca="false">+G82*$I$77</f>
        <v>62.24</v>
      </c>
      <c r="I82" s="43"/>
      <c r="J82" s="44" t="n">
        <f aca="false">+(H82)/$I$3</f>
        <v>0.00598634221410022</v>
      </c>
      <c r="K82" s="44"/>
      <c r="L82" s="44"/>
      <c r="M82" s="50"/>
      <c r="N82" s="79"/>
      <c r="O82" s="100" t="n">
        <f aca="false">+H82*S82</f>
        <v>62.24</v>
      </c>
      <c r="P82" s="48"/>
      <c r="Q82" s="49"/>
      <c r="R82" s="49"/>
      <c r="S82" s="81" t="n">
        <v>1</v>
      </c>
      <c r="T82" s="12"/>
      <c r="U82" s="14"/>
    </row>
    <row r="83" customFormat="false" ht="12.75" hidden="false" customHeight="false" outlineLevel="0" collapsed="false">
      <c r="B83" s="0" t="n">
        <f aca="false">1+B82</f>
        <v>74</v>
      </c>
      <c r="D83" s="39"/>
      <c r="E83" s="57" t="s">
        <v>89</v>
      </c>
      <c r="F83" s="40"/>
      <c r="G83" s="41"/>
      <c r="H83" s="42"/>
      <c r="I83" s="43"/>
      <c r="J83" s="44"/>
      <c r="K83" s="44"/>
      <c r="L83" s="44"/>
      <c r="M83" s="50"/>
      <c r="N83" s="79"/>
      <c r="O83" s="100" t="n">
        <v>140</v>
      </c>
      <c r="P83" s="48"/>
      <c r="Q83" s="49"/>
      <c r="R83" s="49"/>
      <c r="S83" s="81"/>
      <c r="T83" s="12"/>
      <c r="U83" s="14"/>
    </row>
    <row r="84" customFormat="false" ht="12.75" hidden="false" customHeight="false" outlineLevel="0" collapsed="false">
      <c r="B84" s="0" t="n">
        <f aca="false">1+B83</f>
        <v>75</v>
      </c>
      <c r="D84" s="39" t="s">
        <v>90</v>
      </c>
      <c r="E84" s="77"/>
      <c r="F84" s="77"/>
      <c r="G84" s="77"/>
      <c r="H84" s="42"/>
      <c r="I84" s="43" t="n">
        <v>370</v>
      </c>
      <c r="J84" s="44"/>
      <c r="K84" s="44" t="n">
        <f aca="false">+(I84)/$I$3</f>
        <v>0.0355871886120996</v>
      </c>
      <c r="L84" s="44"/>
      <c r="M84" s="50"/>
      <c r="N84" s="79"/>
      <c r="O84" s="47"/>
      <c r="P84" s="48"/>
      <c r="Q84" s="49"/>
      <c r="R84" s="49"/>
      <c r="S84" s="81"/>
      <c r="T84" s="12"/>
      <c r="U84" s="14"/>
    </row>
    <row r="85" customFormat="false" ht="12.75" hidden="false" customHeight="false" outlineLevel="0" collapsed="false">
      <c r="B85" s="0" t="n">
        <f aca="false">1+B84</f>
        <v>76</v>
      </c>
      <c r="D85" s="39"/>
      <c r="E85" s="40" t="s">
        <v>91</v>
      </c>
      <c r="F85" s="40"/>
      <c r="G85" s="41" t="n">
        <v>0.9</v>
      </c>
      <c r="H85" s="42" t="n">
        <f aca="false">+G85*$I$84</f>
        <v>333</v>
      </c>
      <c r="I85" s="43"/>
      <c r="J85" s="44" t="n">
        <f aca="false">+(H85)/$I$3</f>
        <v>0.0320284697508897</v>
      </c>
      <c r="K85" s="101" t="n">
        <f aca="false">+H113</f>
        <v>492.178819444444</v>
      </c>
      <c r="L85" s="101"/>
      <c r="M85" s="50"/>
      <c r="N85" s="51" t="n">
        <v>1100</v>
      </c>
      <c r="O85" s="80" t="n">
        <f aca="false">+K85</f>
        <v>492.178819444444</v>
      </c>
      <c r="P85" s="48"/>
      <c r="Q85" s="49"/>
      <c r="R85" s="85" t="n">
        <f aca="false">+O85/$Q$4</f>
        <v>0.0407030706778151</v>
      </c>
      <c r="S85" s="41"/>
      <c r="T85" s="12"/>
      <c r="U85" s="14"/>
    </row>
    <row r="86" customFormat="false" ht="12.75" hidden="false" customHeight="false" outlineLevel="0" collapsed="false">
      <c r="B86" s="0" t="n">
        <f aca="false">1+B85</f>
        <v>77</v>
      </c>
      <c r="D86" s="39"/>
      <c r="E86" s="40" t="s">
        <v>92</v>
      </c>
      <c r="F86" s="40"/>
      <c r="G86" s="41" t="n">
        <v>0.1</v>
      </c>
      <c r="H86" s="42" t="n">
        <f aca="false">+G86*$I$84</f>
        <v>37</v>
      </c>
      <c r="I86" s="43"/>
      <c r="J86" s="44" t="n">
        <f aca="false">+(H86)/$I$3</f>
        <v>0.00355871886120996</v>
      </c>
      <c r="K86" s="44"/>
      <c r="L86" s="44"/>
      <c r="M86" s="50"/>
      <c r="N86" s="51"/>
      <c r="O86" s="80" t="n">
        <f aca="false">+H104</f>
        <v>133.59375</v>
      </c>
      <c r="P86" s="48"/>
      <c r="Q86" s="49"/>
      <c r="R86" s="49"/>
      <c r="S86" s="41"/>
      <c r="T86" s="12"/>
      <c r="U86" s="14"/>
    </row>
    <row r="87" customFormat="false" ht="12.75" hidden="false" customHeight="false" outlineLevel="0" collapsed="false">
      <c r="D87" s="39"/>
      <c r="E87" s="57" t="s">
        <v>93</v>
      </c>
      <c r="F87" s="40"/>
      <c r="G87" s="41"/>
      <c r="H87" s="42"/>
      <c r="I87" s="43"/>
      <c r="J87" s="44"/>
      <c r="K87" s="44"/>
      <c r="L87" s="44"/>
      <c r="M87" s="102"/>
      <c r="N87" s="51"/>
      <c r="O87" s="80" t="n">
        <f aca="false">+H106</f>
        <v>48.828125</v>
      </c>
      <c r="P87" s="48"/>
      <c r="Q87" s="49"/>
      <c r="R87" s="49"/>
      <c r="S87" s="41"/>
      <c r="T87" s="12"/>
      <c r="U87" s="14"/>
      <c r="W87" s="0"/>
    </row>
    <row r="88" customFormat="false" ht="12.75" hidden="false" customHeight="false" outlineLevel="0" collapsed="false">
      <c r="B88" s="0" t="n">
        <f aca="false">1+B86</f>
        <v>78</v>
      </c>
      <c r="D88" s="39" t="s">
        <v>94</v>
      </c>
      <c r="E88" s="77"/>
      <c r="F88" s="77"/>
      <c r="G88" s="77"/>
      <c r="H88" s="42"/>
      <c r="I88" s="43"/>
      <c r="J88" s="44"/>
      <c r="K88" s="44"/>
      <c r="L88" s="44"/>
      <c r="M88" s="50"/>
      <c r="N88" s="51"/>
      <c r="O88" s="47"/>
      <c r="P88" s="48"/>
      <c r="Q88" s="49"/>
      <c r="R88" s="49"/>
      <c r="S88" s="41"/>
      <c r="T88" s="12"/>
      <c r="U88" s="14"/>
    </row>
    <row r="89" customFormat="false" ht="12.75" hidden="false" customHeight="false" outlineLevel="0" collapsed="false">
      <c r="B89" s="0" t="n">
        <f aca="false">1+B88</f>
        <v>79</v>
      </c>
      <c r="D89" s="39"/>
      <c r="E89" s="40"/>
      <c r="F89" s="40"/>
      <c r="G89" s="41"/>
      <c r="H89" s="42"/>
      <c r="I89" s="43"/>
      <c r="J89" s="44" t="n">
        <f aca="false">+(H89)/$I$3</f>
        <v>0</v>
      </c>
      <c r="K89" s="44"/>
      <c r="L89" s="44"/>
      <c r="M89" s="50"/>
      <c r="N89" s="51"/>
      <c r="O89" s="47"/>
      <c r="P89" s="48"/>
      <c r="Q89" s="49"/>
      <c r="R89" s="49"/>
      <c r="S89" s="41"/>
      <c r="T89" s="12"/>
      <c r="U89" s="14"/>
    </row>
    <row r="90" customFormat="false" ht="12.75" hidden="false" customHeight="false" outlineLevel="0" collapsed="false">
      <c r="B90" s="0" t="n">
        <f aca="false">1+B89</f>
        <v>80</v>
      </c>
      <c r="D90" s="39"/>
      <c r="E90" s="40" t="s">
        <v>67</v>
      </c>
      <c r="F90" s="40"/>
      <c r="G90" s="41" t="n">
        <v>0.05</v>
      </c>
      <c r="H90" s="42" t="n">
        <f aca="false">+G90*$I$47</f>
        <v>119.65</v>
      </c>
      <c r="I90" s="43"/>
      <c r="J90" s="44" t="n">
        <f aca="false">+(H90)/$I$3</f>
        <v>0.0115081273444263</v>
      </c>
      <c r="K90" s="44"/>
      <c r="L90" s="44"/>
      <c r="M90" s="50"/>
      <c r="N90" s="79"/>
      <c r="O90" s="100" t="n">
        <f aca="false">+H90*S90</f>
        <v>157.451237385568</v>
      </c>
      <c r="P90" s="48"/>
      <c r="Q90" s="49"/>
      <c r="R90" s="49"/>
      <c r="S90" s="81" t="n">
        <f aca="false">1.04^7</f>
        <v>1.31593177923584</v>
      </c>
      <c r="T90" s="12"/>
      <c r="U90" s="14"/>
    </row>
    <row r="91" customFormat="false" ht="12.75" hidden="false" customHeight="false" outlineLevel="0" collapsed="false">
      <c r="B91" s="0" t="n">
        <f aca="false">1+B90</f>
        <v>81</v>
      </c>
      <c r="D91" s="39"/>
      <c r="E91" s="40" t="s">
        <v>68</v>
      </c>
      <c r="F91" s="40"/>
      <c r="G91" s="41" t="n">
        <v>0.04</v>
      </c>
      <c r="H91" s="42" t="n">
        <f aca="false">+G91*$I$47</f>
        <v>95.72</v>
      </c>
      <c r="I91" s="43"/>
      <c r="J91" s="44" t="n">
        <f aca="false">+(H91)/$I$3</f>
        <v>0.00920650187554102</v>
      </c>
      <c r="K91" s="44"/>
      <c r="L91" s="44"/>
      <c r="M91" s="50"/>
      <c r="N91" s="79"/>
      <c r="O91" s="100" t="n">
        <f aca="false">+H91*S91</f>
        <v>119.65</v>
      </c>
      <c r="P91" s="48"/>
      <c r="Q91" s="49"/>
      <c r="R91" s="49"/>
      <c r="S91" s="81" t="n">
        <v>1.25</v>
      </c>
      <c r="T91" s="12"/>
      <c r="U91" s="14"/>
    </row>
    <row r="92" customFormat="false" ht="12.75" hidden="false" customHeight="false" outlineLevel="0" collapsed="false">
      <c r="B92" s="0" t="n">
        <f aca="false">1+B91</f>
        <v>82</v>
      </c>
      <c r="D92" s="39"/>
      <c r="E92" s="40" t="s">
        <v>69</v>
      </c>
      <c r="F92" s="40"/>
      <c r="G92" s="41" t="n">
        <v>0.02</v>
      </c>
      <c r="H92" s="42" t="n">
        <f aca="false">+G92*$I$47</f>
        <v>47.86</v>
      </c>
      <c r="I92" s="43"/>
      <c r="J92" s="44" t="n">
        <f aca="false">+(H92)/$I$3</f>
        <v>0.00460325093777051</v>
      </c>
      <c r="K92" s="44"/>
      <c r="L92" s="44"/>
      <c r="M92" s="50"/>
      <c r="N92" s="79"/>
      <c r="O92" s="100" t="n">
        <f aca="false">+H92*S92</f>
        <v>57.432</v>
      </c>
      <c r="P92" s="48"/>
      <c r="Q92" s="49"/>
      <c r="R92" s="49"/>
      <c r="S92" s="81" t="n">
        <v>1.2</v>
      </c>
      <c r="T92" s="12"/>
      <c r="U92" s="14"/>
    </row>
    <row r="93" customFormat="false" ht="13.5" hidden="false" customHeight="false" outlineLevel="0" collapsed="false">
      <c r="D93" s="63"/>
      <c r="E93" s="103"/>
      <c r="F93" s="103"/>
      <c r="G93" s="103"/>
      <c r="H93" s="66"/>
      <c r="I93" s="67"/>
      <c r="J93" s="68"/>
      <c r="K93" s="68"/>
      <c r="L93" s="68"/>
      <c r="M93" s="69"/>
      <c r="N93" s="70"/>
      <c r="O93" s="71"/>
      <c r="P93" s="72"/>
      <c r="Q93" s="49"/>
      <c r="R93" s="49"/>
      <c r="S93" s="12"/>
      <c r="T93" s="12"/>
      <c r="U93" s="14"/>
    </row>
    <row r="94" customFormat="false" ht="13.5" hidden="false" customHeight="false" outlineLevel="0" collapsed="false"/>
    <row r="95" customFormat="false" ht="12.75" hidden="false" customHeight="false" outlineLevel="0" collapsed="false">
      <c r="H95" s="101" t="n">
        <f aca="false">(31000000*600)/1</f>
        <v>18600000000</v>
      </c>
      <c r="I95" s="101"/>
      <c r="J95" s="101" t="n">
        <f aca="false">(31000000*120+22000000*180)/1</f>
        <v>7680000000</v>
      </c>
      <c r="K95" s="101"/>
    </row>
    <row r="96" customFormat="false" ht="12.75" hidden="false" customHeight="false" outlineLevel="0" collapsed="false">
      <c r="H96" s="77" t="n">
        <f aca="false">+H95/12*44</f>
        <v>68200000000</v>
      </c>
      <c r="I96" s="77"/>
      <c r="J96" s="77" t="n">
        <f aca="false">+J95/12*44</f>
        <v>28160000000</v>
      </c>
      <c r="K96" s="77"/>
    </row>
    <row r="97" customFormat="false" ht="12.75" hidden="false" customHeight="false" outlineLevel="0" collapsed="false">
      <c r="H97" s="77" t="n">
        <f aca="false">+H96/64000000</f>
        <v>1065.625</v>
      </c>
      <c r="I97" s="77"/>
      <c r="J97" s="77" t="n">
        <f aca="false">+J96/64000000</f>
        <v>440</v>
      </c>
      <c r="K97" s="77"/>
    </row>
    <row r="99" customFormat="false" ht="12.75" hidden="false" customHeight="false" outlineLevel="0" collapsed="false">
      <c r="E99" s="2" t="s">
        <v>92</v>
      </c>
    </row>
    <row r="100" customFormat="false" ht="12.75" hidden="false" customHeight="false" outlineLevel="0" collapsed="false">
      <c r="F100" s="15" t="s">
        <v>95</v>
      </c>
      <c r="H100" s="3" t="n">
        <v>204</v>
      </c>
      <c r="I100" s="104" t="s">
        <v>96</v>
      </c>
      <c r="W100" s="105" t="s">
        <v>97</v>
      </c>
    </row>
    <row r="101" customFormat="false" ht="12.75" hidden="false" customHeight="false" outlineLevel="0" collapsed="false">
      <c r="F101" s="15" t="s">
        <v>98</v>
      </c>
      <c r="H101" s="3" t="n">
        <v>35</v>
      </c>
    </row>
    <row r="102" customFormat="false" ht="12.75" hidden="false" customHeight="false" outlineLevel="0" collapsed="false">
      <c r="F102" s="15" t="s">
        <v>99</v>
      </c>
      <c r="H102" s="3" t="n">
        <f aca="false">+I102*K102</f>
        <v>45000000</v>
      </c>
      <c r="I102" s="106" t="n">
        <v>500000</v>
      </c>
      <c r="J102" s="106"/>
      <c r="K102" s="0" t="n">
        <v>90</v>
      </c>
      <c r="W102" s="105" t="s">
        <v>100</v>
      </c>
    </row>
    <row r="103" customFormat="false" ht="12.75" hidden="false" customHeight="false" outlineLevel="0" collapsed="false">
      <c r="H103" s="3" t="n">
        <f aca="false">+H102*190</f>
        <v>8550000000</v>
      </c>
      <c r="W103" s="105" t="s">
        <v>101</v>
      </c>
    </row>
    <row r="104" customFormat="false" ht="12.75" hidden="false" customHeight="false" outlineLevel="0" collapsed="false">
      <c r="F104" s="15"/>
      <c r="H104" s="3" t="n">
        <f aca="false">+H103/64000000</f>
        <v>133.59375</v>
      </c>
    </row>
    <row r="105" customFormat="false" ht="12.75" hidden="false" customHeight="false" outlineLevel="0" collapsed="false">
      <c r="F105" s="15"/>
    </row>
    <row r="106" customFormat="false" ht="12.75" hidden="false" customHeight="false" outlineLevel="0" collapsed="false">
      <c r="E106" s="2" t="s">
        <v>102</v>
      </c>
      <c r="F106" s="15"/>
      <c r="H106" s="107" t="n">
        <f aca="false">25000000000*0.5/64000000/0.8*0.2</f>
        <v>48.828125</v>
      </c>
      <c r="I106" s="104"/>
      <c r="W106" s="105" t="s">
        <v>103</v>
      </c>
    </row>
    <row r="107" customFormat="false" ht="12.75" hidden="false" customHeight="false" outlineLevel="0" collapsed="false">
      <c r="W107" s="105" t="s">
        <v>104</v>
      </c>
    </row>
    <row r="108" customFormat="false" ht="12.75" hidden="false" customHeight="false" outlineLevel="0" collapsed="false">
      <c r="E108" s="2" t="s">
        <v>105</v>
      </c>
    </row>
    <row r="109" customFormat="false" ht="12.75" hidden="false" customHeight="false" outlineLevel="0" collapsed="false">
      <c r="F109" s="15" t="s">
        <v>106</v>
      </c>
      <c r="H109" s="43" t="n">
        <v>31000000</v>
      </c>
      <c r="I109" s="43"/>
      <c r="N109" s="108" t="s">
        <v>107</v>
      </c>
      <c r="O109" s="109"/>
      <c r="P109" s="110"/>
      <c r="Q109" s="111"/>
      <c r="S109" s="0" t="n">
        <v>200</v>
      </c>
      <c r="T109" s="15" t="s">
        <v>108</v>
      </c>
    </row>
    <row r="110" customFormat="false" ht="12.75" hidden="false" customHeight="false" outlineLevel="0" collapsed="false">
      <c r="F110" s="15" t="s">
        <v>109</v>
      </c>
      <c r="H110" s="77" t="n">
        <v>425</v>
      </c>
      <c r="I110" s="77"/>
      <c r="N110" s="112" t="n">
        <v>90</v>
      </c>
      <c r="O110" s="43"/>
      <c r="P110" s="113" t="n">
        <f aca="false">+H109/N110</f>
        <v>344444.444444444</v>
      </c>
      <c r="Q110" s="113"/>
      <c r="S110" s="0" t="n">
        <v>55</v>
      </c>
      <c r="T110" s="15" t="s">
        <v>110</v>
      </c>
    </row>
    <row r="111" customFormat="false" ht="12.75" hidden="false" customHeight="false" outlineLevel="0" collapsed="false">
      <c r="F111" s="15" t="s">
        <v>111</v>
      </c>
      <c r="H111" s="43" t="n">
        <f aca="false">+H109*H110</f>
        <v>13175000000</v>
      </c>
      <c r="I111" s="43"/>
      <c r="N111" s="112"/>
      <c r="O111" s="43"/>
      <c r="P111" s="113" t="n">
        <f aca="false">+P110/5</f>
        <v>68888.8888888889</v>
      </c>
      <c r="Q111" s="113"/>
      <c r="S111" s="0" t="n">
        <v>1200</v>
      </c>
      <c r="T111" s="15" t="s">
        <v>112</v>
      </c>
      <c r="W111" s="105" t="s">
        <v>113</v>
      </c>
    </row>
    <row r="112" customFormat="false" ht="12.75" hidden="false" customHeight="false" outlineLevel="0" collapsed="false">
      <c r="F112" s="15" t="s">
        <v>114</v>
      </c>
      <c r="H112" s="43" t="n">
        <f aca="false">+P112</f>
        <v>18324444444.4444</v>
      </c>
      <c r="I112" s="43"/>
      <c r="N112" s="114"/>
      <c r="O112" s="115"/>
      <c r="P112" s="116" t="n">
        <f aca="false">+P111*T112*1000</f>
        <v>18324444444.4444</v>
      </c>
      <c r="Q112" s="116"/>
      <c r="S112" s="0" t="n">
        <f aca="false">+S111*S110/1000</f>
        <v>66</v>
      </c>
      <c r="T112" s="0" t="n">
        <f aca="false">+S112+S109</f>
        <v>266</v>
      </c>
    </row>
    <row r="113" customFormat="false" ht="12.75" hidden="false" customHeight="false" outlineLevel="0" collapsed="false">
      <c r="F113" s="15" t="s">
        <v>115</v>
      </c>
      <c r="H113" s="77" t="n">
        <f aca="false">+(H111+H112)/64000000</f>
        <v>492.178819444444</v>
      </c>
      <c r="I113" s="77"/>
      <c r="X113" s="15" t="s">
        <v>116</v>
      </c>
    </row>
    <row r="115" customFormat="false" ht="12.75" hidden="false" customHeight="false" outlineLevel="0" collapsed="false">
      <c r="E115" s="2" t="s">
        <v>117</v>
      </c>
      <c r="H115" s="3" t="n">
        <v>2010</v>
      </c>
      <c r="I115" s="4" t="n">
        <v>2016</v>
      </c>
      <c r="J115" s="15" t="s">
        <v>118</v>
      </c>
      <c r="N115" s="117"/>
      <c r="O115" s="117"/>
    </row>
    <row r="116" customFormat="false" ht="12.75" hidden="false" customHeight="false" outlineLevel="0" collapsed="false">
      <c r="F116" s="15" t="s">
        <v>119</v>
      </c>
      <c r="H116" s="107" t="n">
        <v>6000</v>
      </c>
      <c r="I116" s="4" t="n">
        <v>20000</v>
      </c>
      <c r="J116" s="0" t="n">
        <f aca="false">+I116/64000</f>
        <v>0.3125</v>
      </c>
      <c r="K116" s="7" t="n">
        <f aca="false">+J116*X116</f>
        <v>18.75</v>
      </c>
      <c r="N116" s="117" t="n">
        <f aca="false">+I116/H116</f>
        <v>3.33333333333333</v>
      </c>
      <c r="O116" s="117"/>
      <c r="W116" s="105" t="s">
        <v>120</v>
      </c>
      <c r="X116" s="0" t="n">
        <v>60</v>
      </c>
    </row>
    <row r="117" customFormat="false" ht="12.75" hidden="false" customHeight="false" outlineLevel="0" collapsed="false">
      <c r="F117" s="15" t="s">
        <v>121</v>
      </c>
      <c r="H117" s="3" t="n">
        <v>450</v>
      </c>
      <c r="I117" s="4" t="n">
        <v>5160</v>
      </c>
      <c r="J117" s="0" t="n">
        <f aca="false">+I117/64000</f>
        <v>0.080625</v>
      </c>
      <c r="K117" s="7" t="n">
        <f aca="false">+J117*X117</f>
        <v>12.9</v>
      </c>
      <c r="N117" s="81" t="n">
        <f aca="false">+I117/H117</f>
        <v>11.4666666666667</v>
      </c>
      <c r="O117" s="81"/>
      <c r="W117" s="105" t="s">
        <v>122</v>
      </c>
      <c r="X117" s="0" t="n">
        <v>160</v>
      </c>
    </row>
    <row r="118" customFormat="false" ht="12.75" hidden="false" customHeight="false" outlineLevel="0" collapsed="false">
      <c r="F118" s="15" t="s">
        <v>123</v>
      </c>
      <c r="H118" s="3" t="n">
        <v>3850</v>
      </c>
      <c r="I118" s="4" t="n">
        <v>3700</v>
      </c>
      <c r="J118" s="0" t="n">
        <f aca="false">+I118/64000</f>
        <v>0.0578125</v>
      </c>
      <c r="K118" s="7" t="n">
        <f aca="false">+J118*X118</f>
        <v>69.375</v>
      </c>
      <c r="N118" s="117" t="n">
        <f aca="false">+I118/H118</f>
        <v>0.961038961038961</v>
      </c>
      <c r="O118" s="117"/>
      <c r="X118" s="0" t="n">
        <v>1200</v>
      </c>
    </row>
    <row r="119" customFormat="false" ht="12.75" hidden="false" customHeight="false" outlineLevel="0" collapsed="false">
      <c r="F119" s="15" t="s">
        <v>124</v>
      </c>
      <c r="H119" s="3" t="n">
        <v>1460</v>
      </c>
      <c r="I119" s="4" t="n">
        <v>700</v>
      </c>
      <c r="J119" s="0" t="n">
        <f aca="false">+I119/64000</f>
        <v>0.0109375</v>
      </c>
      <c r="K119" s="7" t="n">
        <f aca="false">+J119*X119</f>
        <v>13.78125</v>
      </c>
      <c r="N119" s="117" t="n">
        <f aca="false">+I119/H119</f>
        <v>0.479452054794521</v>
      </c>
      <c r="O119" s="117"/>
      <c r="X119" s="0" t="n">
        <v>1260</v>
      </c>
    </row>
    <row r="120" customFormat="false" ht="12.75" hidden="false" customHeight="false" outlineLevel="0" collapsed="false">
      <c r="F120" s="15" t="s">
        <v>125</v>
      </c>
      <c r="H120" s="3" t="n">
        <v>1260</v>
      </c>
      <c r="J120" s="0" t="n">
        <f aca="false">+I120/64000</f>
        <v>0</v>
      </c>
      <c r="K120" s="7" t="n">
        <f aca="false">+J120*X120</f>
        <v>0</v>
      </c>
      <c r="N120" s="117" t="n">
        <f aca="false">+I120/H120</f>
        <v>0</v>
      </c>
      <c r="O120" s="117"/>
      <c r="X120" s="0" t="n">
        <v>900</v>
      </c>
    </row>
    <row r="121" s="4" customFormat="true" ht="12.75" hidden="false" customHeight="false" outlineLevel="0" collapsed="false">
      <c r="C121" s="1"/>
      <c r="D121" s="2"/>
      <c r="F121" s="15" t="s">
        <v>126</v>
      </c>
      <c r="H121" s="3"/>
      <c r="I121" s="4" t="n">
        <v>750</v>
      </c>
      <c r="J121" s="4" t="n">
        <f aca="false">+I121/64000</f>
        <v>0.01171875</v>
      </c>
      <c r="K121" s="7" t="n">
        <f aca="false">+J121*X121</f>
        <v>14.765625</v>
      </c>
      <c r="L121" s="5"/>
      <c r="M121" s="118"/>
      <c r="N121" s="117"/>
      <c r="O121" s="117"/>
      <c r="W121" s="6"/>
      <c r="X121" s="4" t="n">
        <v>1260</v>
      </c>
      <c r="Y121" s="0"/>
      <c r="Z121" s="0"/>
    </row>
    <row r="122" customFormat="false" ht="12.75" hidden="false" customHeight="false" outlineLevel="0" collapsed="false">
      <c r="A122" s="4"/>
      <c r="B122" s="4"/>
      <c r="E122" s="4"/>
      <c r="F122" s="15" t="s">
        <v>127</v>
      </c>
      <c r="G122" s="4"/>
      <c r="H122" s="3" t="n">
        <f aca="false">+SUM(H116:H121)</f>
        <v>13020</v>
      </c>
      <c r="I122" s="119" t="n">
        <f aca="false">+SUM(I116:I121)</f>
        <v>30310</v>
      </c>
      <c r="J122" s="119"/>
      <c r="K122" s="120" t="n">
        <f aca="false">+SUM(K116:K121)</f>
        <v>129.571875</v>
      </c>
      <c r="N122" s="117" t="n">
        <f aca="false">+I122/H122</f>
        <v>2.32795698924731</v>
      </c>
      <c r="O122" s="117"/>
    </row>
    <row r="123" customFormat="false" ht="12.75" hidden="false" customHeight="false" outlineLevel="0" collapsed="false">
      <c r="A123" s="4"/>
      <c r="B123" s="4"/>
      <c r="E123" s="4"/>
      <c r="G123" s="4"/>
      <c r="H123" s="121"/>
      <c r="N123" s="117"/>
      <c r="O123" s="117"/>
    </row>
    <row r="124" customFormat="false" ht="12.75" hidden="false" customHeight="false" outlineLevel="0" collapsed="false">
      <c r="A124" s="4"/>
      <c r="B124" s="4"/>
      <c r="E124" s="2" t="s">
        <v>128</v>
      </c>
      <c r="G124" s="4"/>
      <c r="N124" s="117"/>
      <c r="O124" s="117"/>
    </row>
    <row r="125" customFormat="false" ht="12.75" hidden="false" customHeight="false" outlineLevel="0" collapsed="false">
      <c r="A125" s="4"/>
      <c r="B125" s="4"/>
      <c r="F125" s="15" t="s">
        <v>129</v>
      </c>
      <c r="H125" s="122" t="n">
        <v>1.85</v>
      </c>
      <c r="I125" s="104" t="s">
        <v>130</v>
      </c>
      <c r="N125" s="117"/>
      <c r="O125" s="117"/>
      <c r="W125" s="105" t="s">
        <v>131</v>
      </c>
    </row>
    <row r="126" s="4" customFormat="true" ht="12.75" hidden="false" customHeight="false" outlineLevel="0" collapsed="false">
      <c r="B126" s="0"/>
      <c r="C126" s="1"/>
      <c r="D126" s="2"/>
      <c r="E126" s="0"/>
      <c r="F126" s="15"/>
      <c r="G126" s="0"/>
      <c r="H126" s="3" t="n">
        <f aca="false">+H125*10^12</f>
        <v>1850000000000</v>
      </c>
      <c r="I126" s="104" t="s">
        <v>132</v>
      </c>
      <c r="J126" s="0" t="n">
        <f aca="false">+H126/7500000000</f>
        <v>246.666666666667</v>
      </c>
      <c r="K126" s="0"/>
      <c r="L126" s="5"/>
      <c r="M126" s="5"/>
      <c r="N126" s="117"/>
      <c r="O126" s="117"/>
      <c r="Q126" s="0"/>
      <c r="R126" s="0"/>
      <c r="S126" s="0"/>
      <c r="T126" s="0"/>
      <c r="U126" s="0"/>
      <c r="V126" s="0"/>
      <c r="W126" s="6"/>
      <c r="X126" s="0"/>
      <c r="Y126" s="0"/>
      <c r="Z126" s="0"/>
    </row>
    <row r="127" s="4" customFormat="true" ht="12.75" hidden="false" customHeight="false" outlineLevel="0" collapsed="false">
      <c r="C127" s="1"/>
      <c r="D127" s="2"/>
      <c r="F127" s="15" t="s">
        <v>133</v>
      </c>
      <c r="H127" s="3" t="n">
        <v>4159</v>
      </c>
      <c r="I127" s="104" t="s">
        <v>134</v>
      </c>
      <c r="L127" s="5"/>
      <c r="M127" s="5"/>
      <c r="N127" s="117"/>
      <c r="O127" s="117"/>
      <c r="W127" s="105" t="s">
        <v>135</v>
      </c>
    </row>
    <row r="128" s="4" customFormat="true" ht="12.75" hidden="false" customHeight="false" outlineLevel="0" collapsed="false">
      <c r="C128" s="1"/>
      <c r="D128" s="2"/>
      <c r="F128" s="15" t="s">
        <v>136</v>
      </c>
      <c r="H128" s="3" t="n">
        <v>60</v>
      </c>
      <c r="J128" s="4" t="n">
        <f aca="false">+H128/H127</f>
        <v>0.0144265448425102</v>
      </c>
      <c r="L128" s="5"/>
      <c r="M128" s="5"/>
      <c r="N128" s="117"/>
      <c r="O128" s="117"/>
      <c r="W128" s="105" t="s">
        <v>135</v>
      </c>
    </row>
    <row r="129" customFormat="false" ht="12.75" hidden="false" customHeight="false" outlineLevel="0" collapsed="false">
      <c r="A129" s="4"/>
      <c r="B129" s="4"/>
      <c r="E129" s="4"/>
      <c r="G129" s="4"/>
      <c r="H129" s="3" t="n">
        <f aca="false">+H126/H127*H128</f>
        <v>26689107958.6439</v>
      </c>
      <c r="I129" s="104" t="s">
        <v>132</v>
      </c>
      <c r="J129" s="4"/>
      <c r="K129" s="4"/>
      <c r="N129" s="117"/>
      <c r="O129" s="117"/>
      <c r="Q129" s="4"/>
      <c r="R129" s="4"/>
      <c r="S129" s="4"/>
      <c r="T129" s="4"/>
      <c r="U129" s="4"/>
      <c r="V129" s="4"/>
    </row>
    <row r="130" customFormat="false" ht="12.75" hidden="false" customHeight="false" outlineLevel="0" collapsed="false">
      <c r="A130" s="4"/>
      <c r="B130" s="4"/>
      <c r="E130" s="4"/>
      <c r="F130" s="15" t="s">
        <v>137</v>
      </c>
      <c r="G130" s="4"/>
      <c r="H130" s="3" t="n">
        <f aca="false">+H129/(64*10^6)</f>
        <v>417.017311853811</v>
      </c>
      <c r="J130" s="4"/>
      <c r="K130" s="4"/>
      <c r="N130" s="117"/>
      <c r="O130" s="117"/>
      <c r="Q130" s="4"/>
      <c r="R130" s="4"/>
      <c r="S130" s="4"/>
      <c r="T130" s="4"/>
      <c r="U130" s="4"/>
      <c r="V130" s="4"/>
    </row>
    <row r="131" customFormat="false" ht="12.75" hidden="false" customHeight="false" outlineLevel="0" collapsed="false">
      <c r="A131" s="4"/>
      <c r="B131" s="4"/>
      <c r="E131" s="4"/>
      <c r="F131" s="15" t="s">
        <v>138</v>
      </c>
      <c r="G131" s="4"/>
      <c r="H131" s="123" t="n">
        <f aca="false">+H130*(0.19+0.16)</f>
        <v>145.956059148834</v>
      </c>
      <c r="J131" s="4"/>
      <c r="K131" s="4"/>
      <c r="N131" s="117"/>
      <c r="O131" s="117"/>
      <c r="Q131" s="4"/>
      <c r="R131" s="4"/>
      <c r="S131" s="4"/>
      <c r="T131" s="4"/>
      <c r="U131" s="4"/>
      <c r="V131" s="4"/>
    </row>
  </sheetData>
  <mergeCells count="18">
    <mergeCell ref="G2:K2"/>
    <mergeCell ref="O2:R3"/>
    <mergeCell ref="H95:I95"/>
    <mergeCell ref="J95:K95"/>
    <mergeCell ref="H96:I96"/>
    <mergeCell ref="J96:K96"/>
    <mergeCell ref="H97:I97"/>
    <mergeCell ref="J97:K97"/>
    <mergeCell ref="I102:J102"/>
    <mergeCell ref="H109:I109"/>
    <mergeCell ref="H110:I110"/>
    <mergeCell ref="P110:Q110"/>
    <mergeCell ref="H111:I111"/>
    <mergeCell ref="P111:Q111"/>
    <mergeCell ref="H112:I112"/>
    <mergeCell ref="P112:Q112"/>
    <mergeCell ref="H113:I113"/>
    <mergeCell ref="I122:J122"/>
  </mergeCells>
  <hyperlinks>
    <hyperlink ref="U7" r:id="rId2" display="https://eaumineralenaturelle.fr/chambre-syndicale/leau-minerale-en-chiffres"/>
    <hyperlink ref="U9" r:id="rId3" display="http://www.vinetsociete.fr/magazine/article/le-vin-en-quelques-chiffres-cles"/>
    <hyperlink ref="W9" r:id="rId4" display="https://www.bonial.fr/info/conso-boissons-sans-alcool-europe/"/>
    <hyperlink ref="U10" r:id="rId5" display="http://www.lefigaro.fr/conso/2018/03/17/20010-20180317ARTFIG00024-apres-36-ans-de-recul-la-consommation-de-biere-repart-en-france.php"/>
    <hyperlink ref="U13" r:id="rId6" display="https://www.passioncereales.fr/dossier-thematique/les-filieres-riz-et-autres-cereales-en-chiffres"/>
    <hyperlink ref="U15" r:id="rId7" display="http://agreste.agriculture.gouv.fr/IMG/pdf/Gaf2017p100-105.pdf"/>
    <hyperlink ref="U16" r:id="rId8" display="http://agreste.agriculture.gouv.fr/IMG/pdf/Gaf2017p100-105.pdf"/>
    <hyperlink ref="U31" r:id="rId9" display="http://agriculture.gouv.fr/infographie-production-et-consommation-de-produits-laitiers-en-France"/>
    <hyperlink ref="U36" r:id="rId10" display="http://www.franceagrimer.fr/content/download/39054/361017/file/Fiche%20fili%C3%A8re%202014%20-%20Oeufs%20-%20FR.pdf"/>
    <hyperlink ref="U39" r:id="rId11" display="http://www.franceagrimer.fr/content/download/52763/508694/file/STA-MER-CONSO%202016-juil2017.pdf"/>
    <hyperlink ref="U40" r:id="rId12" display="http://www.franceagrimer.fr/content/download/40104/372599/file/STA-VIA-CONSO%202014-aout2015.pdf"/>
    <hyperlink ref="U41" r:id="rId13" display="http://agreste.agriculture.gouv.fr/IMG/pdf/Gaf2017p100-105.pdf"/>
    <hyperlink ref="W100" r:id="rId14" display="https://www.novethic.fr/actualite/energie/efficacite-energetique/isr-rse/energie-grise-la-face-cachee-de-l-eco-construction-122077.html"/>
    <hyperlink ref="W102" r:id="rId15" display="https://www.ademe.fr/sites/default/files/assets/documents/ademe_mag108_dossier.pdf"/>
    <hyperlink ref="W103" r:id="rId16" display="http://www.o-immobilierdurable.fr/wp-content/uploads/2016/12/SINTEO_Livre-Blanc-bas-carbone.pdf"/>
    <hyperlink ref="W106" r:id="rId17" display="https://www.economie-magazine.com/dossier-30-marche-bricolage-france.html"/>
    <hyperlink ref="W107" r:id="rId18" display="http://www.fmbricolage.com/page?n=40"/>
    <hyperlink ref="W111" r:id="rId19" display="https://www.lesechos.fr/13/01/2018/lesechos.fr/0301123997829_quand-la-ville-ensevelit-les-sols.htm"/>
    <hyperlink ref="W116" r:id="rId20" display="https://www.zdnet.fr/actualites/chiffres-cles-les-ventes-de-mobiles-et-de-smartphones-39789928.htm"/>
    <hyperlink ref="W117" r:id="rId21" display="https://www.zdnet.fr/actualites/chiffres-cles-le-marche-des-tablettes-39789571.htm"/>
    <hyperlink ref="W125" r:id="rId22" display="https://theshiftproject.org/wp-content/uploads/2018/10/2018-10-04_Rapport_Pour-une-sobri%C3%A9t%C3%A9-num%C3%A9rique_Rapport_The-Shift-Project.pdf"/>
    <hyperlink ref="W127" r:id="rId23" display="https://www.internetworldstats.com/stats4.htm"/>
    <hyperlink ref="W128" r:id="rId24" display="https://www.internetworldstats.com/stats4.ht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A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E11" activeCellId="0" sqref="E11"/>
    </sheetView>
  </sheetViews>
  <sheetFormatPr defaultRowHeight="12.75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.14"/>
    <col collapsed="false" customWidth="true" hidden="false" outlineLevel="0" max="3" min="3" style="1" width="1.14"/>
    <col collapsed="false" customWidth="true" hidden="false" outlineLevel="0" max="4" min="4" style="124" width="2.42"/>
    <col collapsed="false" customWidth="true" hidden="false" outlineLevel="0" max="5" min="5" style="2" width="2.99"/>
    <col collapsed="false" customWidth="true" hidden="false" outlineLevel="0" max="6" min="6" style="0" width="28.14"/>
    <col collapsed="false" customWidth="true" hidden="false" outlineLevel="0" max="7" min="7" style="0" width="2.99"/>
    <col collapsed="false" customWidth="true" hidden="false" outlineLevel="0" max="8" min="8" style="0" width="2.85"/>
    <col collapsed="false" customWidth="true" hidden="false" outlineLevel="0" max="9" min="9" style="0" width="6.57"/>
    <col collapsed="false" customWidth="true" hidden="false" outlineLevel="0" max="10" min="10" style="0" width="2.14"/>
    <col collapsed="false" customWidth="true" hidden="false" outlineLevel="0" max="11" min="11" style="0" width="7.71"/>
    <col collapsed="false" customWidth="true" hidden="false" outlineLevel="0" max="12" min="12" style="0" width="1.29"/>
    <col collapsed="false" customWidth="true" hidden="false" outlineLevel="0" max="13" min="13" style="0" width="1.85"/>
    <col collapsed="false" customWidth="true" hidden="false" outlineLevel="0" max="14" min="14" style="77" width="2.29"/>
    <col collapsed="false" customWidth="true" hidden="false" outlineLevel="0" max="15" min="15" style="77" width="1.85"/>
    <col collapsed="false" customWidth="true" hidden="false" outlineLevel="0" max="16" min="16" style="77" width="0.57"/>
    <col collapsed="false" customWidth="true" hidden="false" outlineLevel="0" max="18" min="17" style="77" width="6.86"/>
    <col collapsed="false" customWidth="true" hidden="false" outlineLevel="0" max="19" min="19" style="77" width="0.42"/>
    <col collapsed="false" customWidth="true" hidden="false" outlineLevel="0" max="20" min="20" style="77" width="7.71"/>
    <col collapsed="false" customWidth="true" hidden="false" outlineLevel="0" max="21" min="21" style="77" width="7.29"/>
    <col collapsed="false" customWidth="true" hidden="false" outlineLevel="0" max="22" min="22" style="77" width="13.01"/>
    <col collapsed="false" customWidth="true" hidden="false" outlineLevel="0" max="23" min="23" style="77" width="1.42"/>
    <col collapsed="false" customWidth="true" hidden="false" outlineLevel="0" max="25" min="24" style="77" width="1.85"/>
    <col collapsed="false" customWidth="true" hidden="false" outlineLevel="0" max="27" min="26" style="77" width="7"/>
    <col collapsed="false" customWidth="true" hidden="false" outlineLevel="0" max="28" min="28" style="77" width="2.57"/>
    <col collapsed="false" customWidth="true" hidden="false" outlineLevel="0" max="30" min="29" style="77" width="7"/>
    <col collapsed="false" customWidth="true" hidden="false" outlineLevel="0" max="31" min="31" style="7" width="7"/>
    <col collapsed="false" customWidth="true" hidden="false" outlineLevel="0" max="32" min="32" style="4" width="7.15"/>
    <col collapsed="false" customWidth="true" hidden="false" outlineLevel="0" max="35" min="33" style="0" width="8"/>
    <col collapsed="false" customWidth="true" hidden="false" outlineLevel="0" max="36" min="36" style="0" width="26.42"/>
    <col collapsed="false" customWidth="true" hidden="false" outlineLevel="0" max="37" min="37" style="0" width="8"/>
    <col collapsed="false" customWidth="true" hidden="false" outlineLevel="0" max="1025" min="38" style="0" width="11.42"/>
  </cols>
  <sheetData>
    <row r="1" customFormat="false" ht="13.5" hidden="false" customHeight="false" outlineLevel="0" collapsed="false">
      <c r="Q1" s="77" t="s">
        <v>139</v>
      </c>
      <c r="Z1" s="41"/>
      <c r="AA1" s="41"/>
      <c r="AC1" s="41"/>
      <c r="AD1" s="41"/>
    </row>
    <row r="2" customFormat="false" ht="14.25" hidden="false" customHeight="false" outlineLevel="0" collapsed="false">
      <c r="B2" s="125"/>
      <c r="C2" s="126"/>
      <c r="D2" s="127"/>
      <c r="E2" s="127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9"/>
      <c r="Z2" s="130" t="n">
        <f aca="false">+Z4/$AH$3</f>
        <v>0.159947159603352</v>
      </c>
      <c r="AA2" s="130" t="n">
        <f aca="false">+AA4/$AH$3</f>
        <v>0.19303621304925</v>
      </c>
      <c r="AB2" s="131"/>
      <c r="AC2" s="130" t="n">
        <f aca="false">+AC4/$AH$3</f>
        <v>0.220355582914103</v>
      </c>
      <c r="AD2" s="130" t="n">
        <f aca="false">+AD4/$AH$3</f>
        <v>0.426661044433295</v>
      </c>
      <c r="AF2" s="132"/>
    </row>
    <row r="3" customFormat="false" ht="19.5" hidden="false" customHeight="true" outlineLevel="0" collapsed="false">
      <c r="B3" s="133"/>
      <c r="C3" s="134"/>
      <c r="D3" s="135" t="s">
        <v>6</v>
      </c>
      <c r="E3" s="135"/>
      <c r="F3" s="135"/>
      <c r="G3" s="136" t="str">
        <f aca="false">+TEXT(AG3,"# ##0")&amp;" kg"</f>
        <v>12 092 kg</v>
      </c>
      <c r="H3" s="136"/>
      <c r="I3" s="136"/>
      <c r="J3" s="136"/>
      <c r="K3" s="136"/>
      <c r="L3" s="136"/>
      <c r="M3" s="136"/>
      <c r="N3" s="137"/>
      <c r="O3" s="137"/>
      <c r="P3" s="138"/>
      <c r="Q3" s="139" t="s">
        <v>140</v>
      </c>
      <c r="R3" s="139"/>
      <c r="S3" s="139"/>
      <c r="T3" s="139"/>
      <c r="U3" s="139"/>
      <c r="V3" s="139"/>
      <c r="W3" s="140"/>
      <c r="X3" s="141"/>
      <c r="Z3" s="142" t="s">
        <v>141</v>
      </c>
      <c r="AA3" s="142" t="s">
        <v>142</v>
      </c>
      <c r="AB3" s="143"/>
      <c r="AC3" s="144" t="s">
        <v>143</v>
      </c>
      <c r="AD3" s="144" t="s">
        <v>144</v>
      </c>
      <c r="AF3" s="145"/>
      <c r="AG3" s="146" t="n">
        <f aca="false">+'calculs et données'!Q4</f>
        <v>12091.9333909788</v>
      </c>
      <c r="AH3" s="147" t="n">
        <f aca="false">+SUM(AG9:AG81)</f>
        <v>12091.9333909788</v>
      </c>
    </row>
    <row r="4" customFormat="false" ht="18.75" hidden="false" customHeight="true" outlineLevel="0" collapsed="false">
      <c r="B4" s="133"/>
      <c r="C4" s="134"/>
      <c r="D4" s="135"/>
      <c r="E4" s="135"/>
      <c r="F4" s="135"/>
      <c r="G4" s="136"/>
      <c r="H4" s="136"/>
      <c r="I4" s="136"/>
      <c r="J4" s="136"/>
      <c r="K4" s="136"/>
      <c r="L4" s="136"/>
      <c r="M4" s="136"/>
      <c r="N4" s="137"/>
      <c r="O4" s="137"/>
      <c r="P4" s="148"/>
      <c r="Q4" s="149" t="s">
        <v>145</v>
      </c>
      <c r="R4" s="149"/>
      <c r="S4" s="149"/>
      <c r="T4" s="150" t="s">
        <v>146</v>
      </c>
      <c r="U4" s="150"/>
      <c r="V4" s="151" t="s">
        <v>147</v>
      </c>
      <c r="W4" s="140"/>
      <c r="X4" s="141"/>
      <c r="Z4" s="42" t="n">
        <f aca="false">+SUM(Z12:Z80)</f>
        <v>1934.0704</v>
      </c>
      <c r="AA4" s="42" t="n">
        <f aca="false">+SUM(AA12:AA80)</f>
        <v>2334.18103023833</v>
      </c>
      <c r="AB4" s="42"/>
      <c r="AC4" s="42" t="n">
        <f aca="false">+SUM(AC12:AC80)</f>
        <v>2664.52503092765</v>
      </c>
      <c r="AD4" s="42" t="n">
        <f aca="false">+SUM(AD12:AD80)</f>
        <v>5159.15692981287</v>
      </c>
      <c r="AH4" s="25" t="n">
        <f aca="false">+AH3/$AH$3</f>
        <v>1</v>
      </c>
      <c r="AI4" s="25"/>
      <c r="AJ4" s="25"/>
      <c r="AK4" s="25"/>
    </row>
    <row r="5" customFormat="false" ht="12.75" hidden="false" customHeight="false" outlineLevel="0" collapsed="false">
      <c r="B5" s="133"/>
      <c r="C5" s="134"/>
      <c r="D5" s="135"/>
      <c r="E5" s="135"/>
      <c r="F5" s="135"/>
      <c r="G5" s="136"/>
      <c r="H5" s="136"/>
      <c r="I5" s="136"/>
      <c r="J5" s="136"/>
      <c r="K5" s="136"/>
      <c r="L5" s="136"/>
      <c r="M5" s="136"/>
      <c r="N5" s="140"/>
      <c r="O5" s="140"/>
      <c r="P5" s="148"/>
      <c r="Q5" s="152" t="s">
        <v>148</v>
      </c>
      <c r="R5" s="152" t="s">
        <v>149</v>
      </c>
      <c r="S5" s="152"/>
      <c r="T5" s="152" t="s">
        <v>150</v>
      </c>
      <c r="U5" s="153" t="s">
        <v>144</v>
      </c>
      <c r="V5" s="151"/>
      <c r="W5" s="140"/>
      <c r="X5" s="141"/>
      <c r="Z5" s="42"/>
      <c r="AA5" s="42"/>
      <c r="AB5" s="42"/>
      <c r="AC5" s="42"/>
      <c r="AD5" s="42"/>
      <c r="AH5" s="25"/>
      <c r="AI5" s="25"/>
      <c r="AJ5" s="25"/>
      <c r="AK5" s="25"/>
    </row>
    <row r="6" customFormat="false" ht="12.75" hidden="false" customHeight="false" outlineLevel="0" collapsed="false">
      <c r="B6" s="133"/>
      <c r="C6" s="134"/>
      <c r="D6" s="135"/>
      <c r="E6" s="135"/>
      <c r="F6" s="135"/>
      <c r="G6" s="136"/>
      <c r="H6" s="136"/>
      <c r="I6" s="136"/>
      <c r="J6" s="136"/>
      <c r="K6" s="136"/>
      <c r="L6" s="136"/>
      <c r="M6" s="136"/>
      <c r="N6" s="140"/>
      <c r="O6" s="140"/>
      <c r="P6" s="148"/>
      <c r="Q6" s="154" t="n">
        <f aca="false">+Z4</f>
        <v>1934.0704</v>
      </c>
      <c r="R6" s="154" t="n">
        <f aca="false">+AA4</f>
        <v>2334.18103023833</v>
      </c>
      <c r="S6" s="155"/>
      <c r="T6" s="154" t="n">
        <f aca="false">+AC4</f>
        <v>2664.52503092765</v>
      </c>
      <c r="U6" s="156" t="n">
        <f aca="false">+AD4</f>
        <v>5159.15692981287</v>
      </c>
      <c r="V6" s="151"/>
      <c r="W6" s="140"/>
      <c r="X6" s="141"/>
      <c r="Z6" s="42"/>
      <c r="AA6" s="42"/>
      <c r="AB6" s="42"/>
      <c r="AC6" s="42"/>
      <c r="AD6" s="42"/>
      <c r="AH6" s="25"/>
      <c r="AI6" s="25"/>
      <c r="AJ6" s="25"/>
      <c r="AK6" s="25"/>
    </row>
    <row r="7" customFormat="false" ht="13.5" hidden="false" customHeight="false" outlineLevel="0" collapsed="false">
      <c r="B7" s="133"/>
      <c r="C7" s="134"/>
      <c r="D7" s="135"/>
      <c r="E7" s="135"/>
      <c r="F7" s="135"/>
      <c r="G7" s="136"/>
      <c r="H7" s="136"/>
      <c r="I7" s="136"/>
      <c r="J7" s="136"/>
      <c r="K7" s="136"/>
      <c r="L7" s="136"/>
      <c r="M7" s="136"/>
      <c r="N7" s="140"/>
      <c r="O7" s="140"/>
      <c r="P7" s="157"/>
      <c r="Q7" s="158" t="n">
        <f aca="false">+Z2</f>
        <v>0.159947159603352</v>
      </c>
      <c r="R7" s="158" t="n">
        <f aca="false">+AA2</f>
        <v>0.19303621304925</v>
      </c>
      <c r="S7" s="158"/>
      <c r="T7" s="158" t="n">
        <f aca="false">+AC2</f>
        <v>0.220355582914103</v>
      </c>
      <c r="U7" s="159" t="n">
        <f aca="false">+AD2</f>
        <v>0.426661044433295</v>
      </c>
      <c r="V7" s="151"/>
      <c r="W7" s="140"/>
      <c r="X7" s="141"/>
      <c r="Z7" s="42"/>
      <c r="AA7" s="42"/>
      <c r="AB7" s="42"/>
      <c r="AC7" s="42"/>
      <c r="AD7" s="42"/>
      <c r="AH7" s="25"/>
      <c r="AI7" s="25"/>
      <c r="AJ7" s="25"/>
      <c r="AK7" s="25"/>
    </row>
    <row r="8" customFormat="false" ht="14.25" hidden="false" customHeight="false" outlineLevel="0" collapsed="false">
      <c r="B8" s="133"/>
      <c r="C8" s="134"/>
      <c r="D8" s="160"/>
      <c r="E8" s="16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1"/>
      <c r="Z8" s="42"/>
      <c r="AA8" s="42"/>
      <c r="AB8" s="42"/>
      <c r="AC8" s="42"/>
      <c r="AD8" s="42"/>
      <c r="AH8" s="25"/>
      <c r="AI8" s="25"/>
      <c r="AJ8" s="25"/>
      <c r="AK8" s="25"/>
    </row>
    <row r="9" customFormat="false" ht="13.5" hidden="false" customHeight="false" outlineLevel="0" collapsed="false">
      <c r="B9" s="133"/>
      <c r="C9" s="134"/>
      <c r="D9" s="161" t="s">
        <v>7</v>
      </c>
      <c r="E9" s="162"/>
      <c r="F9" s="163"/>
      <c r="G9" s="164" t="str">
        <f aca="false">+TEXT(AG9,"# ##0")&amp;" kg"</f>
        <v>2 353 kg</v>
      </c>
      <c r="H9" s="163"/>
      <c r="I9" s="163"/>
      <c r="J9" s="163"/>
      <c r="K9" s="165" t="n">
        <f aca="false">+AH9</f>
        <v>0.19456044984131</v>
      </c>
      <c r="L9" s="166"/>
      <c r="M9" s="167"/>
      <c r="N9" s="141"/>
      <c r="O9" s="168"/>
      <c r="P9" s="169"/>
      <c r="Q9" s="169"/>
      <c r="R9" s="169"/>
      <c r="S9" s="169"/>
      <c r="T9" s="169"/>
      <c r="U9" s="169"/>
      <c r="V9" s="169"/>
      <c r="W9" s="170"/>
      <c r="X9" s="141"/>
      <c r="AE9" s="33"/>
      <c r="AF9" s="34"/>
      <c r="AG9" s="35" t="n">
        <f aca="false">+SUM(AE12:AE32)</f>
        <v>2352.612</v>
      </c>
      <c r="AH9" s="36" t="n">
        <f aca="false">+AG9/$AH$3</f>
        <v>0.19456044984131</v>
      </c>
      <c r="AI9" s="36"/>
      <c r="AJ9" s="49"/>
      <c r="AK9" s="49"/>
    </row>
    <row r="10" customFormat="false" ht="13.5" hidden="false" customHeight="false" outlineLevel="0" collapsed="false">
      <c r="B10" s="133"/>
      <c r="C10" s="134"/>
      <c r="D10" s="171"/>
      <c r="E10" s="172"/>
      <c r="F10" s="173"/>
      <c r="G10" s="174"/>
      <c r="H10" s="175"/>
      <c r="I10" s="175"/>
      <c r="J10" s="175"/>
      <c r="K10" s="176"/>
      <c r="L10" s="175"/>
      <c r="M10" s="177"/>
      <c r="N10" s="141"/>
      <c r="O10" s="178"/>
      <c r="P10" s="175"/>
      <c r="Q10" s="175"/>
      <c r="R10" s="175"/>
      <c r="S10" s="175"/>
      <c r="T10" s="175"/>
      <c r="U10" s="175"/>
      <c r="V10" s="175"/>
      <c r="W10" s="179"/>
      <c r="X10" s="141"/>
      <c r="AE10" s="47"/>
      <c r="AF10" s="180"/>
      <c r="AG10" s="35"/>
      <c r="AH10" s="36"/>
      <c r="AI10" s="36"/>
      <c r="AJ10" s="49"/>
      <c r="AK10" s="49"/>
    </row>
    <row r="11" customFormat="false" ht="12.75" hidden="false" customHeight="false" outlineLevel="0" collapsed="false">
      <c r="B11" s="133"/>
      <c r="C11" s="134"/>
      <c r="D11" s="181"/>
      <c r="E11" s="182" t="s">
        <v>10</v>
      </c>
      <c r="F11" s="183"/>
      <c r="G11" s="184"/>
      <c r="H11" s="185" t="str">
        <f aca="false">+TEXT(AF11,"# ##0")&amp;" kg"</f>
        <v>263 kg</v>
      </c>
      <c r="I11" s="184"/>
      <c r="J11" s="184"/>
      <c r="K11" s="186" t="n">
        <f aca="false">+AH11</f>
        <v>0.0217315950645282</v>
      </c>
      <c r="L11" s="187"/>
      <c r="M11" s="177"/>
      <c r="N11" s="141"/>
      <c r="O11" s="178"/>
      <c r="P11" s="188"/>
      <c r="Q11" s="189"/>
      <c r="R11" s="190"/>
      <c r="S11" s="189"/>
      <c r="T11" s="189"/>
      <c r="U11" s="190"/>
      <c r="V11" s="191" t="n">
        <v>1</v>
      </c>
      <c r="W11" s="192"/>
      <c r="X11" s="141"/>
      <c r="AE11" s="47"/>
      <c r="AF11" s="48" t="n">
        <f aca="false">+SUM(AE12:AE13)</f>
        <v>262.777</v>
      </c>
      <c r="AG11" s="49"/>
      <c r="AH11" s="193" t="n">
        <f aca="false">+AF11/$AH$3</f>
        <v>0.0217315950645282</v>
      </c>
      <c r="AI11" s="193"/>
      <c r="AJ11" s="194"/>
      <c r="AK11" s="194"/>
    </row>
    <row r="12" customFormat="false" ht="12.75" hidden="false" customHeight="true" outlineLevel="0" collapsed="false">
      <c r="B12" s="133"/>
      <c r="C12" s="134"/>
      <c r="D12" s="181"/>
      <c r="E12" s="195"/>
      <c r="F12" s="196" t="s">
        <v>151</v>
      </c>
      <c r="G12" s="197"/>
      <c r="H12" s="197"/>
      <c r="I12" s="197" t="str">
        <f aca="false">+TEXT(AE12,"# ##0")&amp;" kg"</f>
        <v>145 kg</v>
      </c>
      <c r="J12" s="197"/>
      <c r="K12" s="130" t="n">
        <f aca="false">+AH12</f>
        <v>0.0120080052796459</v>
      </c>
      <c r="L12" s="198"/>
      <c r="M12" s="177"/>
      <c r="N12" s="141"/>
      <c r="O12" s="178"/>
      <c r="P12" s="199"/>
      <c r="Q12" s="200" t="n">
        <v>0</v>
      </c>
      <c r="R12" s="201" t="n">
        <v>0</v>
      </c>
      <c r="S12" s="202" t="n">
        <f aca="false">1-SUM(Q12:R12)</f>
        <v>1</v>
      </c>
      <c r="T12" s="202" t="n">
        <v>0.5</v>
      </c>
      <c r="U12" s="203" t="n">
        <f aca="false">+S12-T12</f>
        <v>0.5</v>
      </c>
      <c r="V12" s="191"/>
      <c r="W12" s="192"/>
      <c r="X12" s="204"/>
      <c r="Y12" s="205"/>
      <c r="Z12" s="77" t="n">
        <f aca="false">+$AE12*Q12</f>
        <v>0</v>
      </c>
      <c r="AA12" s="77" t="n">
        <f aca="false">+$AE12*R12</f>
        <v>0</v>
      </c>
      <c r="AC12" s="77" t="n">
        <f aca="false">+$AE12*T12</f>
        <v>72.6</v>
      </c>
      <c r="AD12" s="77" t="n">
        <f aca="false">+$AE12*U12</f>
        <v>72.6</v>
      </c>
      <c r="AE12" s="206" t="n">
        <f aca="false">+SUM('calculs et données'!O9:O10)</f>
        <v>145.2</v>
      </c>
      <c r="AF12" s="48"/>
      <c r="AG12" s="49"/>
      <c r="AH12" s="85" t="n">
        <f aca="false">+AE12/$AH$3</f>
        <v>0.0120080052796459</v>
      </c>
      <c r="AI12" s="85"/>
      <c r="AJ12" s="49"/>
      <c r="AK12" s="49"/>
    </row>
    <row r="13" customFormat="false" ht="13.5" hidden="false" customHeight="false" outlineLevel="0" collapsed="false">
      <c r="B13" s="133"/>
      <c r="C13" s="134"/>
      <c r="D13" s="181"/>
      <c r="E13" s="207"/>
      <c r="F13" s="208" t="s">
        <v>152</v>
      </c>
      <c r="G13" s="209"/>
      <c r="H13" s="209"/>
      <c r="I13" s="209" t="str">
        <f aca="false">+TEXT(AE13,"# ##0")&amp;" kg"</f>
        <v>118 kg</v>
      </c>
      <c r="J13" s="209"/>
      <c r="K13" s="210" t="n">
        <f aca="false">+AH13</f>
        <v>0.00972358978488238</v>
      </c>
      <c r="L13" s="211"/>
      <c r="M13" s="177"/>
      <c r="N13" s="141"/>
      <c r="O13" s="178"/>
      <c r="P13" s="212"/>
      <c r="Q13" s="213" t="n">
        <v>0</v>
      </c>
      <c r="R13" s="214" t="n">
        <v>0</v>
      </c>
      <c r="S13" s="215" t="n">
        <f aca="false">1-SUM(Q13:R13)</f>
        <v>1</v>
      </c>
      <c r="T13" s="215" t="n">
        <v>0.3</v>
      </c>
      <c r="U13" s="216" t="n">
        <f aca="false">+S13-T13</f>
        <v>0.7</v>
      </c>
      <c r="V13" s="191"/>
      <c r="W13" s="192"/>
      <c r="X13" s="204"/>
      <c r="Y13" s="205"/>
      <c r="Z13" s="77" t="n">
        <f aca="false">+$AE13*Q13</f>
        <v>0</v>
      </c>
      <c r="AA13" s="77" t="n">
        <f aca="false">+$AE13*R13</f>
        <v>0</v>
      </c>
      <c r="AC13" s="77" t="n">
        <f aca="false">+$AE13*T13</f>
        <v>35.2731</v>
      </c>
      <c r="AD13" s="77" t="n">
        <f aca="false">+$AE13*U13</f>
        <v>82.3039</v>
      </c>
      <c r="AE13" s="206" t="n">
        <f aca="false">+SUM('calculs et données'!O7:O8)</f>
        <v>117.577</v>
      </c>
      <c r="AF13" s="48"/>
      <c r="AG13" s="49"/>
      <c r="AH13" s="85" t="n">
        <f aca="false">+AE13/$AH$3</f>
        <v>0.00972358978488238</v>
      </c>
      <c r="AI13" s="85"/>
      <c r="AJ13" s="194"/>
      <c r="AK13" s="194"/>
    </row>
    <row r="14" s="15" customFormat="true" ht="13.5" hidden="false" customHeight="false" outlineLevel="0" collapsed="false">
      <c r="B14" s="217"/>
      <c r="C14" s="134"/>
      <c r="D14" s="181"/>
      <c r="E14" s="218"/>
      <c r="F14" s="219"/>
      <c r="G14" s="219"/>
      <c r="H14" s="219"/>
      <c r="I14" s="219"/>
      <c r="J14" s="219"/>
      <c r="K14" s="220"/>
      <c r="L14" s="219"/>
      <c r="M14" s="221"/>
      <c r="N14" s="222"/>
      <c r="O14" s="223"/>
      <c r="P14" s="219"/>
      <c r="Q14" s="224"/>
      <c r="R14" s="224"/>
      <c r="S14" s="224"/>
      <c r="T14" s="224"/>
      <c r="U14" s="224"/>
      <c r="V14" s="225"/>
      <c r="W14" s="226"/>
      <c r="X14" s="204"/>
      <c r="Y14" s="205"/>
      <c r="AD14" s="40"/>
      <c r="AE14" s="227"/>
      <c r="AF14" s="228"/>
      <c r="AG14" s="229"/>
      <c r="AH14" s="230"/>
      <c r="AI14" s="230"/>
      <c r="AJ14" s="194"/>
      <c r="AK14" s="194"/>
    </row>
    <row r="15" customFormat="false" ht="12.75" hidden="false" customHeight="false" outlineLevel="0" collapsed="false">
      <c r="B15" s="133"/>
      <c r="C15" s="134"/>
      <c r="D15" s="181"/>
      <c r="E15" s="182" t="s">
        <v>78</v>
      </c>
      <c r="F15" s="183"/>
      <c r="G15" s="184"/>
      <c r="H15" s="185" t="str">
        <f aca="false">+TEXT(AF15,"# ##0")&amp;" kg"</f>
        <v>538 kg</v>
      </c>
      <c r="I15" s="184"/>
      <c r="J15" s="184"/>
      <c r="K15" s="186" t="n">
        <f aca="false">+AH15</f>
        <v>0.0444887498637182</v>
      </c>
      <c r="L15" s="187"/>
      <c r="M15" s="177"/>
      <c r="N15" s="141"/>
      <c r="O15" s="178"/>
      <c r="P15" s="188"/>
      <c r="Q15" s="189"/>
      <c r="R15" s="190"/>
      <c r="S15" s="189"/>
      <c r="T15" s="189"/>
      <c r="U15" s="190"/>
      <c r="V15" s="231" t="n">
        <v>2</v>
      </c>
      <c r="W15" s="232"/>
      <c r="X15" s="204"/>
      <c r="Y15" s="205"/>
      <c r="AE15" s="206"/>
      <c r="AF15" s="48" t="n">
        <f aca="false">+AE16</f>
        <v>537.955</v>
      </c>
      <c r="AG15" s="49"/>
      <c r="AH15" s="193" t="n">
        <f aca="false">+AF15/$AH$3</f>
        <v>0.0444887498637182</v>
      </c>
      <c r="AI15" s="193"/>
      <c r="AJ15" s="49"/>
      <c r="AK15" s="49"/>
    </row>
    <row r="16" customFormat="false" ht="39" hidden="false" customHeight="false" outlineLevel="0" collapsed="false">
      <c r="B16" s="133"/>
      <c r="C16" s="134"/>
      <c r="D16" s="181"/>
      <c r="E16" s="207"/>
      <c r="F16" s="233" t="s">
        <v>153</v>
      </c>
      <c r="G16" s="209"/>
      <c r="H16" s="209"/>
      <c r="I16" s="209" t="str">
        <f aca="false">+TEXT(AE16,"# ##0")&amp;" kg"</f>
        <v>538 kg</v>
      </c>
      <c r="J16" s="209"/>
      <c r="K16" s="210" t="n">
        <f aca="false">+AH16</f>
        <v>0.0444887498637182</v>
      </c>
      <c r="L16" s="211"/>
      <c r="M16" s="177"/>
      <c r="N16" s="141"/>
      <c r="O16" s="178"/>
      <c r="P16" s="212"/>
      <c r="Q16" s="213" t="n">
        <v>0.8</v>
      </c>
      <c r="R16" s="214" t="n">
        <v>0</v>
      </c>
      <c r="S16" s="215" t="n">
        <f aca="false">1-SUM(Q16:R16)</f>
        <v>0.2</v>
      </c>
      <c r="T16" s="215" t="n">
        <v>0.1</v>
      </c>
      <c r="U16" s="216" t="n">
        <f aca="false">+S16-T16</f>
        <v>0.1</v>
      </c>
      <c r="V16" s="231"/>
      <c r="W16" s="232"/>
      <c r="X16" s="204"/>
      <c r="Y16" s="205"/>
      <c r="Z16" s="234" t="n">
        <f aca="false">+$AE16*Q16</f>
        <v>430.364</v>
      </c>
      <c r="AA16" s="234" t="n">
        <f aca="false">+$AE16*R16</f>
        <v>0</v>
      </c>
      <c r="AB16" s="234"/>
      <c r="AC16" s="234" t="n">
        <f aca="false">+$AE16*T16</f>
        <v>53.7955</v>
      </c>
      <c r="AD16" s="234" t="n">
        <f aca="false">+$AE16*U16</f>
        <v>53.7955</v>
      </c>
      <c r="AE16" s="206" t="n">
        <f aca="false">+SUM('calculs et données'!O13:O26)</f>
        <v>537.955</v>
      </c>
      <c r="AF16" s="48"/>
      <c r="AG16" s="49"/>
      <c r="AH16" s="85" t="n">
        <f aca="false">+AE16/$AH$3</f>
        <v>0.0444887498637182</v>
      </c>
      <c r="AI16" s="85"/>
      <c r="AJ16" s="49"/>
      <c r="AK16" s="49"/>
    </row>
    <row r="17" customFormat="false" ht="13.5" hidden="false" customHeight="false" outlineLevel="0" collapsed="false">
      <c r="B17" s="133"/>
      <c r="C17" s="134"/>
      <c r="D17" s="181"/>
      <c r="E17" s="218"/>
      <c r="F17" s="219"/>
      <c r="G17" s="175"/>
      <c r="H17" s="175"/>
      <c r="I17" s="175"/>
      <c r="J17" s="175"/>
      <c r="K17" s="175"/>
      <c r="L17" s="175"/>
      <c r="M17" s="177"/>
      <c r="N17" s="141"/>
      <c r="O17" s="178"/>
      <c r="P17" s="175"/>
      <c r="Q17" s="235"/>
      <c r="R17" s="235"/>
      <c r="S17" s="235"/>
      <c r="T17" s="235"/>
      <c r="U17" s="235"/>
      <c r="V17" s="236"/>
      <c r="W17" s="232"/>
      <c r="X17" s="204"/>
      <c r="Y17" s="205"/>
      <c r="Z17" s="234"/>
      <c r="AA17" s="234"/>
      <c r="AB17" s="234"/>
      <c r="AC17" s="234"/>
      <c r="AD17" s="234"/>
      <c r="AE17" s="206"/>
      <c r="AF17" s="48"/>
      <c r="AG17" s="49"/>
      <c r="AH17" s="49"/>
      <c r="AI17" s="49"/>
      <c r="AJ17" s="49"/>
      <c r="AK17" s="49"/>
    </row>
    <row r="18" customFormat="false" ht="12.75" hidden="false" customHeight="true" outlineLevel="0" collapsed="false">
      <c r="B18" s="133"/>
      <c r="C18" s="134"/>
      <c r="D18" s="181"/>
      <c r="E18" s="182" t="s">
        <v>154</v>
      </c>
      <c r="F18" s="183"/>
      <c r="G18" s="184"/>
      <c r="H18" s="185" t="str">
        <f aca="false">+TEXT(AF18,"# ##0")&amp;" kg"</f>
        <v>408 kg</v>
      </c>
      <c r="I18" s="184"/>
      <c r="J18" s="184"/>
      <c r="K18" s="186" t="n">
        <f aca="false">+AH18</f>
        <v>0.0337563883956325</v>
      </c>
      <c r="L18" s="187"/>
      <c r="M18" s="177"/>
      <c r="N18" s="141"/>
      <c r="O18" s="178"/>
      <c r="P18" s="188"/>
      <c r="Q18" s="189"/>
      <c r="R18" s="190"/>
      <c r="S18" s="237"/>
      <c r="T18" s="189"/>
      <c r="U18" s="189"/>
      <c r="V18" s="191" t="n">
        <v>3</v>
      </c>
      <c r="W18" s="192"/>
      <c r="X18" s="204"/>
      <c r="Y18" s="205"/>
      <c r="Z18" s="234"/>
      <c r="AA18" s="234"/>
      <c r="AB18" s="234"/>
      <c r="AC18" s="234"/>
      <c r="AD18" s="234"/>
      <c r="AE18" s="206"/>
      <c r="AF18" s="48" t="n">
        <f aca="false">+SUM(AE19:AE23)</f>
        <v>408.18</v>
      </c>
      <c r="AG18" s="49"/>
      <c r="AH18" s="193" t="n">
        <f aca="false">+AF18/$AH$3</f>
        <v>0.0337563883956325</v>
      </c>
      <c r="AI18" s="193"/>
      <c r="AJ18" s="49"/>
      <c r="AK18" s="49"/>
    </row>
    <row r="19" customFormat="false" ht="12.75" hidden="false" customHeight="true" outlineLevel="0" collapsed="false">
      <c r="B19" s="133"/>
      <c r="C19" s="134"/>
      <c r="D19" s="181"/>
      <c r="E19" s="195"/>
      <c r="F19" s="196" t="s">
        <v>36</v>
      </c>
      <c r="G19" s="197"/>
      <c r="H19" s="197"/>
      <c r="I19" s="197" t="str">
        <f aca="false">+TEXT(AE19,"# ##0")&amp;" kg"</f>
        <v>74 kg</v>
      </c>
      <c r="J19" s="197"/>
      <c r="K19" s="130" t="n">
        <f aca="false">+AH19</f>
        <v>0.00615286220940531</v>
      </c>
      <c r="L19" s="198"/>
      <c r="M19" s="177"/>
      <c r="N19" s="141"/>
      <c r="O19" s="178"/>
      <c r="P19" s="199"/>
      <c r="Q19" s="200" t="n">
        <f aca="false">1-(0.4*0.41)</f>
        <v>0.836</v>
      </c>
      <c r="R19" s="201" t="n">
        <v>0</v>
      </c>
      <c r="S19" s="238" t="n">
        <f aca="false">1-SUM(Q19:R19)</f>
        <v>0.164</v>
      </c>
      <c r="T19" s="202" t="n">
        <v>0.1</v>
      </c>
      <c r="U19" s="202" t="n">
        <f aca="false">+S19-T19</f>
        <v>0.064</v>
      </c>
      <c r="V19" s="191"/>
      <c r="W19" s="192"/>
      <c r="X19" s="204"/>
      <c r="Y19" s="205"/>
      <c r="Z19" s="234" t="n">
        <f aca="false">+$AE19*Q19</f>
        <v>62.1984</v>
      </c>
      <c r="AA19" s="234" t="n">
        <f aca="false">+$AE19*R19</f>
        <v>0</v>
      </c>
      <c r="AB19" s="234"/>
      <c r="AC19" s="234" t="n">
        <f aca="false">+$AE19*T19</f>
        <v>7.44</v>
      </c>
      <c r="AD19" s="234" t="n">
        <f aca="false">+$AE19*U19</f>
        <v>4.7616</v>
      </c>
      <c r="AE19" s="206" t="n">
        <f aca="false">+'calculs et données'!O31</f>
        <v>74.4</v>
      </c>
      <c r="AF19" s="48"/>
      <c r="AG19" s="49"/>
      <c r="AH19" s="85" t="n">
        <f aca="false">+AE19/$AH$3</f>
        <v>0.00615286220940531</v>
      </c>
      <c r="AI19" s="85"/>
      <c r="AJ19" s="49"/>
      <c r="AK19" s="49"/>
    </row>
    <row r="20" customFormat="false" ht="12.75" hidden="false" customHeight="false" outlineLevel="0" collapsed="false">
      <c r="B20" s="133"/>
      <c r="C20" s="134"/>
      <c r="D20" s="181"/>
      <c r="E20" s="195"/>
      <c r="F20" s="196" t="s">
        <v>155</v>
      </c>
      <c r="G20" s="197"/>
      <c r="H20" s="197"/>
      <c r="I20" s="197" t="str">
        <f aca="false">+TEXT(AE20,"# ##0")&amp;" kg"</f>
        <v>110 kg</v>
      </c>
      <c r="J20" s="197"/>
      <c r="K20" s="130" t="n">
        <f aca="false">+AH20</f>
        <v>0.00910193568235415</v>
      </c>
      <c r="L20" s="198"/>
      <c r="M20" s="177"/>
      <c r="N20" s="141"/>
      <c r="O20" s="178"/>
      <c r="P20" s="199"/>
      <c r="Q20" s="200" t="n">
        <f aca="false">1-(0.4*0.41)</f>
        <v>0.836</v>
      </c>
      <c r="R20" s="201" t="n">
        <v>0</v>
      </c>
      <c r="S20" s="238" t="n">
        <f aca="false">1-SUM(Q20:R20)</f>
        <v>0.164</v>
      </c>
      <c r="T20" s="202" t="n">
        <v>0.1</v>
      </c>
      <c r="U20" s="202" t="n">
        <f aca="false">+S20-T20</f>
        <v>0.064</v>
      </c>
      <c r="V20" s="191"/>
      <c r="W20" s="192"/>
      <c r="X20" s="204"/>
      <c r="Y20" s="205"/>
      <c r="Z20" s="234" t="n">
        <f aca="false">+$AE20*Q20</f>
        <v>92.01016</v>
      </c>
      <c r="AA20" s="234" t="n">
        <f aca="false">+$AE20*R20</f>
        <v>0</v>
      </c>
      <c r="AB20" s="234"/>
      <c r="AC20" s="234" t="n">
        <f aca="false">+$AE20*T20</f>
        <v>11.006</v>
      </c>
      <c r="AD20" s="234" t="n">
        <f aca="false">+$AE20*U20</f>
        <v>7.04384</v>
      </c>
      <c r="AE20" s="206" t="n">
        <f aca="false">+'calculs et données'!O32+'calculs et données'!O34</f>
        <v>110.06</v>
      </c>
      <c r="AF20" s="48"/>
      <c r="AG20" s="49"/>
      <c r="AH20" s="85" t="n">
        <f aca="false">+AE20/$AH$3</f>
        <v>0.00910193568235415</v>
      </c>
      <c r="AI20" s="85"/>
      <c r="AJ20" s="49"/>
      <c r="AK20" s="49"/>
    </row>
    <row r="21" customFormat="false" ht="12.75" hidden="false" customHeight="false" outlineLevel="0" collapsed="false">
      <c r="B21" s="133"/>
      <c r="C21" s="134"/>
      <c r="D21" s="181"/>
      <c r="E21" s="195"/>
      <c r="F21" s="196" t="s">
        <v>39</v>
      </c>
      <c r="G21" s="197"/>
      <c r="H21" s="197"/>
      <c r="I21" s="197" t="str">
        <f aca="false">+TEXT(AE21,"# ##0")&amp;" kg"</f>
        <v>120 kg</v>
      </c>
      <c r="J21" s="197"/>
      <c r="K21" s="130" t="n">
        <f aca="false">+AH21</f>
        <v>0.00992397130549244</v>
      </c>
      <c r="L21" s="198"/>
      <c r="M21" s="177"/>
      <c r="N21" s="141"/>
      <c r="O21" s="178"/>
      <c r="P21" s="199"/>
      <c r="Q21" s="200" t="n">
        <f aca="false">1-(0.4*0.41)</f>
        <v>0.836</v>
      </c>
      <c r="R21" s="201" t="n">
        <v>0</v>
      </c>
      <c r="S21" s="238" t="n">
        <f aca="false">1-SUM(Q21:R21)</f>
        <v>0.164</v>
      </c>
      <c r="T21" s="202" t="n">
        <v>0.1</v>
      </c>
      <c r="U21" s="202" t="n">
        <f aca="false">+S21-T21</f>
        <v>0.064</v>
      </c>
      <c r="V21" s="191"/>
      <c r="W21" s="192"/>
      <c r="X21" s="204"/>
      <c r="Y21" s="205"/>
      <c r="Z21" s="234" t="n">
        <f aca="false">+$AE21*Q21</f>
        <v>100.32</v>
      </c>
      <c r="AA21" s="234" t="n">
        <f aca="false">+$AE21*R21</f>
        <v>0</v>
      </c>
      <c r="AB21" s="234"/>
      <c r="AC21" s="234" t="n">
        <f aca="false">+$AE21*T21</f>
        <v>12</v>
      </c>
      <c r="AD21" s="234" t="n">
        <f aca="false">+$AE21*U21</f>
        <v>7.68</v>
      </c>
      <c r="AE21" s="206" t="n">
        <f aca="false">+'calculs et données'!O33</f>
        <v>120</v>
      </c>
      <c r="AF21" s="48"/>
      <c r="AG21" s="49"/>
      <c r="AH21" s="85" t="n">
        <f aca="false">+AE21/$AH$3</f>
        <v>0.00992397130549244</v>
      </c>
      <c r="AI21" s="85"/>
      <c r="AJ21" s="49"/>
      <c r="AK21" s="49"/>
    </row>
    <row r="22" customFormat="false" ht="12.75" hidden="false" customHeight="false" outlineLevel="0" collapsed="false">
      <c r="B22" s="133"/>
      <c r="C22" s="134"/>
      <c r="D22" s="181"/>
      <c r="E22" s="195"/>
      <c r="F22" s="196" t="s">
        <v>42</v>
      </c>
      <c r="G22" s="197"/>
      <c r="H22" s="197"/>
      <c r="I22" s="197" t="str">
        <f aca="false">+TEXT(AE22,"# ##0")&amp;" kg"</f>
        <v>76 kg</v>
      </c>
      <c r="J22" s="197"/>
      <c r="K22" s="130" t="n">
        <f aca="false">+AH22</f>
        <v>0.00628518182681188</v>
      </c>
      <c r="L22" s="198"/>
      <c r="M22" s="177"/>
      <c r="N22" s="141"/>
      <c r="O22" s="178"/>
      <c r="P22" s="199"/>
      <c r="Q22" s="200" t="n">
        <f aca="false">1-(0.4*0.41)</f>
        <v>0.836</v>
      </c>
      <c r="R22" s="201" t="n">
        <v>0</v>
      </c>
      <c r="S22" s="238" t="n">
        <f aca="false">1-SUM(Q22:R22)</f>
        <v>0.164</v>
      </c>
      <c r="T22" s="202" t="n">
        <v>0.1</v>
      </c>
      <c r="U22" s="202" t="n">
        <f aca="false">+S22-T22</f>
        <v>0.064</v>
      </c>
      <c r="V22" s="191"/>
      <c r="W22" s="192"/>
      <c r="X22" s="204"/>
      <c r="Y22" s="205"/>
      <c r="Z22" s="234" t="n">
        <f aca="false">+$AE22*Q22</f>
        <v>63.536</v>
      </c>
      <c r="AA22" s="234" t="n">
        <f aca="false">+$AE22*R22</f>
        <v>0</v>
      </c>
      <c r="AB22" s="234"/>
      <c r="AC22" s="234" t="n">
        <f aca="false">+$AE22*T22</f>
        <v>7.6</v>
      </c>
      <c r="AD22" s="234" t="n">
        <f aca="false">+$AE22*U22</f>
        <v>4.864</v>
      </c>
      <c r="AE22" s="206" t="n">
        <f aca="false">+'calculs et données'!O35</f>
        <v>76</v>
      </c>
      <c r="AF22" s="48"/>
      <c r="AG22" s="49"/>
      <c r="AH22" s="85" t="n">
        <f aca="false">+AE22/$AH$3</f>
        <v>0.00628518182681188</v>
      </c>
      <c r="AI22" s="85"/>
      <c r="AJ22" s="49"/>
      <c r="AK22" s="49"/>
    </row>
    <row r="23" customFormat="false" ht="13.5" hidden="false" customHeight="false" outlineLevel="0" collapsed="false">
      <c r="B23" s="133"/>
      <c r="C23" s="134"/>
      <c r="D23" s="181"/>
      <c r="E23" s="207"/>
      <c r="F23" s="208" t="s">
        <v>43</v>
      </c>
      <c r="G23" s="209"/>
      <c r="H23" s="209"/>
      <c r="I23" s="209" t="str">
        <f aca="false">+TEXT(AE23,"# ##0")&amp;" kg"</f>
        <v>28 kg</v>
      </c>
      <c r="J23" s="209"/>
      <c r="K23" s="210" t="n">
        <f aca="false">+AH23</f>
        <v>0.00229243737156875</v>
      </c>
      <c r="L23" s="211"/>
      <c r="M23" s="177"/>
      <c r="N23" s="141"/>
      <c r="O23" s="178"/>
      <c r="P23" s="212"/>
      <c r="Q23" s="213" t="n">
        <f aca="false">1-(0.4*0.41)</f>
        <v>0.836</v>
      </c>
      <c r="R23" s="214" t="n">
        <v>0</v>
      </c>
      <c r="S23" s="239" t="n">
        <f aca="false">1-SUM(Q23:R23)</f>
        <v>0.164</v>
      </c>
      <c r="T23" s="215" t="n">
        <v>0.1</v>
      </c>
      <c r="U23" s="215" t="n">
        <f aca="false">+S23-T23</f>
        <v>0.064</v>
      </c>
      <c r="V23" s="191"/>
      <c r="W23" s="192"/>
      <c r="X23" s="204"/>
      <c r="Y23" s="205"/>
      <c r="Z23" s="234" t="n">
        <f aca="false">+$AE23*Q23</f>
        <v>23.17392</v>
      </c>
      <c r="AA23" s="234" t="n">
        <f aca="false">+$AE23*R23</f>
        <v>0</v>
      </c>
      <c r="AB23" s="234"/>
      <c r="AC23" s="234" t="n">
        <f aca="false">+$AE23*T23</f>
        <v>2.772</v>
      </c>
      <c r="AD23" s="234" t="n">
        <f aca="false">+$AE23*U23</f>
        <v>1.77408</v>
      </c>
      <c r="AE23" s="206" t="n">
        <f aca="false">+'calculs et données'!O36</f>
        <v>27.72</v>
      </c>
      <c r="AF23" s="48"/>
      <c r="AG23" s="49"/>
      <c r="AH23" s="85" t="n">
        <f aca="false">+AE23/$AH$3</f>
        <v>0.00229243737156875</v>
      </c>
      <c r="AI23" s="85"/>
      <c r="AJ23" s="49"/>
      <c r="AK23" s="49"/>
    </row>
    <row r="24" customFormat="false" ht="13.5" hidden="false" customHeight="false" outlineLevel="0" collapsed="false">
      <c r="B24" s="133"/>
      <c r="C24" s="134"/>
      <c r="D24" s="181"/>
      <c r="E24" s="218"/>
      <c r="F24" s="219"/>
      <c r="G24" s="175"/>
      <c r="H24" s="175"/>
      <c r="I24" s="175"/>
      <c r="J24" s="175"/>
      <c r="K24" s="175"/>
      <c r="L24" s="175"/>
      <c r="M24" s="177"/>
      <c r="N24" s="141"/>
      <c r="O24" s="178"/>
      <c r="P24" s="175"/>
      <c r="Q24" s="235"/>
      <c r="R24" s="235"/>
      <c r="S24" s="235"/>
      <c r="T24" s="235"/>
      <c r="U24" s="235"/>
      <c r="V24" s="240"/>
      <c r="W24" s="241"/>
      <c r="X24" s="204"/>
      <c r="Y24" s="205"/>
      <c r="Z24" s="234"/>
      <c r="AA24" s="234"/>
      <c r="AB24" s="234"/>
      <c r="AC24" s="234"/>
      <c r="AD24" s="234"/>
      <c r="AE24" s="206"/>
      <c r="AF24" s="48"/>
      <c r="AG24" s="49"/>
      <c r="AH24" s="49"/>
      <c r="AI24" s="49"/>
      <c r="AJ24" s="49"/>
      <c r="AK24" s="49"/>
    </row>
    <row r="25" customFormat="false" ht="12.75" hidden="false" customHeight="true" outlineLevel="0" collapsed="false">
      <c r="B25" s="133"/>
      <c r="C25" s="134"/>
      <c r="D25" s="181"/>
      <c r="E25" s="182" t="s">
        <v>156</v>
      </c>
      <c r="F25" s="183"/>
      <c r="G25" s="184"/>
      <c r="H25" s="185" t="str">
        <f aca="false">+TEXT(AF25,"# ##0")&amp;" kg"</f>
        <v>1 144 kg</v>
      </c>
      <c r="I25" s="184"/>
      <c r="J25" s="184"/>
      <c r="K25" s="186" t="n">
        <f aca="false">+AH25</f>
        <v>0.0945837165174309</v>
      </c>
      <c r="L25" s="187"/>
      <c r="M25" s="177"/>
      <c r="N25" s="141"/>
      <c r="O25" s="178"/>
      <c r="P25" s="188"/>
      <c r="Q25" s="189"/>
      <c r="R25" s="190"/>
      <c r="S25" s="237"/>
      <c r="T25" s="189"/>
      <c r="U25" s="189"/>
      <c r="V25" s="242" t="n">
        <v>4</v>
      </c>
      <c r="W25" s="243"/>
      <c r="X25" s="204"/>
      <c r="Y25" s="205"/>
      <c r="Z25" s="234"/>
      <c r="AA25" s="234"/>
      <c r="AB25" s="234"/>
      <c r="AC25" s="234"/>
      <c r="AD25" s="234"/>
      <c r="AE25" s="206"/>
      <c r="AF25" s="48" t="n">
        <f aca="false">+SUM(AE26:AE30)</f>
        <v>1143.7</v>
      </c>
      <c r="AG25" s="49"/>
      <c r="AH25" s="193" t="n">
        <f aca="false">+AF25/$AH$3</f>
        <v>0.0945837165174309</v>
      </c>
      <c r="AI25" s="193"/>
      <c r="AJ25" s="49"/>
      <c r="AK25" s="49"/>
    </row>
    <row r="26" customFormat="false" ht="12.75" hidden="false" customHeight="true" outlineLevel="0" collapsed="false">
      <c r="B26" s="133"/>
      <c r="C26" s="134"/>
      <c r="D26" s="181"/>
      <c r="E26" s="195"/>
      <c r="F26" s="196" t="s">
        <v>157</v>
      </c>
      <c r="G26" s="197"/>
      <c r="H26" s="197"/>
      <c r="I26" s="197" t="str">
        <f aca="false">+TEXT(AE26,"# ##0")&amp;" kg"</f>
        <v>168 kg</v>
      </c>
      <c r="J26" s="197"/>
      <c r="K26" s="130" t="n">
        <f aca="false">+AH26</f>
        <v>0.0139183697559532</v>
      </c>
      <c r="L26" s="198"/>
      <c r="M26" s="177"/>
      <c r="N26" s="141"/>
      <c r="O26" s="178"/>
      <c r="P26" s="199"/>
      <c r="Q26" s="200" t="n">
        <f aca="false">1-(0.4*0.65)</f>
        <v>0.74</v>
      </c>
      <c r="R26" s="201" t="n">
        <v>0</v>
      </c>
      <c r="S26" s="238" t="n">
        <f aca="false">1-SUM(Q26:R26)</f>
        <v>0.26</v>
      </c>
      <c r="T26" s="202" t="n">
        <v>0.2</v>
      </c>
      <c r="U26" s="202" t="n">
        <f aca="false">+S26-T26</f>
        <v>0.06</v>
      </c>
      <c r="V26" s="242"/>
      <c r="W26" s="243"/>
      <c r="X26" s="204"/>
      <c r="Y26" s="205"/>
      <c r="Z26" s="234" t="n">
        <f aca="false">+$AE26*Q26</f>
        <v>124.542</v>
      </c>
      <c r="AA26" s="234" t="n">
        <f aca="false">+$AE26*R26</f>
        <v>0</v>
      </c>
      <c r="AB26" s="234"/>
      <c r="AC26" s="234" t="n">
        <f aca="false">+$AE26*T26</f>
        <v>33.66</v>
      </c>
      <c r="AD26" s="234" t="n">
        <f aca="false">+$AE26*U26</f>
        <v>10.098</v>
      </c>
      <c r="AE26" s="206" t="n">
        <f aca="false">+'calculs et données'!O39</f>
        <v>168.3</v>
      </c>
      <c r="AF26" s="48"/>
      <c r="AG26" s="49"/>
      <c r="AH26" s="85" t="n">
        <f aca="false">+AE26/$AH$3</f>
        <v>0.0139183697559532</v>
      </c>
      <c r="AI26" s="85"/>
      <c r="AJ26" s="49"/>
      <c r="AK26" s="49"/>
    </row>
    <row r="27" customFormat="false" ht="12.75" hidden="false" customHeight="false" outlineLevel="0" collapsed="false">
      <c r="B27" s="133"/>
      <c r="C27" s="134"/>
      <c r="D27" s="181"/>
      <c r="E27" s="195"/>
      <c r="F27" s="196" t="s">
        <v>158</v>
      </c>
      <c r="G27" s="197"/>
      <c r="H27" s="197"/>
      <c r="I27" s="197" t="str">
        <f aca="false">+TEXT(AE27,"# ##0")&amp;" kg"</f>
        <v>650 kg</v>
      </c>
      <c r="J27" s="197"/>
      <c r="K27" s="130" t="n">
        <f aca="false">+AH27</f>
        <v>0.0537631145475053</v>
      </c>
      <c r="L27" s="198"/>
      <c r="M27" s="177"/>
      <c r="N27" s="141"/>
      <c r="O27" s="178"/>
      <c r="P27" s="199"/>
      <c r="Q27" s="200" t="n">
        <f aca="false">1-(0.66*0.65)</f>
        <v>0.571</v>
      </c>
      <c r="R27" s="201" t="n">
        <v>0</v>
      </c>
      <c r="S27" s="238" t="n">
        <f aca="false">1-SUM(Q27:R27)</f>
        <v>0.429</v>
      </c>
      <c r="T27" s="202" t="n">
        <v>0.3</v>
      </c>
      <c r="U27" s="202" t="n">
        <f aca="false">+S27-T27</f>
        <v>0.129</v>
      </c>
      <c r="V27" s="242"/>
      <c r="W27" s="243"/>
      <c r="X27" s="204"/>
      <c r="Y27" s="205"/>
      <c r="Z27" s="234" t="n">
        <f aca="false">+$AE27*Q27</f>
        <v>371.2071</v>
      </c>
      <c r="AA27" s="234" t="n">
        <f aca="false">+$AE27*R27</f>
        <v>0</v>
      </c>
      <c r="AB27" s="234"/>
      <c r="AC27" s="234" t="n">
        <f aca="false">+$AE27*T27</f>
        <v>195.03</v>
      </c>
      <c r="AD27" s="234" t="n">
        <f aca="false">+$AE27*U27</f>
        <v>83.8629</v>
      </c>
      <c r="AE27" s="206" t="n">
        <f aca="false">+'calculs et données'!O42+'calculs et données'!O43+'calculs et données'!O44</f>
        <v>650.1</v>
      </c>
      <c r="AF27" s="48"/>
      <c r="AG27" s="49"/>
      <c r="AH27" s="85" t="n">
        <f aca="false">+AE27/$AH$3</f>
        <v>0.0537631145475053</v>
      </c>
      <c r="AI27" s="85"/>
      <c r="AJ27" s="49"/>
      <c r="AK27" s="49"/>
    </row>
    <row r="28" customFormat="false" ht="12.75" hidden="false" customHeight="false" outlineLevel="0" collapsed="false">
      <c r="B28" s="133"/>
      <c r="C28" s="134"/>
      <c r="D28" s="181"/>
      <c r="E28" s="195"/>
      <c r="F28" s="196" t="s">
        <v>48</v>
      </c>
      <c r="G28" s="197"/>
      <c r="H28" s="197"/>
      <c r="I28" s="197" t="str">
        <f aca="false">+TEXT(AE28,"# ##0")&amp;" kg"</f>
        <v>199 kg</v>
      </c>
      <c r="J28" s="197"/>
      <c r="K28" s="130" t="n">
        <f aca="false">+AH28</f>
        <v>0.0164655223910295</v>
      </c>
      <c r="L28" s="198"/>
      <c r="M28" s="177"/>
      <c r="N28" s="141"/>
      <c r="O28" s="178"/>
      <c r="P28" s="199"/>
      <c r="Q28" s="200" t="n">
        <f aca="false">1-(0.66*0.65)</f>
        <v>0.571</v>
      </c>
      <c r="R28" s="201" t="n">
        <v>0</v>
      </c>
      <c r="S28" s="238" t="n">
        <f aca="false">1-SUM(Q28:R28)</f>
        <v>0.429</v>
      </c>
      <c r="T28" s="202" t="n">
        <v>0.3</v>
      </c>
      <c r="U28" s="202" t="n">
        <f aca="false">+S28-T28</f>
        <v>0.129</v>
      </c>
      <c r="V28" s="242"/>
      <c r="W28" s="243"/>
      <c r="X28" s="204"/>
      <c r="Y28" s="205"/>
      <c r="Z28" s="234" t="n">
        <f aca="false">+$AE28*Q28</f>
        <v>113.6861</v>
      </c>
      <c r="AA28" s="234" t="n">
        <f aca="false">+$AE28*R28</f>
        <v>0</v>
      </c>
      <c r="AB28" s="234"/>
      <c r="AC28" s="234" t="n">
        <f aca="false">+$AE28*T28</f>
        <v>59.73</v>
      </c>
      <c r="AD28" s="234" t="n">
        <f aca="false">+$AE28*U28</f>
        <v>25.6839</v>
      </c>
      <c r="AE28" s="206" t="n">
        <f aca="false">+'calculs et données'!O40</f>
        <v>199.1</v>
      </c>
      <c r="AF28" s="48"/>
      <c r="AG28" s="49"/>
      <c r="AH28" s="85" t="n">
        <f aca="false">+AE28/$AH$3</f>
        <v>0.0164655223910295</v>
      </c>
      <c r="AI28" s="85"/>
      <c r="AJ28" s="49"/>
      <c r="AK28" s="49"/>
    </row>
    <row r="29" customFormat="false" ht="12.75" hidden="false" customHeight="false" outlineLevel="0" collapsed="false">
      <c r="B29" s="133"/>
      <c r="C29" s="134"/>
      <c r="D29" s="181"/>
      <c r="E29" s="195"/>
      <c r="F29" s="196" t="s">
        <v>50</v>
      </c>
      <c r="G29" s="197"/>
      <c r="H29" s="197"/>
      <c r="I29" s="197" t="str">
        <f aca="false">+TEXT(AE29,"# ##0")&amp;" kg"</f>
        <v>109 kg</v>
      </c>
      <c r="J29" s="197"/>
      <c r="K29" s="130" t="n">
        <f aca="false">+AH29</f>
        <v>0.00903081388799812</v>
      </c>
      <c r="L29" s="198"/>
      <c r="M29" s="177"/>
      <c r="N29" s="141"/>
      <c r="O29" s="178"/>
      <c r="P29" s="199"/>
      <c r="Q29" s="200" t="n">
        <v>0.85</v>
      </c>
      <c r="R29" s="201" t="n">
        <v>0</v>
      </c>
      <c r="S29" s="238" t="n">
        <f aca="false">1-SUM(Q29:R29)</f>
        <v>0.15</v>
      </c>
      <c r="T29" s="202" t="n">
        <v>0.1</v>
      </c>
      <c r="U29" s="202" t="n">
        <f aca="false">+S29-T29</f>
        <v>0.05</v>
      </c>
      <c r="V29" s="242"/>
      <c r="W29" s="243"/>
      <c r="X29" s="204"/>
      <c r="Y29" s="205"/>
      <c r="Z29" s="234" t="n">
        <f aca="false">+$AE29*Q29</f>
        <v>92.82</v>
      </c>
      <c r="AA29" s="234" t="n">
        <f aca="false">+$AE29*R29</f>
        <v>0</v>
      </c>
      <c r="AB29" s="234"/>
      <c r="AC29" s="234" t="n">
        <f aca="false">+$AE29*T29</f>
        <v>10.92</v>
      </c>
      <c r="AD29" s="234" t="n">
        <f aca="false">+$AE29*U29</f>
        <v>5.46</v>
      </c>
      <c r="AE29" s="206" t="n">
        <f aca="false">+'calculs et données'!O41</f>
        <v>109.2</v>
      </c>
      <c r="AF29" s="48"/>
      <c r="AG29" s="49"/>
      <c r="AH29" s="85" t="n">
        <f aca="false">+AE29/$AH$3</f>
        <v>0.00903081388799812</v>
      </c>
      <c r="AI29" s="85"/>
      <c r="AJ29" s="49"/>
      <c r="AK29" s="49"/>
    </row>
    <row r="30" customFormat="false" ht="13.5" hidden="false" customHeight="false" outlineLevel="0" collapsed="false">
      <c r="B30" s="133"/>
      <c r="C30" s="134"/>
      <c r="D30" s="181"/>
      <c r="E30" s="207"/>
      <c r="F30" s="208" t="s">
        <v>54</v>
      </c>
      <c r="G30" s="209"/>
      <c r="H30" s="209"/>
      <c r="I30" s="209" t="str">
        <f aca="false">+TEXT(AE30,"# ##0")&amp;" kg"</f>
        <v>17 kg</v>
      </c>
      <c r="J30" s="209"/>
      <c r="K30" s="210" t="n">
        <f aca="false">+AH30</f>
        <v>0.00140589593494476</v>
      </c>
      <c r="L30" s="211"/>
      <c r="M30" s="177"/>
      <c r="N30" s="141"/>
      <c r="O30" s="178"/>
      <c r="P30" s="212"/>
      <c r="Q30" s="213" t="n">
        <f aca="false">1-(0.66*0.65)</f>
        <v>0.571</v>
      </c>
      <c r="R30" s="214" t="n">
        <v>0</v>
      </c>
      <c r="S30" s="239" t="n">
        <f aca="false">1-SUM(Q30:R30)</f>
        <v>0.429</v>
      </c>
      <c r="T30" s="215" t="n">
        <v>0.3</v>
      </c>
      <c r="U30" s="215" t="n">
        <f aca="false">+S30-T30</f>
        <v>0.129</v>
      </c>
      <c r="V30" s="242"/>
      <c r="W30" s="243"/>
      <c r="X30" s="204"/>
      <c r="Y30" s="205"/>
      <c r="Z30" s="234" t="n">
        <f aca="false">+$AE30*Q30</f>
        <v>9.707</v>
      </c>
      <c r="AA30" s="234" t="n">
        <f aca="false">+$AE30*R30</f>
        <v>0</v>
      </c>
      <c r="AB30" s="234"/>
      <c r="AC30" s="234" t="n">
        <f aca="false">+$AE30*T30</f>
        <v>5.1</v>
      </c>
      <c r="AD30" s="234" t="n">
        <f aca="false">+$AE30*U30</f>
        <v>2.193</v>
      </c>
      <c r="AE30" s="206" t="n">
        <f aca="false">+'calculs et données'!O45</f>
        <v>17</v>
      </c>
      <c r="AF30" s="48"/>
      <c r="AG30" s="49"/>
      <c r="AH30" s="85" t="n">
        <f aca="false">+AE30/$AH$3</f>
        <v>0.00140589593494476</v>
      </c>
      <c r="AI30" s="85"/>
      <c r="AJ30" s="49"/>
      <c r="AK30" s="49"/>
    </row>
    <row r="31" customFormat="false" ht="13.5" hidden="false" customHeight="false" outlineLevel="0" collapsed="false">
      <c r="B31" s="133"/>
      <c r="C31" s="134"/>
      <c r="D31" s="244"/>
      <c r="E31" s="245"/>
      <c r="F31" s="245"/>
      <c r="G31" s="245"/>
      <c r="H31" s="245"/>
      <c r="I31" s="245"/>
      <c r="J31" s="245"/>
      <c r="K31" s="245"/>
      <c r="L31" s="245"/>
      <c r="M31" s="246"/>
      <c r="N31" s="141"/>
      <c r="O31" s="247"/>
      <c r="P31" s="248"/>
      <c r="Q31" s="249"/>
      <c r="R31" s="249"/>
      <c r="S31" s="249"/>
      <c r="T31" s="249"/>
      <c r="U31" s="249"/>
      <c r="V31" s="250"/>
      <c r="W31" s="251"/>
      <c r="X31" s="204"/>
      <c r="Y31" s="205"/>
      <c r="Z31" s="234"/>
      <c r="AA31" s="234"/>
      <c r="AB31" s="234"/>
      <c r="AC31" s="234"/>
      <c r="AD31" s="234"/>
      <c r="AE31" s="206"/>
      <c r="AF31" s="48"/>
      <c r="AG31" s="49"/>
      <c r="AH31" s="85"/>
      <c r="AI31" s="85"/>
      <c r="AJ31" s="49"/>
      <c r="AK31" s="49"/>
    </row>
    <row r="32" customFormat="false" ht="14.25" hidden="false" customHeight="false" outlineLevel="0" collapsed="false">
      <c r="B32" s="133"/>
      <c r="C32" s="134"/>
      <c r="D32" s="252"/>
      <c r="E32" s="252"/>
      <c r="F32" s="253"/>
      <c r="G32" s="254"/>
      <c r="H32" s="254"/>
      <c r="I32" s="254"/>
      <c r="J32" s="254"/>
      <c r="K32" s="254"/>
      <c r="L32" s="254"/>
      <c r="M32" s="254"/>
      <c r="N32" s="141"/>
      <c r="O32" s="133"/>
      <c r="P32" s="140"/>
      <c r="Q32" s="255"/>
      <c r="R32" s="255"/>
      <c r="S32" s="255"/>
      <c r="T32" s="255"/>
      <c r="U32" s="255"/>
      <c r="V32" s="256"/>
      <c r="W32" s="256"/>
      <c r="X32" s="204"/>
      <c r="Y32" s="205"/>
      <c r="Z32" s="234"/>
      <c r="AA32" s="234"/>
      <c r="AB32" s="234"/>
      <c r="AC32" s="234"/>
      <c r="AD32" s="234"/>
      <c r="AE32" s="257"/>
      <c r="AF32" s="72"/>
      <c r="AG32" s="49"/>
      <c r="AH32" s="49"/>
      <c r="AI32" s="49"/>
      <c r="AJ32" s="49"/>
      <c r="AK32" s="49"/>
    </row>
    <row r="33" customFormat="false" ht="13.5" hidden="false" customHeight="false" outlineLevel="0" collapsed="false">
      <c r="B33" s="133"/>
      <c r="C33" s="134"/>
      <c r="D33" s="161" t="s">
        <v>55</v>
      </c>
      <c r="E33" s="162"/>
      <c r="F33" s="163"/>
      <c r="G33" s="164" t="str">
        <f aca="false">+TEXT(AG33,"# ##0")&amp;" kg"</f>
        <v>2 626 kg</v>
      </c>
      <c r="H33" s="163"/>
      <c r="I33" s="163"/>
      <c r="J33" s="163"/>
      <c r="K33" s="165" t="n">
        <f aca="false">+AH33</f>
        <v>0.21713224628806</v>
      </c>
      <c r="L33" s="166"/>
      <c r="M33" s="167"/>
      <c r="N33" s="141"/>
      <c r="O33" s="168"/>
      <c r="P33" s="169"/>
      <c r="Q33" s="258"/>
      <c r="R33" s="258"/>
      <c r="S33" s="258"/>
      <c r="T33" s="258"/>
      <c r="U33" s="258"/>
      <c r="V33" s="259"/>
      <c r="W33" s="260"/>
      <c r="X33" s="204"/>
      <c r="Y33" s="205"/>
      <c r="Z33" s="234"/>
      <c r="AA33" s="234"/>
      <c r="AB33" s="234"/>
      <c r="AC33" s="234"/>
      <c r="AD33" s="234"/>
      <c r="AE33" s="261"/>
      <c r="AF33" s="74"/>
      <c r="AG33" s="35" t="n">
        <f aca="false">+SUM(AE35:AE41)</f>
        <v>2625.54865914883</v>
      </c>
      <c r="AH33" s="36" t="n">
        <f aca="false">+AG33/$AH$3</f>
        <v>0.21713224628806</v>
      </c>
      <c r="AI33" s="36"/>
      <c r="AJ33" s="194"/>
      <c r="AK33" s="194"/>
    </row>
    <row r="34" customFormat="false" ht="13.5" hidden="false" customHeight="false" outlineLevel="0" collapsed="false">
      <c r="B34" s="133"/>
      <c r="C34" s="134"/>
      <c r="D34" s="171"/>
      <c r="E34" s="218"/>
      <c r="F34" s="175"/>
      <c r="G34" s="174"/>
      <c r="H34" s="175"/>
      <c r="I34" s="175"/>
      <c r="J34" s="175"/>
      <c r="K34" s="175"/>
      <c r="L34" s="175"/>
      <c r="M34" s="177"/>
      <c r="N34" s="141"/>
      <c r="O34" s="178"/>
      <c r="P34" s="175"/>
      <c r="Q34" s="235"/>
      <c r="R34" s="235"/>
      <c r="S34" s="235"/>
      <c r="T34" s="235"/>
      <c r="U34" s="235"/>
      <c r="V34" s="240"/>
      <c r="W34" s="241"/>
      <c r="X34" s="204"/>
      <c r="Y34" s="205"/>
      <c r="Z34" s="234"/>
      <c r="AA34" s="234"/>
      <c r="AB34" s="234"/>
      <c r="AC34" s="234"/>
      <c r="AD34" s="234"/>
      <c r="AE34" s="206"/>
      <c r="AF34" s="48"/>
      <c r="AG34" s="35"/>
      <c r="AH34" s="36"/>
      <c r="AI34" s="36"/>
      <c r="AJ34" s="194"/>
      <c r="AK34" s="194"/>
    </row>
    <row r="35" customFormat="false" ht="13.5" hidden="false" customHeight="false" outlineLevel="0" collapsed="false">
      <c r="B35" s="133"/>
      <c r="C35" s="134"/>
      <c r="D35" s="181"/>
      <c r="E35" s="262" t="s">
        <v>56</v>
      </c>
      <c r="F35" s="263"/>
      <c r="G35" s="264"/>
      <c r="H35" s="265" t="str">
        <f aca="false">+TEXT(AF35,"# ##0")&amp;" kg"</f>
        <v>763 kg</v>
      </c>
      <c r="I35" s="264"/>
      <c r="J35" s="264"/>
      <c r="K35" s="266" t="n">
        <f aca="false">+AH35</f>
        <v>0.0631302683629987</v>
      </c>
      <c r="L35" s="267"/>
      <c r="M35" s="177"/>
      <c r="N35" s="141"/>
      <c r="O35" s="178"/>
      <c r="P35" s="268"/>
      <c r="Q35" s="269" t="n">
        <v>0.2</v>
      </c>
      <c r="R35" s="270"/>
      <c r="S35" s="271" t="n">
        <f aca="false">1-SUM(Q35:R35)</f>
        <v>0.8</v>
      </c>
      <c r="T35" s="272" t="n">
        <v>0.3</v>
      </c>
      <c r="U35" s="273" t="n">
        <f aca="false">+S35-T35</f>
        <v>0.5</v>
      </c>
      <c r="V35" s="274" t="n">
        <v>5</v>
      </c>
      <c r="W35" s="192"/>
      <c r="X35" s="204"/>
      <c r="Y35" s="205"/>
      <c r="Z35" s="234" t="n">
        <f aca="false">+$AE35*Q35</f>
        <v>152.6734</v>
      </c>
      <c r="AA35" s="234" t="n">
        <f aca="false">+$AE35*R35</f>
        <v>0</v>
      </c>
      <c r="AB35" s="234"/>
      <c r="AC35" s="234" t="n">
        <f aca="false">+$AE35*T35</f>
        <v>229.0101</v>
      </c>
      <c r="AD35" s="234" t="n">
        <f aca="false">+$AE35*U35</f>
        <v>381.6835</v>
      </c>
      <c r="AE35" s="206" t="n">
        <f aca="false">+'calculs et données'!O49</f>
        <v>763.367</v>
      </c>
      <c r="AF35" s="48" t="n">
        <f aca="false">+AE35</f>
        <v>763.367</v>
      </c>
      <c r="AG35" s="49"/>
      <c r="AH35" s="85" t="n">
        <f aca="false">+AE35/$AH$3</f>
        <v>0.0631302683629987</v>
      </c>
      <c r="AI35" s="85"/>
      <c r="AJ35" s="49"/>
      <c r="AK35" s="49"/>
    </row>
    <row r="36" customFormat="false" ht="13.5" hidden="false" customHeight="false" outlineLevel="0" collapsed="false">
      <c r="B36" s="133"/>
      <c r="C36" s="134"/>
      <c r="D36" s="181"/>
      <c r="E36" s="218"/>
      <c r="F36" s="219"/>
      <c r="G36" s="175"/>
      <c r="H36" s="218"/>
      <c r="I36" s="175"/>
      <c r="J36" s="175"/>
      <c r="K36" s="176"/>
      <c r="L36" s="175"/>
      <c r="M36" s="177"/>
      <c r="N36" s="141"/>
      <c r="O36" s="178"/>
      <c r="P36" s="175"/>
      <c r="Q36" s="235"/>
      <c r="R36" s="235"/>
      <c r="S36" s="235"/>
      <c r="T36" s="235"/>
      <c r="U36" s="235"/>
      <c r="V36" s="236"/>
      <c r="W36" s="232"/>
      <c r="X36" s="204"/>
      <c r="Y36" s="205"/>
      <c r="Z36" s="234"/>
      <c r="AA36" s="234"/>
      <c r="AB36" s="234"/>
      <c r="AC36" s="234"/>
      <c r="AD36" s="234"/>
      <c r="AE36" s="206"/>
      <c r="AF36" s="48"/>
      <c r="AG36" s="49"/>
      <c r="AH36" s="85"/>
      <c r="AI36" s="85"/>
      <c r="AJ36" s="49"/>
      <c r="AK36" s="49"/>
    </row>
    <row r="37" customFormat="false" ht="12.75" hidden="false" customHeight="false" outlineLevel="0" collapsed="false">
      <c r="B37" s="133"/>
      <c r="C37" s="134"/>
      <c r="D37" s="181"/>
      <c r="E37" s="182" t="s">
        <v>159</v>
      </c>
      <c r="F37" s="184"/>
      <c r="G37" s="184"/>
      <c r="H37" s="185" t="str">
        <f aca="false">+TEXT(AF37,"# ##0")&amp;" kg"</f>
        <v>1 716 kg</v>
      </c>
      <c r="I37" s="184"/>
      <c r="J37" s="184"/>
      <c r="K37" s="186" t="n">
        <f aca="false">+AH37</f>
        <v>0.141931446734596</v>
      </c>
      <c r="L37" s="187"/>
      <c r="M37" s="177"/>
      <c r="N37" s="141"/>
      <c r="O37" s="178"/>
      <c r="P37" s="188"/>
      <c r="Q37" s="189"/>
      <c r="R37" s="189"/>
      <c r="S37" s="275"/>
      <c r="T37" s="276"/>
      <c r="U37" s="277"/>
      <c r="V37" s="274" t="n">
        <v>6</v>
      </c>
      <c r="W37" s="232"/>
      <c r="X37" s="204"/>
      <c r="Y37" s="205"/>
      <c r="Z37" s="234"/>
      <c r="AA37" s="234"/>
      <c r="AB37" s="234"/>
      <c r="AC37" s="234"/>
      <c r="AD37" s="234"/>
      <c r="AE37" s="206"/>
      <c r="AF37" s="48" t="n">
        <f aca="false">+SUM(AE38:AE40)</f>
        <v>1716.2256</v>
      </c>
      <c r="AG37" s="84"/>
      <c r="AH37" s="193" t="n">
        <f aca="false">+AF37/$AH$3</f>
        <v>0.141931446734596</v>
      </c>
      <c r="AI37" s="193"/>
      <c r="AJ37" s="194"/>
      <c r="AK37" s="194"/>
    </row>
    <row r="38" customFormat="false" ht="12.75" hidden="false" customHeight="false" outlineLevel="0" collapsed="false">
      <c r="B38" s="133"/>
      <c r="C38" s="134"/>
      <c r="D38" s="181"/>
      <c r="E38" s="195"/>
      <c r="F38" s="196" t="s">
        <v>160</v>
      </c>
      <c r="G38" s="197"/>
      <c r="H38" s="197"/>
      <c r="I38" s="197" t="str">
        <f aca="false">+TEXT(AE38,"# ##0")&amp;" kg"</f>
        <v>1 034 kg</v>
      </c>
      <c r="J38" s="197"/>
      <c r="K38" s="130" t="n">
        <f aca="false">+AH38</f>
        <v>0.0854930280025563</v>
      </c>
      <c r="L38" s="198"/>
      <c r="M38" s="177"/>
      <c r="N38" s="141"/>
      <c r="O38" s="178"/>
      <c r="P38" s="199"/>
      <c r="Q38" s="200" t="n">
        <v>0</v>
      </c>
      <c r="R38" s="200" t="n">
        <v>0.15</v>
      </c>
      <c r="S38" s="238" t="n">
        <f aca="false">1-SUM(Q38:R38)</f>
        <v>0.85</v>
      </c>
      <c r="T38" s="202" t="n">
        <v>0.3</v>
      </c>
      <c r="U38" s="203" t="n">
        <f aca="false">+S38-T38</f>
        <v>0.55</v>
      </c>
      <c r="V38" s="274"/>
      <c r="W38" s="192"/>
      <c r="X38" s="204"/>
      <c r="Y38" s="205"/>
      <c r="Z38" s="234" t="n">
        <f aca="false">+$AE38*Q38</f>
        <v>0</v>
      </c>
      <c r="AA38" s="234" t="n">
        <f aca="false">+$AE38*R38</f>
        <v>155.0664</v>
      </c>
      <c r="AB38" s="234"/>
      <c r="AC38" s="234" t="n">
        <f aca="false">+$AE38*T38</f>
        <v>310.1328</v>
      </c>
      <c r="AD38" s="234" t="n">
        <f aca="false">+$AE38*U38</f>
        <v>568.5768</v>
      </c>
      <c r="AE38" s="206" t="n">
        <f aca="false">+'calculs et données'!O52</f>
        <v>1033.776</v>
      </c>
      <c r="AF38" s="48"/>
      <c r="AG38" s="49"/>
      <c r="AH38" s="85" t="n">
        <f aca="false">+AE38/$AH$3</f>
        <v>0.0854930280025563</v>
      </c>
      <c r="AI38" s="85"/>
      <c r="AJ38" s="49"/>
      <c r="AK38" s="49"/>
    </row>
    <row r="39" customFormat="false" ht="12.75" hidden="false" customHeight="false" outlineLevel="0" collapsed="false">
      <c r="B39" s="133"/>
      <c r="C39" s="134"/>
      <c r="D39" s="181"/>
      <c r="E39" s="195"/>
      <c r="F39" s="196" t="s">
        <v>70</v>
      </c>
      <c r="G39" s="197"/>
      <c r="H39" s="197"/>
      <c r="I39" s="197" t="str">
        <f aca="false">+TEXT(AE39,"# ##0")&amp;" kg"</f>
        <v>532 kg</v>
      </c>
      <c r="J39" s="197"/>
      <c r="K39" s="130" t="n">
        <f aca="false">+AH39</f>
        <v>0.0439706854816672</v>
      </c>
      <c r="L39" s="198"/>
      <c r="M39" s="177"/>
      <c r="N39" s="141"/>
      <c r="O39" s="178"/>
      <c r="P39" s="199"/>
      <c r="Q39" s="200" t="n">
        <v>0</v>
      </c>
      <c r="R39" s="200" t="n">
        <v>0.15</v>
      </c>
      <c r="S39" s="238" t="n">
        <f aca="false">1-SUM(Q39:R39)</f>
        <v>0.85</v>
      </c>
      <c r="T39" s="202" t="n">
        <v>0.3</v>
      </c>
      <c r="U39" s="203" t="n">
        <f aca="false">+S39-T39</f>
        <v>0.55</v>
      </c>
      <c r="V39" s="274"/>
      <c r="W39" s="192"/>
      <c r="X39" s="204"/>
      <c r="Y39" s="205"/>
      <c r="Z39" s="234" t="n">
        <f aca="false">+$AE39*Q39</f>
        <v>0</v>
      </c>
      <c r="AA39" s="234" t="n">
        <f aca="false">+$AE39*R39</f>
        <v>79.75359</v>
      </c>
      <c r="AB39" s="234"/>
      <c r="AC39" s="234" t="n">
        <f aca="false">+$AE39*T39</f>
        <v>159.50718</v>
      </c>
      <c r="AD39" s="234" t="n">
        <f aca="false">+$AE39*U39</f>
        <v>292.42983</v>
      </c>
      <c r="AE39" s="206" t="n">
        <f aca="false">+'calculs et données'!O58</f>
        <v>531.6906</v>
      </c>
      <c r="AF39" s="48"/>
      <c r="AG39" s="49"/>
      <c r="AH39" s="85" t="n">
        <f aca="false">+AE39/$AH$3</f>
        <v>0.0439706854816672</v>
      </c>
      <c r="AI39" s="85"/>
      <c r="AJ39" s="49"/>
      <c r="AK39" s="49"/>
    </row>
    <row r="40" customFormat="false" ht="12.75" hidden="false" customHeight="false" outlineLevel="0" collapsed="false">
      <c r="B40" s="133"/>
      <c r="C40" s="134"/>
      <c r="D40" s="181"/>
      <c r="E40" s="195"/>
      <c r="F40" s="196" t="s">
        <v>161</v>
      </c>
      <c r="G40" s="197"/>
      <c r="H40" s="197"/>
      <c r="I40" s="197" t="str">
        <f aca="false">+TEXT(AE40,"# ##0")&amp;" kg"</f>
        <v>151 kg</v>
      </c>
      <c r="J40" s="197"/>
      <c r="K40" s="130" t="n">
        <f aca="false">+AH40</f>
        <v>0.0124677332503728</v>
      </c>
      <c r="L40" s="198"/>
      <c r="M40" s="177"/>
      <c r="N40" s="141"/>
      <c r="O40" s="178"/>
      <c r="P40" s="199"/>
      <c r="Q40" s="200" t="n">
        <v>0</v>
      </c>
      <c r="R40" s="200" t="n">
        <v>0.15</v>
      </c>
      <c r="S40" s="238" t="n">
        <f aca="false">1-SUM(Q40:R40)</f>
        <v>0.85</v>
      </c>
      <c r="T40" s="202" t="n">
        <v>0.3</v>
      </c>
      <c r="U40" s="203" t="n">
        <f aca="false">+S40-T40</f>
        <v>0.55</v>
      </c>
      <c r="V40" s="274"/>
      <c r="W40" s="192"/>
      <c r="X40" s="204"/>
      <c r="Y40" s="205"/>
      <c r="Z40" s="234" t="n">
        <f aca="false">+$AE40*Q40</f>
        <v>0</v>
      </c>
      <c r="AA40" s="234" t="n">
        <f aca="false">+$AE40*R40</f>
        <v>22.61385</v>
      </c>
      <c r="AB40" s="234"/>
      <c r="AC40" s="234" t="n">
        <f aca="false">+$AE40*T40</f>
        <v>45.2277</v>
      </c>
      <c r="AD40" s="234" t="n">
        <f aca="false">+$AE40*U40</f>
        <v>82.91745</v>
      </c>
      <c r="AE40" s="206" t="n">
        <f aca="false">+SUM('calculs et données'!O54:O57)</f>
        <v>150.759</v>
      </c>
      <c r="AF40" s="48"/>
      <c r="AG40" s="49"/>
      <c r="AH40" s="85" t="n">
        <f aca="false">+AE40/$AH$3</f>
        <v>0.0124677332503728</v>
      </c>
      <c r="AI40" s="85"/>
      <c r="AJ40" s="49"/>
      <c r="AK40" s="49"/>
    </row>
    <row r="41" customFormat="false" ht="13.5" hidden="false" customHeight="false" outlineLevel="0" collapsed="false">
      <c r="B41" s="133"/>
      <c r="C41" s="134"/>
      <c r="D41" s="181"/>
      <c r="E41" s="207"/>
      <c r="F41" s="208" t="s">
        <v>162</v>
      </c>
      <c r="G41" s="209"/>
      <c r="H41" s="209"/>
      <c r="I41" s="209" t="str">
        <f aca="false">+TEXT(AE41,"# ##0")&amp;" kg"</f>
        <v>146 kg</v>
      </c>
      <c r="J41" s="209"/>
      <c r="K41" s="210" t="n">
        <f aca="false">+AH41</f>
        <v>0.0120705311904649</v>
      </c>
      <c r="L41" s="211"/>
      <c r="M41" s="177"/>
      <c r="N41" s="141"/>
      <c r="O41" s="178"/>
      <c r="P41" s="212"/>
      <c r="Q41" s="213" t="n">
        <v>0</v>
      </c>
      <c r="R41" s="213" t="n">
        <v>0.15</v>
      </c>
      <c r="S41" s="239" t="n">
        <f aca="false">1-SUM(Q41:R41)</f>
        <v>0.85</v>
      </c>
      <c r="T41" s="215" t="n">
        <v>0.3</v>
      </c>
      <c r="U41" s="216" t="n">
        <f aca="false">+S41-T41</f>
        <v>0.55</v>
      </c>
      <c r="V41" s="274"/>
      <c r="W41" s="192"/>
      <c r="X41" s="204"/>
      <c r="Y41" s="205"/>
      <c r="Z41" s="234" t="n">
        <f aca="false">+$AE41*Q41</f>
        <v>0</v>
      </c>
      <c r="AA41" s="234" t="n">
        <f aca="false">+$AE41*R41</f>
        <v>21.8934088723251</v>
      </c>
      <c r="AB41" s="234"/>
      <c r="AC41" s="234" t="n">
        <f aca="false">+$AE41*T41</f>
        <v>43.7868177446502</v>
      </c>
      <c r="AD41" s="234" t="n">
        <f aca="false">+$AE41*U41</f>
        <v>80.2758325318586</v>
      </c>
      <c r="AE41" s="206" t="n">
        <f aca="false">+'calculs et données'!O59</f>
        <v>145.956059148834</v>
      </c>
      <c r="AF41" s="48"/>
      <c r="AG41" s="49"/>
      <c r="AH41" s="85" t="n">
        <f aca="false">+AE41/$AH$3</f>
        <v>0.0120705311904649</v>
      </c>
      <c r="AI41" s="85"/>
      <c r="AJ41" s="49"/>
      <c r="AK41" s="49"/>
    </row>
    <row r="42" customFormat="false" ht="13.5" hidden="false" customHeight="false" outlineLevel="0" collapsed="false">
      <c r="B42" s="133"/>
      <c r="C42" s="134"/>
      <c r="D42" s="278"/>
      <c r="E42" s="279"/>
      <c r="F42" s="280"/>
      <c r="G42" s="281"/>
      <c r="H42" s="281"/>
      <c r="I42" s="281"/>
      <c r="J42" s="281"/>
      <c r="K42" s="281"/>
      <c r="L42" s="281"/>
      <c r="M42" s="282"/>
      <c r="N42" s="141"/>
      <c r="O42" s="247"/>
      <c r="P42" s="248"/>
      <c r="Q42" s="249"/>
      <c r="R42" s="249"/>
      <c r="S42" s="249"/>
      <c r="T42" s="249"/>
      <c r="U42" s="249"/>
      <c r="V42" s="283"/>
      <c r="W42" s="284"/>
      <c r="X42" s="204"/>
      <c r="Y42" s="205"/>
      <c r="Z42" s="234"/>
      <c r="AA42" s="234"/>
      <c r="AB42" s="234"/>
      <c r="AC42" s="234"/>
      <c r="AD42" s="234"/>
      <c r="AF42" s="72"/>
      <c r="AG42" s="49"/>
      <c r="AH42" s="49"/>
      <c r="AI42" s="49"/>
      <c r="AJ42" s="49"/>
      <c r="AK42" s="49"/>
    </row>
    <row r="43" customFormat="false" ht="14.25" hidden="false" customHeight="false" outlineLevel="0" collapsed="false">
      <c r="B43" s="133"/>
      <c r="C43" s="134"/>
      <c r="D43" s="160"/>
      <c r="E43" s="160"/>
      <c r="F43" s="285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286"/>
      <c r="R43" s="286"/>
      <c r="S43" s="286"/>
      <c r="T43" s="286"/>
      <c r="U43" s="286"/>
      <c r="V43" s="140"/>
      <c r="W43" s="140"/>
      <c r="X43" s="204"/>
      <c r="Y43" s="205"/>
      <c r="Z43" s="234"/>
      <c r="AA43" s="234"/>
      <c r="AB43" s="234"/>
      <c r="AC43" s="234"/>
      <c r="AD43" s="234"/>
      <c r="AE43" s="206"/>
      <c r="AF43" s="48"/>
      <c r="AG43" s="49"/>
      <c r="AH43" s="49"/>
      <c r="AI43" s="49"/>
      <c r="AJ43" s="49"/>
      <c r="AK43" s="49"/>
    </row>
    <row r="44" customFormat="false" ht="13.5" hidden="false" customHeight="false" outlineLevel="0" collapsed="false">
      <c r="B44" s="133"/>
      <c r="C44" s="134"/>
      <c r="D44" s="161" t="s">
        <v>73</v>
      </c>
      <c r="E44" s="162"/>
      <c r="F44" s="163"/>
      <c r="G44" s="164" t="str">
        <f aca="false">+TEXT(AG44,"# ##0")&amp;" kg"</f>
        <v>2 919 kg</v>
      </c>
      <c r="H44" s="163"/>
      <c r="I44" s="163"/>
      <c r="J44" s="163"/>
      <c r="K44" s="165" t="n">
        <f aca="false">+AH44</f>
        <v>0.241440066331995</v>
      </c>
      <c r="L44" s="163"/>
      <c r="M44" s="167"/>
      <c r="N44" s="141"/>
      <c r="O44" s="168"/>
      <c r="P44" s="169"/>
      <c r="Q44" s="258"/>
      <c r="R44" s="258"/>
      <c r="S44" s="258"/>
      <c r="T44" s="258"/>
      <c r="U44" s="258"/>
      <c r="V44" s="259"/>
      <c r="W44" s="260"/>
      <c r="X44" s="204"/>
      <c r="Y44" s="205"/>
      <c r="Z44" s="234"/>
      <c r="AA44" s="234"/>
      <c r="AB44" s="234"/>
      <c r="AC44" s="234"/>
      <c r="AD44" s="234"/>
      <c r="AE44" s="261"/>
      <c r="AF44" s="74"/>
      <c r="AG44" s="84" t="n">
        <f aca="false">+SUM(AE46:AE56)</f>
        <v>2919.4772</v>
      </c>
      <c r="AH44" s="36" t="n">
        <f aca="false">+AG44/$AH$3</f>
        <v>0.241440066331995</v>
      </c>
      <c r="AI44" s="36"/>
      <c r="AJ44" s="49"/>
      <c r="AK44" s="49"/>
    </row>
    <row r="45" customFormat="false" ht="13.5" hidden="false" customHeight="false" outlineLevel="0" collapsed="false">
      <c r="B45" s="133"/>
      <c r="C45" s="134"/>
      <c r="D45" s="171"/>
      <c r="E45" s="218"/>
      <c r="F45" s="175"/>
      <c r="G45" s="174"/>
      <c r="H45" s="175"/>
      <c r="I45" s="175"/>
      <c r="J45" s="175"/>
      <c r="K45" s="175"/>
      <c r="L45" s="175"/>
      <c r="M45" s="177"/>
      <c r="N45" s="141"/>
      <c r="O45" s="178"/>
      <c r="P45" s="175"/>
      <c r="Q45" s="235"/>
      <c r="R45" s="235"/>
      <c r="S45" s="235"/>
      <c r="T45" s="235"/>
      <c r="U45" s="235"/>
      <c r="V45" s="236"/>
      <c r="W45" s="232"/>
      <c r="X45" s="204"/>
      <c r="Y45" s="205"/>
      <c r="Z45" s="234"/>
      <c r="AA45" s="234"/>
      <c r="AB45" s="234"/>
      <c r="AC45" s="234"/>
      <c r="AD45" s="234"/>
      <c r="AE45" s="206"/>
      <c r="AF45" s="48"/>
      <c r="AG45" s="84"/>
      <c r="AH45" s="36"/>
      <c r="AI45" s="36"/>
      <c r="AJ45" s="49"/>
      <c r="AK45" s="49"/>
    </row>
    <row r="46" customFormat="false" ht="12.75" hidden="false" customHeight="false" outlineLevel="0" collapsed="false">
      <c r="B46" s="133"/>
      <c r="C46" s="134"/>
      <c r="D46" s="181"/>
      <c r="E46" s="182" t="s">
        <v>163</v>
      </c>
      <c r="F46" s="183"/>
      <c r="G46" s="184"/>
      <c r="H46" s="185" t="str">
        <f aca="false">+TEXT(AF46,"# ##0")&amp;" kg"</f>
        <v>1 972 kg</v>
      </c>
      <c r="I46" s="184"/>
      <c r="J46" s="184"/>
      <c r="K46" s="186" t="n">
        <f aca="false">+AH46</f>
        <v>0.163111318614396</v>
      </c>
      <c r="L46" s="187"/>
      <c r="M46" s="177"/>
      <c r="N46" s="141"/>
      <c r="O46" s="178"/>
      <c r="P46" s="188"/>
      <c r="Q46" s="189"/>
      <c r="R46" s="189"/>
      <c r="S46" s="237"/>
      <c r="T46" s="189"/>
      <c r="U46" s="190"/>
      <c r="V46" s="231" t="n">
        <v>7</v>
      </c>
      <c r="W46" s="232"/>
      <c r="X46" s="204"/>
      <c r="Y46" s="205"/>
      <c r="Z46" s="234"/>
      <c r="AA46" s="234"/>
      <c r="AB46" s="234"/>
      <c r="AC46" s="234"/>
      <c r="AD46" s="234"/>
      <c r="AE46" s="206"/>
      <c r="AF46" s="48" t="n">
        <f aca="false">+SUM(AE47:AE48)</f>
        <v>1972.3312</v>
      </c>
      <c r="AG46" s="49"/>
      <c r="AH46" s="193" t="n">
        <f aca="false">+AF46/$AH$3</f>
        <v>0.163111318614396</v>
      </c>
      <c r="AI46" s="193"/>
      <c r="AJ46" s="194"/>
      <c r="AK46" s="194"/>
    </row>
    <row r="47" customFormat="false" ht="12.75" hidden="false" customHeight="false" outlineLevel="0" collapsed="false">
      <c r="B47" s="133"/>
      <c r="C47" s="134"/>
      <c r="D47" s="181"/>
      <c r="E47" s="195"/>
      <c r="F47" s="196" t="s">
        <v>72</v>
      </c>
      <c r="G47" s="197"/>
      <c r="H47" s="197"/>
      <c r="I47" s="197" t="str">
        <f aca="false">+TEXT(AE47,"# ##0")&amp;" kg"</f>
        <v>424 kg</v>
      </c>
      <c r="J47" s="197"/>
      <c r="K47" s="130" t="n">
        <f aca="false">+AH47</f>
        <v>0.03506469861274</v>
      </c>
      <c r="L47" s="198"/>
      <c r="M47" s="177"/>
      <c r="N47" s="141"/>
      <c r="O47" s="178"/>
      <c r="P47" s="199"/>
      <c r="Q47" s="200" t="n">
        <v>0</v>
      </c>
      <c r="R47" s="200" t="n">
        <v>0.15</v>
      </c>
      <c r="S47" s="238" t="n">
        <f aca="false">1-SUM(Q47:R47)</f>
        <v>0.85</v>
      </c>
      <c r="T47" s="202" t="n">
        <v>0.15</v>
      </c>
      <c r="U47" s="203" t="n">
        <f aca="false">+S47-T47</f>
        <v>0.7</v>
      </c>
      <c r="V47" s="231"/>
      <c r="W47" s="232"/>
      <c r="X47" s="204"/>
      <c r="Y47" s="205"/>
      <c r="Z47" s="234" t="n">
        <f aca="false">+$AE47*Q47</f>
        <v>0</v>
      </c>
      <c r="AA47" s="234" t="n">
        <f aca="false">+$AE47*R47</f>
        <v>63.6</v>
      </c>
      <c r="AB47" s="234"/>
      <c r="AC47" s="234" t="n">
        <f aca="false">+$AE47*T47</f>
        <v>63.6</v>
      </c>
      <c r="AD47" s="234" t="n">
        <f aca="false">+$AE47*U47</f>
        <v>296.8</v>
      </c>
      <c r="AE47" s="206" t="n">
        <f aca="false">+'calculs et données'!O64</f>
        <v>424</v>
      </c>
      <c r="AF47" s="48"/>
      <c r="AG47" s="49"/>
      <c r="AH47" s="85" t="n">
        <f aca="false">+AE47/$AH$3</f>
        <v>0.03506469861274</v>
      </c>
      <c r="AI47" s="85"/>
      <c r="AJ47" s="49"/>
      <c r="AK47" s="49"/>
    </row>
    <row r="48" customFormat="false" ht="13.5" hidden="false" customHeight="false" outlineLevel="0" collapsed="false">
      <c r="B48" s="133"/>
      <c r="C48" s="134"/>
      <c r="D48" s="181"/>
      <c r="E48" s="207"/>
      <c r="F48" s="208" t="s">
        <v>76</v>
      </c>
      <c r="G48" s="209"/>
      <c r="H48" s="209"/>
      <c r="I48" s="209" t="str">
        <f aca="false">+TEXT(AE48,"# ##0")&amp;" kg"</f>
        <v>1 548 kg</v>
      </c>
      <c r="J48" s="209"/>
      <c r="K48" s="210" t="n">
        <f aca="false">+AH48</f>
        <v>0.128046620001656</v>
      </c>
      <c r="L48" s="211"/>
      <c r="M48" s="177"/>
      <c r="N48" s="141"/>
      <c r="O48" s="178"/>
      <c r="P48" s="212"/>
      <c r="Q48" s="213" t="n">
        <v>0</v>
      </c>
      <c r="R48" s="213" t="n">
        <v>0.15</v>
      </c>
      <c r="S48" s="239" t="n">
        <f aca="false">1-SUM(Q48:R48)</f>
        <v>0.85</v>
      </c>
      <c r="T48" s="215" t="n">
        <v>0.4</v>
      </c>
      <c r="U48" s="216" t="n">
        <f aca="false">+S48-T48</f>
        <v>0.45</v>
      </c>
      <c r="V48" s="231"/>
      <c r="W48" s="232"/>
      <c r="X48" s="204"/>
      <c r="Y48" s="205"/>
      <c r="Z48" s="234" t="n">
        <f aca="false">+$AE48*Q48</f>
        <v>0</v>
      </c>
      <c r="AA48" s="234" t="n">
        <f aca="false">+$AE48*R48</f>
        <v>232.24968</v>
      </c>
      <c r="AB48" s="234"/>
      <c r="AC48" s="234" t="n">
        <f aca="false">+$AE48*T48</f>
        <v>619.33248</v>
      </c>
      <c r="AD48" s="234" t="n">
        <f aca="false">+$AE48*U48</f>
        <v>696.74904</v>
      </c>
      <c r="AE48" s="206" t="n">
        <f aca="false">+'calculs et données'!O65</f>
        <v>1548.3312</v>
      </c>
      <c r="AF48" s="48"/>
      <c r="AG48" s="49"/>
      <c r="AH48" s="85" t="n">
        <f aca="false">+AE48/$AH$3</f>
        <v>0.128046620001656</v>
      </c>
      <c r="AI48" s="85"/>
      <c r="AJ48" s="49"/>
      <c r="AK48" s="49"/>
    </row>
    <row r="49" customFormat="false" ht="13.5" hidden="false" customHeight="false" outlineLevel="0" collapsed="false">
      <c r="B49" s="133"/>
      <c r="C49" s="134"/>
      <c r="D49" s="181"/>
      <c r="E49" s="218"/>
      <c r="F49" s="219"/>
      <c r="G49" s="175"/>
      <c r="H49" s="175"/>
      <c r="I49" s="175"/>
      <c r="J49" s="175"/>
      <c r="K49" s="176"/>
      <c r="L49" s="175"/>
      <c r="M49" s="177"/>
      <c r="N49" s="141"/>
      <c r="O49" s="178"/>
      <c r="P49" s="175"/>
      <c r="Q49" s="235"/>
      <c r="R49" s="235"/>
      <c r="S49" s="235"/>
      <c r="T49" s="235"/>
      <c r="U49" s="235"/>
      <c r="V49" s="236"/>
      <c r="W49" s="232"/>
      <c r="X49" s="204"/>
      <c r="Y49" s="205"/>
      <c r="Z49" s="234"/>
      <c r="AA49" s="234"/>
      <c r="AB49" s="234"/>
      <c r="AC49" s="234"/>
      <c r="AD49" s="234"/>
      <c r="AE49" s="206"/>
      <c r="AF49" s="48"/>
      <c r="AG49" s="49"/>
      <c r="AH49" s="85"/>
      <c r="AI49" s="85"/>
      <c r="AJ49" s="49"/>
      <c r="AK49" s="49"/>
    </row>
    <row r="50" customFormat="false" ht="13.5" hidden="false" customHeight="false" outlineLevel="0" collapsed="false">
      <c r="B50" s="133"/>
      <c r="C50" s="134"/>
      <c r="D50" s="181"/>
      <c r="E50" s="262" t="s">
        <v>77</v>
      </c>
      <c r="F50" s="263"/>
      <c r="G50" s="264"/>
      <c r="H50" s="265" t="str">
        <f aca="false">+TEXT(AE50,"# ##0")&amp;" kg"</f>
        <v>480 kg</v>
      </c>
      <c r="I50" s="264"/>
      <c r="J50" s="264"/>
      <c r="K50" s="266" t="n">
        <f aca="false">+AH50</f>
        <v>0.0396725638894019</v>
      </c>
      <c r="L50" s="267"/>
      <c r="M50" s="177"/>
      <c r="N50" s="141"/>
      <c r="O50" s="178"/>
      <c r="P50" s="268"/>
      <c r="Q50" s="269" t="n">
        <v>0</v>
      </c>
      <c r="R50" s="270" t="n">
        <v>0</v>
      </c>
      <c r="S50" s="271" t="n">
        <f aca="false">1-SUM(Q50:R50)</f>
        <v>1</v>
      </c>
      <c r="T50" s="272" t="n">
        <v>0.1</v>
      </c>
      <c r="U50" s="273" t="n">
        <f aca="false">+S50-T50</f>
        <v>0.9</v>
      </c>
      <c r="V50" s="231" t="n">
        <v>8</v>
      </c>
      <c r="W50" s="232"/>
      <c r="X50" s="204"/>
      <c r="Y50" s="205"/>
      <c r="Z50" s="234" t="n">
        <f aca="false">+$AE50*Q50</f>
        <v>0</v>
      </c>
      <c r="AA50" s="234" t="n">
        <f aca="false">+$AE50*R50</f>
        <v>0</v>
      </c>
      <c r="AB50" s="234"/>
      <c r="AC50" s="234" t="n">
        <f aca="false">+$AE50*T50</f>
        <v>47.9718</v>
      </c>
      <c r="AD50" s="234" t="n">
        <f aca="false">+$AE50*U50</f>
        <v>431.7462</v>
      </c>
      <c r="AE50" s="206" t="n">
        <f aca="false">+'calculs et données'!O66</f>
        <v>479.718</v>
      </c>
      <c r="AF50" s="48"/>
      <c r="AG50" s="49"/>
      <c r="AH50" s="85" t="n">
        <f aca="false">+AE50/$AH$3</f>
        <v>0.0396725638894019</v>
      </c>
      <c r="AI50" s="85"/>
      <c r="AJ50" s="49"/>
      <c r="AK50" s="49"/>
    </row>
    <row r="51" customFormat="false" ht="13.5" hidden="false" customHeight="false" outlineLevel="0" collapsed="false">
      <c r="B51" s="133"/>
      <c r="C51" s="134"/>
      <c r="D51" s="181"/>
      <c r="E51" s="218"/>
      <c r="F51" s="219"/>
      <c r="G51" s="175"/>
      <c r="H51" s="218"/>
      <c r="I51" s="175"/>
      <c r="J51" s="175"/>
      <c r="K51" s="176"/>
      <c r="L51" s="175"/>
      <c r="M51" s="177"/>
      <c r="N51" s="141"/>
      <c r="O51" s="178"/>
      <c r="P51" s="175"/>
      <c r="Q51" s="235"/>
      <c r="R51" s="235"/>
      <c r="S51" s="235"/>
      <c r="T51" s="235"/>
      <c r="U51" s="235"/>
      <c r="V51" s="236"/>
      <c r="W51" s="232"/>
      <c r="X51" s="204"/>
      <c r="Y51" s="205"/>
      <c r="Z51" s="234"/>
      <c r="AA51" s="234"/>
      <c r="AB51" s="234"/>
      <c r="AC51" s="234"/>
      <c r="AD51" s="234"/>
      <c r="AE51" s="206"/>
      <c r="AF51" s="48"/>
      <c r="AG51" s="49"/>
      <c r="AH51" s="85"/>
      <c r="AI51" s="85"/>
      <c r="AJ51" s="49"/>
      <c r="AK51" s="49"/>
    </row>
    <row r="52" customFormat="false" ht="13.5" hidden="false" customHeight="false" outlineLevel="0" collapsed="false">
      <c r="B52" s="133"/>
      <c r="C52" s="134"/>
      <c r="D52" s="181"/>
      <c r="E52" s="262" t="s">
        <v>164</v>
      </c>
      <c r="F52" s="263"/>
      <c r="G52" s="264"/>
      <c r="H52" s="265" t="str">
        <f aca="false">+TEXT(AE52,"# ##0")&amp;" kg"</f>
        <v>85 kg</v>
      </c>
      <c r="I52" s="264"/>
      <c r="J52" s="264"/>
      <c r="K52" s="266" t="n">
        <f aca="false">+AH52</f>
        <v>0.00699209938280646</v>
      </c>
      <c r="L52" s="267"/>
      <c r="M52" s="177"/>
      <c r="N52" s="141"/>
      <c r="O52" s="178"/>
      <c r="P52" s="268"/>
      <c r="Q52" s="269" t="n">
        <v>0</v>
      </c>
      <c r="R52" s="270" t="n">
        <v>0.6</v>
      </c>
      <c r="S52" s="271" t="n">
        <f aca="false">1-SUM(Q52:R52)</f>
        <v>0.4</v>
      </c>
      <c r="T52" s="272" t="n">
        <v>0.2</v>
      </c>
      <c r="U52" s="273" t="n">
        <f aca="false">+S52-T52</f>
        <v>0.2</v>
      </c>
      <c r="V52" s="231" t="n">
        <v>9</v>
      </c>
      <c r="W52" s="232"/>
      <c r="X52" s="204"/>
      <c r="Y52" s="205"/>
      <c r="Z52" s="234" t="n">
        <f aca="false">+$AE52*Q52</f>
        <v>0</v>
      </c>
      <c r="AA52" s="234" t="n">
        <f aca="false">+$AE52*R52</f>
        <v>50.7288</v>
      </c>
      <c r="AB52" s="234"/>
      <c r="AC52" s="234" t="n">
        <f aca="false">+$AE52*T52</f>
        <v>16.9096</v>
      </c>
      <c r="AD52" s="234" t="n">
        <f aca="false">+$AE52*U52</f>
        <v>16.9096</v>
      </c>
      <c r="AE52" s="206" t="n">
        <f aca="false">+'calculs et données'!O67</f>
        <v>84.548</v>
      </c>
      <c r="AF52" s="48"/>
      <c r="AG52" s="49"/>
      <c r="AH52" s="85" t="n">
        <f aca="false">+AE52/$AH$3</f>
        <v>0.00699209938280646</v>
      </c>
      <c r="AI52" s="85"/>
      <c r="AJ52" s="49"/>
      <c r="AK52" s="49"/>
    </row>
    <row r="53" customFormat="false" ht="13.5" hidden="false" customHeight="true" outlineLevel="0" collapsed="false">
      <c r="B53" s="133"/>
      <c r="C53" s="134"/>
      <c r="D53" s="181"/>
      <c r="E53" s="218"/>
      <c r="F53" s="219"/>
      <c r="G53" s="175"/>
      <c r="H53" s="218"/>
      <c r="I53" s="175"/>
      <c r="J53" s="175"/>
      <c r="K53" s="176"/>
      <c r="L53" s="175"/>
      <c r="M53" s="177"/>
      <c r="N53" s="141"/>
      <c r="O53" s="178"/>
      <c r="P53" s="175"/>
      <c r="Q53" s="235"/>
      <c r="R53" s="235"/>
      <c r="S53" s="235"/>
      <c r="T53" s="235"/>
      <c r="U53" s="235"/>
      <c r="V53" s="236"/>
      <c r="W53" s="232"/>
      <c r="X53" s="204"/>
      <c r="Y53" s="205"/>
      <c r="Z53" s="234"/>
      <c r="AA53" s="234"/>
      <c r="AB53" s="234"/>
      <c r="AC53" s="234"/>
      <c r="AD53" s="234"/>
      <c r="AE53" s="206"/>
      <c r="AF53" s="48"/>
      <c r="AG53" s="49"/>
      <c r="AH53" s="85"/>
      <c r="AI53" s="85"/>
      <c r="AJ53" s="49"/>
      <c r="AK53" s="49"/>
    </row>
    <row r="54" customFormat="false" ht="13.5" hidden="false" customHeight="false" outlineLevel="0" collapsed="false">
      <c r="B54" s="133"/>
      <c r="C54" s="134"/>
      <c r="D54" s="181"/>
      <c r="E54" s="262" t="s">
        <v>165</v>
      </c>
      <c r="F54" s="263"/>
      <c r="G54" s="264"/>
      <c r="H54" s="265" t="str">
        <f aca="false">+TEXT(AE54,"# ##0")&amp;" kg"</f>
        <v>383 kg</v>
      </c>
      <c r="I54" s="264"/>
      <c r="J54" s="264"/>
      <c r="K54" s="266" t="n">
        <f aca="false">+AH54</f>
        <v>0.0316640844453912</v>
      </c>
      <c r="L54" s="267"/>
      <c r="M54" s="177"/>
      <c r="N54" s="141"/>
      <c r="O54" s="178"/>
      <c r="P54" s="268"/>
      <c r="Q54" s="269" t="n">
        <v>0</v>
      </c>
      <c r="R54" s="270" t="n">
        <v>0.15</v>
      </c>
      <c r="S54" s="271" t="n">
        <f aca="false">1-SUM(Q54:R54)</f>
        <v>0.85</v>
      </c>
      <c r="T54" s="272"/>
      <c r="U54" s="273" t="n">
        <f aca="false">+S54-T54</f>
        <v>0.85</v>
      </c>
      <c r="V54" s="231" t="n">
        <v>10</v>
      </c>
      <c r="W54" s="232"/>
      <c r="X54" s="204"/>
      <c r="Y54" s="205"/>
      <c r="Z54" s="234" t="n">
        <f aca="false">+$AE54*Q54</f>
        <v>0</v>
      </c>
      <c r="AA54" s="234" t="n">
        <f aca="false">+$AE54*R54</f>
        <v>57.432</v>
      </c>
      <c r="AB54" s="234"/>
      <c r="AC54" s="234" t="n">
        <f aca="false">+$AE54*T54</f>
        <v>0</v>
      </c>
      <c r="AD54" s="234" t="n">
        <f aca="false">+$AE54*U54</f>
        <v>325.448</v>
      </c>
      <c r="AE54" s="206" t="n">
        <f aca="false">+'calculs et données'!O69</f>
        <v>382.88</v>
      </c>
      <c r="AF54" s="48"/>
      <c r="AG54" s="49"/>
      <c r="AH54" s="85" t="n">
        <f aca="false">+AE54/$AH$3</f>
        <v>0.0316640844453912</v>
      </c>
      <c r="AI54" s="85"/>
      <c r="AJ54" s="49"/>
      <c r="AK54" s="49"/>
    </row>
    <row r="55" customFormat="false" ht="13.5" hidden="false" customHeight="true" outlineLevel="0" collapsed="false">
      <c r="B55" s="133"/>
      <c r="C55" s="134"/>
      <c r="D55" s="278"/>
      <c r="E55" s="279"/>
      <c r="F55" s="280"/>
      <c r="G55" s="281"/>
      <c r="H55" s="279"/>
      <c r="I55" s="281"/>
      <c r="J55" s="281"/>
      <c r="K55" s="287"/>
      <c r="L55" s="281"/>
      <c r="M55" s="282"/>
      <c r="N55" s="141"/>
      <c r="O55" s="247"/>
      <c r="P55" s="248"/>
      <c r="Q55" s="249"/>
      <c r="R55" s="249"/>
      <c r="S55" s="249"/>
      <c r="T55" s="249"/>
      <c r="U55" s="249"/>
      <c r="V55" s="250"/>
      <c r="W55" s="288"/>
      <c r="X55" s="204"/>
      <c r="Y55" s="205"/>
      <c r="Z55" s="234"/>
      <c r="AA55" s="234"/>
      <c r="AB55" s="234"/>
      <c r="AC55" s="234"/>
      <c r="AD55" s="234"/>
      <c r="AE55" s="206"/>
      <c r="AF55" s="48"/>
      <c r="AG55" s="49"/>
      <c r="AH55" s="85"/>
      <c r="AI55" s="85"/>
      <c r="AJ55" s="49"/>
      <c r="AK55" s="49"/>
    </row>
    <row r="56" customFormat="false" ht="14.25" hidden="false" customHeight="true" outlineLevel="0" collapsed="false">
      <c r="B56" s="133"/>
      <c r="C56" s="134"/>
      <c r="D56" s="252"/>
      <c r="E56" s="252"/>
      <c r="F56" s="253"/>
      <c r="G56" s="254"/>
      <c r="H56" s="254"/>
      <c r="I56" s="254"/>
      <c r="J56" s="254"/>
      <c r="K56" s="254"/>
      <c r="L56" s="254"/>
      <c r="M56" s="254"/>
      <c r="N56" s="140"/>
      <c r="O56" s="254"/>
      <c r="P56" s="254"/>
      <c r="Q56" s="289"/>
      <c r="R56" s="289"/>
      <c r="S56" s="289"/>
      <c r="T56" s="289"/>
      <c r="U56" s="289"/>
      <c r="V56" s="254"/>
      <c r="W56" s="254"/>
      <c r="X56" s="204"/>
      <c r="Y56" s="205"/>
      <c r="Z56" s="234"/>
      <c r="AA56" s="234"/>
      <c r="AB56" s="234"/>
      <c r="AC56" s="234"/>
      <c r="AD56" s="234"/>
      <c r="AE56" s="257"/>
      <c r="AF56" s="72"/>
      <c r="AG56" s="49"/>
      <c r="AH56" s="49"/>
      <c r="AI56" s="49"/>
      <c r="AJ56" s="49"/>
      <c r="AK56" s="49"/>
    </row>
    <row r="57" customFormat="false" ht="13.5" hidden="false" customHeight="true" outlineLevel="0" collapsed="false">
      <c r="B57" s="133"/>
      <c r="C57" s="134"/>
      <c r="D57" s="161" t="s">
        <v>79</v>
      </c>
      <c r="E57" s="162"/>
      <c r="F57" s="163"/>
      <c r="G57" s="164" t="str">
        <f aca="false">+TEXT(AG57,"# ##0")&amp;" kg"</f>
        <v>1 489 kg</v>
      </c>
      <c r="H57" s="163"/>
      <c r="I57" s="163"/>
      <c r="J57" s="163"/>
      <c r="K57" s="165" t="n">
        <f aca="false">+AH57</f>
        <v>0.123153308230343</v>
      </c>
      <c r="L57" s="166"/>
      <c r="M57" s="167"/>
      <c r="N57" s="290"/>
      <c r="O57" s="168"/>
      <c r="P57" s="169"/>
      <c r="Q57" s="258"/>
      <c r="R57" s="258"/>
      <c r="S57" s="258"/>
      <c r="T57" s="258"/>
      <c r="U57" s="258"/>
      <c r="V57" s="291"/>
      <c r="W57" s="292"/>
      <c r="X57" s="204"/>
      <c r="Y57" s="205"/>
      <c r="Z57" s="234"/>
      <c r="AA57" s="234"/>
      <c r="AB57" s="234"/>
      <c r="AC57" s="234"/>
      <c r="AD57" s="234"/>
      <c r="AE57" s="261"/>
      <c r="AF57" s="74" t="n">
        <v>1037</v>
      </c>
      <c r="AG57" s="35" t="n">
        <f aca="false">+SUM(AE59:AE59)</f>
        <v>1489.1616</v>
      </c>
      <c r="AH57" s="36" t="n">
        <f aca="false">+AG57/$AH$3</f>
        <v>0.123153308230343</v>
      </c>
      <c r="AI57" s="36"/>
      <c r="AJ57" s="194"/>
      <c r="AK57" s="194"/>
    </row>
    <row r="58" customFormat="false" ht="13.5" hidden="false" customHeight="true" outlineLevel="0" collapsed="false">
      <c r="B58" s="133"/>
      <c r="C58" s="134"/>
      <c r="D58" s="171"/>
      <c r="E58" s="218"/>
      <c r="F58" s="175"/>
      <c r="G58" s="174"/>
      <c r="H58" s="175"/>
      <c r="I58" s="175"/>
      <c r="J58" s="175"/>
      <c r="K58" s="176"/>
      <c r="L58" s="175"/>
      <c r="M58" s="177"/>
      <c r="N58" s="141"/>
      <c r="O58" s="178"/>
      <c r="P58" s="175"/>
      <c r="Q58" s="235"/>
      <c r="R58" s="235"/>
      <c r="S58" s="235"/>
      <c r="T58" s="235"/>
      <c r="U58" s="235"/>
      <c r="V58" s="240"/>
      <c r="W58" s="192"/>
      <c r="X58" s="204"/>
      <c r="Y58" s="205"/>
      <c r="Z58" s="234"/>
      <c r="AA58" s="234"/>
      <c r="AB58" s="234"/>
      <c r="AC58" s="234"/>
      <c r="AD58" s="234"/>
      <c r="AE58" s="206"/>
      <c r="AF58" s="48"/>
      <c r="AG58" s="35"/>
      <c r="AH58" s="36"/>
      <c r="AI58" s="36"/>
      <c r="AJ58" s="194"/>
      <c r="AK58" s="194"/>
    </row>
    <row r="59" customFormat="false" ht="13.5" hidden="false" customHeight="false" outlineLevel="0" collapsed="false">
      <c r="B59" s="133"/>
      <c r="C59" s="134"/>
      <c r="D59" s="181"/>
      <c r="E59" s="262" t="s">
        <v>166</v>
      </c>
      <c r="F59" s="263"/>
      <c r="G59" s="264"/>
      <c r="H59" s="265" t="str">
        <f aca="false">+TEXT(AE59,"# ##0")&amp;" kg"</f>
        <v>1 489 kg</v>
      </c>
      <c r="I59" s="264"/>
      <c r="J59" s="264"/>
      <c r="K59" s="266" t="n">
        <f aca="false">+AH59</f>
        <v>0.123153308230343</v>
      </c>
      <c r="L59" s="267"/>
      <c r="M59" s="177"/>
      <c r="N59" s="141"/>
      <c r="O59" s="178"/>
      <c r="P59" s="293" t="n">
        <f aca="false">+SUM(Q59:R59)</f>
        <v>0.6</v>
      </c>
      <c r="Q59" s="269" t="n">
        <v>0.2</v>
      </c>
      <c r="R59" s="270" t="n">
        <v>0.4</v>
      </c>
      <c r="S59" s="271" t="n">
        <f aca="false">1-SUM(Q59:R59)</f>
        <v>0.4</v>
      </c>
      <c r="T59" s="272" t="n">
        <v>0.35</v>
      </c>
      <c r="U59" s="272" t="n">
        <f aca="false">+S59-T59</f>
        <v>0.0499999999999999</v>
      </c>
      <c r="V59" s="191" t="n">
        <v>11</v>
      </c>
      <c r="W59" s="192"/>
      <c r="X59" s="204"/>
      <c r="Y59" s="205"/>
      <c r="Z59" s="234" t="n">
        <f aca="false">+$AE59*Q59</f>
        <v>297.83232</v>
      </c>
      <c r="AA59" s="234" t="n">
        <f aca="false">+$AE59*R59</f>
        <v>595.66464</v>
      </c>
      <c r="AB59" s="234"/>
      <c r="AC59" s="234" t="n">
        <f aca="false">+$AE59*T59</f>
        <v>521.20656</v>
      </c>
      <c r="AD59" s="234" t="n">
        <f aca="false">+$AE59*U59</f>
        <v>74.4580799999999</v>
      </c>
      <c r="AE59" s="206" t="n">
        <f aca="false">+'calculs et données'!O73</f>
        <v>1489.1616</v>
      </c>
      <c r="AF59" s="48"/>
      <c r="AG59" s="49"/>
      <c r="AH59" s="85" t="n">
        <f aca="false">+AE59/$AH$3</f>
        <v>0.123153308230343</v>
      </c>
      <c r="AI59" s="85"/>
      <c r="AJ59" s="49"/>
      <c r="AK59" s="49"/>
    </row>
    <row r="60" customFormat="false" ht="13.5" hidden="false" customHeight="false" outlineLevel="0" collapsed="false">
      <c r="B60" s="133"/>
      <c r="C60" s="134"/>
      <c r="D60" s="278"/>
      <c r="E60" s="279"/>
      <c r="F60" s="280"/>
      <c r="G60" s="281"/>
      <c r="H60" s="279"/>
      <c r="I60" s="281"/>
      <c r="J60" s="281"/>
      <c r="K60" s="281"/>
      <c r="L60" s="281"/>
      <c r="M60" s="282"/>
      <c r="N60" s="141"/>
      <c r="O60" s="247"/>
      <c r="P60" s="248"/>
      <c r="Q60" s="249"/>
      <c r="R60" s="249"/>
      <c r="S60" s="249"/>
      <c r="T60" s="249"/>
      <c r="U60" s="249"/>
      <c r="V60" s="250"/>
      <c r="W60" s="288"/>
      <c r="X60" s="204"/>
      <c r="Y60" s="205"/>
      <c r="Z60" s="234"/>
      <c r="AA60" s="234"/>
      <c r="AB60" s="234"/>
      <c r="AC60" s="234"/>
      <c r="AD60" s="234"/>
      <c r="AE60" s="206"/>
      <c r="AF60" s="48"/>
      <c r="AG60" s="49"/>
      <c r="AH60" s="49"/>
      <c r="AI60" s="49"/>
      <c r="AJ60" s="49"/>
      <c r="AK60" s="49"/>
    </row>
    <row r="61" customFormat="false" ht="14.25" hidden="false" customHeight="false" outlineLevel="0" collapsed="false">
      <c r="B61" s="133"/>
      <c r="C61" s="134"/>
      <c r="D61" s="160"/>
      <c r="E61" s="160"/>
      <c r="F61" s="285"/>
      <c r="G61" s="140"/>
      <c r="H61" s="160"/>
      <c r="I61" s="140"/>
      <c r="J61" s="140"/>
      <c r="K61" s="140"/>
      <c r="L61" s="140"/>
      <c r="M61" s="140"/>
      <c r="N61" s="140"/>
      <c r="O61" s="140"/>
      <c r="P61" s="140"/>
      <c r="Q61" s="286"/>
      <c r="R61" s="286"/>
      <c r="S61" s="286"/>
      <c r="T61" s="286"/>
      <c r="U61" s="286"/>
      <c r="V61" s="140"/>
      <c r="W61" s="140"/>
      <c r="X61" s="204"/>
      <c r="Y61" s="205"/>
      <c r="Z61" s="234"/>
      <c r="AA61" s="234"/>
      <c r="AB61" s="234"/>
      <c r="AC61" s="234"/>
      <c r="AD61" s="234"/>
      <c r="AE61" s="206"/>
      <c r="AF61" s="48"/>
      <c r="AG61" s="49"/>
      <c r="AH61" s="49"/>
      <c r="AI61" s="49"/>
      <c r="AJ61" s="49"/>
      <c r="AK61" s="49"/>
    </row>
    <row r="62" customFormat="false" ht="13.5" hidden="false" customHeight="false" outlineLevel="0" collapsed="false">
      <c r="B62" s="133"/>
      <c r="C62" s="134"/>
      <c r="D62" s="161" t="s">
        <v>82</v>
      </c>
      <c r="E62" s="162"/>
      <c r="F62" s="163"/>
      <c r="G62" s="164" t="str">
        <f aca="false">+TEXT(AG62,"# ##0")&amp;" kg"</f>
        <v>2 705 kg</v>
      </c>
      <c r="H62" s="163"/>
      <c r="I62" s="163"/>
      <c r="J62" s="163"/>
      <c r="K62" s="165" t="n">
        <f aca="false">+AH62</f>
        <v>0.223713929308292</v>
      </c>
      <c r="L62" s="166"/>
      <c r="M62" s="167"/>
      <c r="N62" s="141"/>
      <c r="O62" s="168"/>
      <c r="P62" s="169"/>
      <c r="Q62" s="258"/>
      <c r="R62" s="258"/>
      <c r="S62" s="258"/>
      <c r="T62" s="258"/>
      <c r="U62" s="258"/>
      <c r="V62" s="259"/>
      <c r="W62" s="260"/>
      <c r="X62" s="204"/>
      <c r="Y62" s="205"/>
      <c r="Z62" s="234"/>
      <c r="AA62" s="234"/>
      <c r="AB62" s="234"/>
      <c r="AC62" s="234"/>
      <c r="AD62" s="234"/>
      <c r="AE62" s="261"/>
      <c r="AF62" s="74" t="n">
        <v>3061</v>
      </c>
      <c r="AG62" s="35" t="n">
        <f aca="false">+SUM(AE64:AE81)</f>
        <v>2705.13393183001</v>
      </c>
      <c r="AH62" s="36" t="n">
        <f aca="false">+AG62/$AH$3</f>
        <v>0.223713929308292</v>
      </c>
      <c r="AI62" s="36"/>
      <c r="AJ62" s="49"/>
      <c r="AK62" s="49"/>
    </row>
    <row r="63" customFormat="false" ht="13.5" hidden="false" customHeight="true" outlineLevel="0" collapsed="false">
      <c r="B63" s="133"/>
      <c r="C63" s="134"/>
      <c r="D63" s="171"/>
      <c r="E63" s="218"/>
      <c r="F63" s="219"/>
      <c r="G63" s="174"/>
      <c r="H63" s="175"/>
      <c r="I63" s="175"/>
      <c r="J63" s="175"/>
      <c r="K63" s="175"/>
      <c r="L63" s="175"/>
      <c r="M63" s="177"/>
      <c r="N63" s="141"/>
      <c r="O63" s="178"/>
      <c r="P63" s="175"/>
      <c r="Q63" s="235"/>
      <c r="R63" s="235"/>
      <c r="S63" s="235"/>
      <c r="T63" s="235"/>
      <c r="U63" s="235"/>
      <c r="V63" s="240"/>
      <c r="W63" s="192"/>
      <c r="X63" s="204"/>
      <c r="Y63" s="205"/>
      <c r="Z63" s="234"/>
      <c r="AA63" s="234"/>
      <c r="AB63" s="234"/>
      <c r="AC63" s="234"/>
      <c r="AD63" s="234"/>
      <c r="AE63" s="206"/>
      <c r="AF63" s="48"/>
      <c r="AG63" s="35"/>
      <c r="AH63" s="36"/>
      <c r="AI63" s="36"/>
      <c r="AJ63" s="49"/>
      <c r="AK63" s="49"/>
    </row>
    <row r="64" customFormat="false" ht="12.75" hidden="false" customHeight="true" outlineLevel="0" collapsed="false">
      <c r="B64" s="133"/>
      <c r="C64" s="134"/>
      <c r="D64" s="181"/>
      <c r="E64" s="182" t="s">
        <v>167</v>
      </c>
      <c r="F64" s="184"/>
      <c r="G64" s="184"/>
      <c r="H64" s="185" t="str">
        <f aca="false">+TEXT(AF64,"# ##0")&amp;" kg"</f>
        <v>1 696 kg</v>
      </c>
      <c r="I64" s="184"/>
      <c r="J64" s="184"/>
      <c r="K64" s="186" t="n">
        <f aca="false">+AH64</f>
        <v>0.14025879445096</v>
      </c>
      <c r="L64" s="187"/>
      <c r="M64" s="177"/>
      <c r="N64" s="141"/>
      <c r="O64" s="178"/>
      <c r="P64" s="188"/>
      <c r="Q64" s="189"/>
      <c r="R64" s="190"/>
      <c r="S64" s="275"/>
      <c r="T64" s="276"/>
      <c r="U64" s="276"/>
      <c r="V64" s="191" t="n">
        <v>12</v>
      </c>
      <c r="W64" s="192"/>
      <c r="X64" s="204"/>
      <c r="Y64" s="205"/>
      <c r="Z64" s="234"/>
      <c r="AA64" s="234"/>
      <c r="AB64" s="234"/>
      <c r="AC64" s="234"/>
      <c r="AD64" s="234"/>
      <c r="AE64" s="206"/>
      <c r="AF64" s="48" t="n">
        <f aca="false">+SUM(AE65:AE70)</f>
        <v>1696</v>
      </c>
      <c r="AG64" s="49"/>
      <c r="AH64" s="193" t="n">
        <f aca="false">+AF64/$AH$3</f>
        <v>0.14025879445096</v>
      </c>
      <c r="AI64" s="193"/>
      <c r="AJ64" s="194"/>
      <c r="AK64" s="194"/>
    </row>
    <row r="65" customFormat="false" ht="12.75" hidden="false" customHeight="true" outlineLevel="0" collapsed="false">
      <c r="B65" s="133"/>
      <c r="C65" s="134"/>
      <c r="D65" s="181"/>
      <c r="E65" s="195"/>
      <c r="F65" s="196" t="s">
        <v>84</v>
      </c>
      <c r="G65" s="197"/>
      <c r="H65" s="197"/>
      <c r="I65" s="197" t="str">
        <f aca="false">+TEXT(AE65,"# ##0")&amp;" kg"</f>
        <v>654 kg</v>
      </c>
      <c r="J65" s="197"/>
      <c r="K65" s="130" t="n">
        <f aca="false">+AH65</f>
        <v>0.0540459477297118</v>
      </c>
      <c r="L65" s="198"/>
      <c r="M65" s="177"/>
      <c r="N65" s="141"/>
      <c r="O65" s="178"/>
      <c r="P65" s="294" t="n">
        <f aca="false">+SUM(Q65:R65)</f>
        <v>0.4675</v>
      </c>
      <c r="Q65" s="200" t="n">
        <v>0</v>
      </c>
      <c r="R65" s="201" t="n">
        <f aca="false">0.55*0.85</f>
        <v>0.4675</v>
      </c>
      <c r="S65" s="238" t="n">
        <f aca="false">1-SUM(Q65:R65)</f>
        <v>0.5325</v>
      </c>
      <c r="T65" s="202" t="n">
        <v>0</v>
      </c>
      <c r="U65" s="202" t="n">
        <f aca="false">+S65-T65</f>
        <v>0.5325</v>
      </c>
      <c r="V65" s="191"/>
      <c r="W65" s="192"/>
      <c r="X65" s="204"/>
      <c r="Y65" s="205"/>
      <c r="Z65" s="234" t="n">
        <f aca="false">+$AE65*Q65</f>
        <v>0</v>
      </c>
      <c r="AA65" s="234" t="n">
        <f aca="false">+$AE65*R65</f>
        <v>305.5206</v>
      </c>
      <c r="AB65" s="234"/>
      <c r="AC65" s="234" t="n">
        <f aca="false">+$AE65*T65</f>
        <v>0</v>
      </c>
      <c r="AD65" s="234" t="n">
        <f aca="false">+$AE65*U65</f>
        <v>347.9994</v>
      </c>
      <c r="AE65" s="206" t="n">
        <f aca="false">+'calculs et données'!O78</f>
        <v>653.52</v>
      </c>
      <c r="AF65" s="48"/>
      <c r="AG65" s="49"/>
      <c r="AH65" s="85" t="n">
        <f aca="false">+AE65/$AH$3</f>
        <v>0.0540459477297118</v>
      </c>
      <c r="AI65" s="85"/>
      <c r="AJ65" s="49"/>
      <c r="AK65" s="49"/>
    </row>
    <row r="66" customFormat="false" ht="12.75" hidden="false" customHeight="true" outlineLevel="0" collapsed="false">
      <c r="B66" s="133"/>
      <c r="C66" s="134"/>
      <c r="D66" s="181"/>
      <c r="E66" s="195"/>
      <c r="F66" s="196" t="s">
        <v>85</v>
      </c>
      <c r="G66" s="197"/>
      <c r="H66" s="197"/>
      <c r="I66" s="197" t="str">
        <f aca="false">+TEXT(AE66,"# ##0")&amp;" kg"</f>
        <v>498 kg</v>
      </c>
      <c r="J66" s="197"/>
      <c r="K66" s="130" t="n">
        <f aca="false">+AH66</f>
        <v>0.0411778649369233</v>
      </c>
      <c r="L66" s="198"/>
      <c r="M66" s="177"/>
      <c r="N66" s="141"/>
      <c r="O66" s="178"/>
      <c r="P66" s="294" t="n">
        <f aca="false">+SUM(Q66:R66)</f>
        <v>0.4675</v>
      </c>
      <c r="Q66" s="200" t="n">
        <v>0</v>
      </c>
      <c r="R66" s="201" t="n">
        <f aca="false">0.55*0.85</f>
        <v>0.4675</v>
      </c>
      <c r="S66" s="238" t="n">
        <f aca="false">1-SUM(Q66:R66)</f>
        <v>0.5325</v>
      </c>
      <c r="T66" s="202" t="n">
        <v>0</v>
      </c>
      <c r="U66" s="202" t="n">
        <f aca="false">+S66-T66</f>
        <v>0.5325</v>
      </c>
      <c r="V66" s="191"/>
      <c r="W66" s="192"/>
      <c r="X66" s="204"/>
      <c r="Y66" s="205"/>
      <c r="Z66" s="234" t="n">
        <f aca="false">+$AE66*Q66</f>
        <v>0</v>
      </c>
      <c r="AA66" s="234" t="n">
        <f aca="false">+$AE66*R66</f>
        <v>232.7776</v>
      </c>
      <c r="AB66" s="234"/>
      <c r="AC66" s="234" t="n">
        <f aca="false">+$AE66*T66</f>
        <v>0</v>
      </c>
      <c r="AD66" s="234" t="n">
        <f aca="false">+$AE66*U66</f>
        <v>265.1424</v>
      </c>
      <c r="AE66" s="206" t="n">
        <f aca="false">+'calculs et données'!O79</f>
        <v>497.92</v>
      </c>
      <c r="AF66" s="48"/>
      <c r="AG66" s="49"/>
      <c r="AH66" s="85" t="n">
        <f aca="false">+AE66/$AH$3</f>
        <v>0.0411778649369233</v>
      </c>
      <c r="AI66" s="85"/>
      <c r="AJ66" s="49"/>
      <c r="AK66" s="49"/>
    </row>
    <row r="67" customFormat="false" ht="12.75" hidden="false" customHeight="true" outlineLevel="0" collapsed="false">
      <c r="B67" s="133"/>
      <c r="C67" s="134"/>
      <c r="D67" s="181"/>
      <c r="E67" s="195"/>
      <c r="F67" s="196" t="s">
        <v>86</v>
      </c>
      <c r="G67" s="197"/>
      <c r="H67" s="197"/>
      <c r="I67" s="197" t="str">
        <f aca="false">+TEXT(AE67,"# ##0")&amp;" kg"</f>
        <v>171 kg</v>
      </c>
      <c r="J67" s="197"/>
      <c r="K67" s="130" t="n">
        <f aca="false">+AH67</f>
        <v>0.0141548910720674</v>
      </c>
      <c r="L67" s="198"/>
      <c r="M67" s="177"/>
      <c r="N67" s="141"/>
      <c r="O67" s="178"/>
      <c r="P67" s="294" t="n">
        <f aca="false">+SUM(Q67:R67)</f>
        <v>0.4675</v>
      </c>
      <c r="Q67" s="200" t="n">
        <v>0</v>
      </c>
      <c r="R67" s="201" t="n">
        <f aca="false">0.55*0.85</f>
        <v>0.4675</v>
      </c>
      <c r="S67" s="238" t="n">
        <f aca="false">1-SUM(Q67:R67)</f>
        <v>0.5325</v>
      </c>
      <c r="T67" s="202" t="n">
        <v>0</v>
      </c>
      <c r="U67" s="202" t="n">
        <f aca="false">+S67-T67</f>
        <v>0.5325</v>
      </c>
      <c r="V67" s="191"/>
      <c r="W67" s="192"/>
      <c r="X67" s="204"/>
      <c r="Y67" s="205"/>
      <c r="Z67" s="234" t="n">
        <f aca="false">+$AE67*Q67</f>
        <v>0</v>
      </c>
      <c r="AA67" s="234" t="n">
        <f aca="false">+$AE67*R67</f>
        <v>80.0173</v>
      </c>
      <c r="AB67" s="234"/>
      <c r="AC67" s="234" t="n">
        <f aca="false">+$AE67*T67</f>
        <v>0</v>
      </c>
      <c r="AD67" s="234" t="n">
        <f aca="false">+$AE67*U67</f>
        <v>91.1427</v>
      </c>
      <c r="AE67" s="206" t="n">
        <f aca="false">+'calculs et données'!O80</f>
        <v>171.16</v>
      </c>
      <c r="AF67" s="48"/>
      <c r="AG67" s="49"/>
      <c r="AH67" s="85" t="n">
        <f aca="false">+AE67/$AH$3</f>
        <v>0.0141548910720674</v>
      </c>
      <c r="AI67" s="85"/>
      <c r="AJ67" s="49"/>
      <c r="AK67" s="49"/>
    </row>
    <row r="68" customFormat="false" ht="12.75" hidden="false" customHeight="true" outlineLevel="0" collapsed="false">
      <c r="B68" s="133"/>
      <c r="C68" s="134"/>
      <c r="D68" s="181"/>
      <c r="E68" s="195"/>
      <c r="F68" s="196" t="s">
        <v>87</v>
      </c>
      <c r="G68" s="197"/>
      <c r="H68" s="197"/>
      <c r="I68" s="197" t="str">
        <f aca="false">+TEXT(AE68,"# ##0")&amp;" kg"</f>
        <v>171 kg</v>
      </c>
      <c r="J68" s="197"/>
      <c r="K68" s="130" t="n">
        <f aca="false">+AH68</f>
        <v>0.0141548910720674</v>
      </c>
      <c r="L68" s="198"/>
      <c r="M68" s="177"/>
      <c r="N68" s="141"/>
      <c r="O68" s="178"/>
      <c r="P68" s="294" t="n">
        <f aca="false">+SUM(Q68:R68)</f>
        <v>0.4675</v>
      </c>
      <c r="Q68" s="200" t="n">
        <v>0</v>
      </c>
      <c r="R68" s="201" t="n">
        <f aca="false">0.55*0.85</f>
        <v>0.4675</v>
      </c>
      <c r="S68" s="238" t="n">
        <f aca="false">1-SUM(Q68:R68)</f>
        <v>0.5325</v>
      </c>
      <c r="T68" s="202" t="n">
        <v>0</v>
      </c>
      <c r="U68" s="202" t="n">
        <f aca="false">+S68-T68</f>
        <v>0.5325</v>
      </c>
      <c r="V68" s="191"/>
      <c r="W68" s="192"/>
      <c r="X68" s="204"/>
      <c r="Y68" s="205"/>
      <c r="Z68" s="234" t="n">
        <f aca="false">+$AE68*Q68</f>
        <v>0</v>
      </c>
      <c r="AA68" s="234" t="n">
        <f aca="false">+$AE68*R68</f>
        <v>80.0173</v>
      </c>
      <c r="AB68" s="234"/>
      <c r="AC68" s="234" t="n">
        <f aca="false">+$AE68*T68</f>
        <v>0</v>
      </c>
      <c r="AD68" s="234" t="n">
        <f aca="false">+$AE68*U68</f>
        <v>91.1427</v>
      </c>
      <c r="AE68" s="206" t="n">
        <f aca="false">+'calculs et données'!O81</f>
        <v>171.16</v>
      </c>
      <c r="AF68" s="48"/>
      <c r="AG68" s="49"/>
      <c r="AH68" s="85" t="n">
        <f aca="false">+AE68/$AH$3</f>
        <v>0.0141548910720674</v>
      </c>
      <c r="AI68" s="85"/>
      <c r="AJ68" s="49"/>
      <c r="AK68" s="49"/>
    </row>
    <row r="69" customFormat="false" ht="12.75" hidden="false" customHeight="true" outlineLevel="0" collapsed="false">
      <c r="B69" s="133"/>
      <c r="C69" s="134"/>
      <c r="D69" s="181"/>
      <c r="E69" s="195"/>
      <c r="F69" s="196" t="s">
        <v>88</v>
      </c>
      <c r="G69" s="197"/>
      <c r="H69" s="197"/>
      <c r="I69" s="197" t="str">
        <f aca="false">+TEXT(AE69,"# ##0")&amp;" kg"</f>
        <v>62 kg</v>
      </c>
      <c r="J69" s="197"/>
      <c r="K69" s="130" t="n">
        <f aca="false">+AH69</f>
        <v>0.00514723311711541</v>
      </c>
      <c r="L69" s="198"/>
      <c r="M69" s="177"/>
      <c r="N69" s="141"/>
      <c r="O69" s="178"/>
      <c r="P69" s="294" t="n">
        <f aca="false">+SUM(Q69:R69)</f>
        <v>0.4675</v>
      </c>
      <c r="Q69" s="200" t="n">
        <v>0</v>
      </c>
      <c r="R69" s="201" t="n">
        <f aca="false">0.55*0.85</f>
        <v>0.4675</v>
      </c>
      <c r="S69" s="238" t="n">
        <f aca="false">1-SUM(Q69:R69)</f>
        <v>0.5325</v>
      </c>
      <c r="T69" s="202" t="n">
        <v>0</v>
      </c>
      <c r="U69" s="202" t="n">
        <f aca="false">+S69-T69</f>
        <v>0.5325</v>
      </c>
      <c r="V69" s="191"/>
      <c r="W69" s="192"/>
      <c r="X69" s="204"/>
      <c r="Y69" s="205"/>
      <c r="Z69" s="234" t="n">
        <f aca="false">+$AE69*Q69</f>
        <v>0</v>
      </c>
      <c r="AA69" s="234" t="n">
        <f aca="false">+$AE69*R69</f>
        <v>29.0972</v>
      </c>
      <c r="AB69" s="234"/>
      <c r="AC69" s="234" t="n">
        <f aca="false">+$AE69*T69</f>
        <v>0</v>
      </c>
      <c r="AD69" s="234" t="n">
        <f aca="false">+$AE69*U69</f>
        <v>33.1428</v>
      </c>
      <c r="AE69" s="206" t="n">
        <f aca="false">+'calculs et données'!O82</f>
        <v>62.24</v>
      </c>
      <c r="AF69" s="48"/>
      <c r="AG69" s="49"/>
      <c r="AH69" s="85" t="n">
        <f aca="false">+AE69/$AH$3</f>
        <v>0.00514723311711541</v>
      </c>
      <c r="AI69" s="85"/>
      <c r="AJ69" s="49"/>
      <c r="AK69" s="49"/>
    </row>
    <row r="70" customFormat="false" ht="12.75" hidden="false" customHeight="true" outlineLevel="0" collapsed="false">
      <c r="B70" s="133"/>
      <c r="C70" s="134"/>
      <c r="D70" s="181"/>
      <c r="E70" s="207"/>
      <c r="F70" s="208" t="s">
        <v>89</v>
      </c>
      <c r="G70" s="209"/>
      <c r="H70" s="209"/>
      <c r="I70" s="209" t="str">
        <f aca="false">+TEXT(AE70,"# ##0")&amp;" kg"</f>
        <v>140 kg</v>
      </c>
      <c r="J70" s="209"/>
      <c r="K70" s="210" t="n">
        <f aca="false">+AH70</f>
        <v>0.0115779665230745</v>
      </c>
      <c r="L70" s="211"/>
      <c r="M70" s="177"/>
      <c r="N70" s="141"/>
      <c r="O70" s="178"/>
      <c r="P70" s="295" t="n">
        <f aca="false">+SUM(Q70:R70)</f>
        <v>0.35</v>
      </c>
      <c r="Q70" s="213" t="n">
        <v>0</v>
      </c>
      <c r="R70" s="214" t="n">
        <v>0.35</v>
      </c>
      <c r="S70" s="239" t="n">
        <f aca="false">1-SUM(Q70:R70)</f>
        <v>0.65</v>
      </c>
      <c r="T70" s="215" t="n">
        <v>0</v>
      </c>
      <c r="U70" s="215" t="n">
        <f aca="false">+S70-T70</f>
        <v>0.65</v>
      </c>
      <c r="V70" s="191"/>
      <c r="W70" s="192"/>
      <c r="X70" s="204"/>
      <c r="Y70" s="205"/>
      <c r="Z70" s="234" t="n">
        <f aca="false">+$AE70*Q70</f>
        <v>0</v>
      </c>
      <c r="AA70" s="234" t="n">
        <f aca="false">+$AE70*R70</f>
        <v>49</v>
      </c>
      <c r="AB70" s="234"/>
      <c r="AC70" s="234" t="n">
        <f aca="false">+$AE70*T70</f>
        <v>0</v>
      </c>
      <c r="AD70" s="234" t="n">
        <f aca="false">+$AE70*U70</f>
        <v>91</v>
      </c>
      <c r="AE70" s="206" t="n">
        <f aca="false">+'calculs et données'!O83</f>
        <v>140</v>
      </c>
      <c r="AF70" s="48"/>
      <c r="AG70" s="49"/>
      <c r="AH70" s="85" t="n">
        <f aca="false">+AE70/$AH$3</f>
        <v>0.0115779665230745</v>
      </c>
      <c r="AI70" s="85"/>
      <c r="AJ70" s="49"/>
      <c r="AK70" s="49"/>
    </row>
    <row r="71" customFormat="false" ht="13.5" hidden="false" customHeight="false" outlineLevel="0" collapsed="false">
      <c r="B71" s="133"/>
      <c r="C71" s="134"/>
      <c r="D71" s="181"/>
      <c r="E71" s="218"/>
      <c r="F71" s="219"/>
      <c r="G71" s="175"/>
      <c r="H71" s="175"/>
      <c r="I71" s="175"/>
      <c r="J71" s="175"/>
      <c r="K71" s="176"/>
      <c r="L71" s="175"/>
      <c r="M71" s="177"/>
      <c r="N71" s="141"/>
      <c r="O71" s="178"/>
      <c r="P71" s="175"/>
      <c r="Q71" s="235"/>
      <c r="R71" s="235"/>
      <c r="S71" s="235"/>
      <c r="T71" s="235"/>
      <c r="U71" s="235"/>
      <c r="V71" s="240"/>
      <c r="W71" s="192"/>
      <c r="X71" s="204"/>
      <c r="Y71" s="205"/>
      <c r="Z71" s="234"/>
      <c r="AA71" s="234"/>
      <c r="AB71" s="234"/>
      <c r="AC71" s="234"/>
      <c r="AD71" s="234"/>
      <c r="AE71" s="206"/>
      <c r="AF71" s="48"/>
      <c r="AG71" s="49"/>
      <c r="AH71" s="49"/>
      <c r="AI71" s="49"/>
      <c r="AJ71" s="49"/>
      <c r="AK71" s="49"/>
    </row>
    <row r="72" customFormat="false" ht="13.5" hidden="false" customHeight="false" outlineLevel="0" collapsed="false">
      <c r="B72" s="133"/>
      <c r="C72" s="134"/>
      <c r="D72" s="181"/>
      <c r="E72" s="182" t="s">
        <v>168</v>
      </c>
      <c r="F72" s="184"/>
      <c r="G72" s="184"/>
      <c r="H72" s="185" t="str">
        <f aca="false">+TEXT(AF72,"# ##0")&amp;" kg"</f>
        <v>675 kg</v>
      </c>
      <c r="I72" s="184"/>
      <c r="J72" s="184"/>
      <c r="K72" s="186" t="n">
        <f aca="false">+AH72</f>
        <v>0.0557893161194328</v>
      </c>
      <c r="L72" s="187"/>
      <c r="M72" s="177"/>
      <c r="N72" s="141"/>
      <c r="O72" s="178"/>
      <c r="P72" s="175"/>
      <c r="Q72" s="235"/>
      <c r="R72" s="235"/>
      <c r="S72" s="235"/>
      <c r="T72" s="235"/>
      <c r="U72" s="235"/>
      <c r="V72" s="236"/>
      <c r="W72" s="232"/>
      <c r="X72" s="204"/>
      <c r="Y72" s="205"/>
      <c r="Z72" s="234"/>
      <c r="AA72" s="234"/>
      <c r="AB72" s="234"/>
      <c r="AC72" s="234"/>
      <c r="AD72" s="234"/>
      <c r="AE72" s="206"/>
      <c r="AF72" s="48" t="n">
        <f aca="false">+SUM(AE73:AE75)</f>
        <v>674.600694444444</v>
      </c>
      <c r="AG72" s="49"/>
      <c r="AH72" s="193" t="n">
        <f aca="false">+AF72/$AH$3</f>
        <v>0.0557893161194328</v>
      </c>
      <c r="AI72" s="193"/>
      <c r="AJ72" s="49"/>
      <c r="AK72" s="49"/>
    </row>
    <row r="73" customFormat="false" ht="14.25" hidden="false" customHeight="true" outlineLevel="0" collapsed="false">
      <c r="B73" s="133"/>
      <c r="C73" s="134"/>
      <c r="D73" s="181"/>
      <c r="E73" s="195"/>
      <c r="F73" s="196" t="s">
        <v>91</v>
      </c>
      <c r="G73" s="197"/>
      <c r="H73" s="197"/>
      <c r="I73" s="197" t="str">
        <f aca="false">+TEXT(AE73,"# ##0")&amp;" kg"</f>
        <v>492 kg</v>
      </c>
      <c r="J73" s="197"/>
      <c r="K73" s="130" t="n">
        <f aca="false">+AH73</f>
        <v>0.0407030706778151</v>
      </c>
      <c r="L73" s="198"/>
      <c r="M73" s="177"/>
      <c r="N73" s="141"/>
      <c r="O73" s="178"/>
      <c r="P73" s="188"/>
      <c r="Q73" s="189" t="n">
        <v>0</v>
      </c>
      <c r="R73" s="190" t="n">
        <f aca="false">5.3/31</f>
        <v>0.170967741935484</v>
      </c>
      <c r="S73" s="275" t="n">
        <f aca="false">1-SUM(Q73:R73)</f>
        <v>0.829032258064516</v>
      </c>
      <c r="T73" s="276" t="n">
        <v>0.1</v>
      </c>
      <c r="U73" s="277" t="n">
        <f aca="false">+S73-T73</f>
        <v>0.729032258064516</v>
      </c>
      <c r="V73" s="191" t="n">
        <v>13</v>
      </c>
      <c r="W73" s="192"/>
      <c r="X73" s="204"/>
      <c r="Y73" s="205"/>
      <c r="Z73" s="234" t="n">
        <f aca="false">+$AE73*Q73</f>
        <v>0</v>
      </c>
      <c r="AA73" s="234" t="n">
        <f aca="false">+$AE73*R73</f>
        <v>84.1467013888889</v>
      </c>
      <c r="AB73" s="234"/>
      <c r="AC73" s="234" t="n">
        <f aca="false">+$AE73*T73</f>
        <v>49.2178819444444</v>
      </c>
      <c r="AD73" s="234" t="n">
        <f aca="false">+$AE73*U73</f>
        <v>358.814236111111</v>
      </c>
      <c r="AE73" s="206" t="n">
        <f aca="false">+'calculs et données'!O85</f>
        <v>492.178819444444</v>
      </c>
      <c r="AF73" s="48"/>
      <c r="AG73" s="49"/>
      <c r="AH73" s="85" t="n">
        <f aca="false">+AE73/$AH$3</f>
        <v>0.0407030706778151</v>
      </c>
      <c r="AI73" s="85"/>
      <c r="AJ73" s="49"/>
      <c r="AK73" s="49"/>
    </row>
    <row r="74" customFormat="false" ht="12.75" hidden="false" customHeight="false" outlineLevel="0" collapsed="false">
      <c r="B74" s="133"/>
      <c r="C74" s="134"/>
      <c r="D74" s="181"/>
      <c r="E74" s="195"/>
      <c r="F74" s="196" t="s">
        <v>92</v>
      </c>
      <c r="G74" s="197"/>
      <c r="H74" s="197"/>
      <c r="I74" s="197" t="str">
        <f aca="false">+TEXT(AE74,"# ##0")&amp;" kg"</f>
        <v>134 kg</v>
      </c>
      <c r="J74" s="197"/>
      <c r="K74" s="130" t="n">
        <f aca="false">+AH74</f>
        <v>0.0110481711799428</v>
      </c>
      <c r="L74" s="198"/>
      <c r="M74" s="177"/>
      <c r="N74" s="141"/>
      <c r="O74" s="178"/>
      <c r="P74" s="199"/>
      <c r="Q74" s="200" t="n">
        <v>0</v>
      </c>
      <c r="R74" s="201" t="n">
        <v>0.7</v>
      </c>
      <c r="S74" s="238" t="n">
        <f aca="false">1-SUM(Q74:R74)</f>
        <v>0.3</v>
      </c>
      <c r="T74" s="202" t="n">
        <v>0.1</v>
      </c>
      <c r="U74" s="203" t="n">
        <f aca="false">+S74-T74</f>
        <v>0.2</v>
      </c>
      <c r="V74" s="191"/>
      <c r="W74" s="192"/>
      <c r="X74" s="204"/>
      <c r="Y74" s="205"/>
      <c r="Z74" s="234" t="n">
        <f aca="false">+$AE74*Q74</f>
        <v>0</v>
      </c>
      <c r="AA74" s="234" t="n">
        <f aca="false">+$AE74*R74</f>
        <v>93.515625</v>
      </c>
      <c r="AB74" s="234"/>
      <c r="AC74" s="234" t="n">
        <f aca="false">+$AE74*T74</f>
        <v>13.359375</v>
      </c>
      <c r="AD74" s="234" t="n">
        <f aca="false">+$AE74*U74</f>
        <v>26.71875</v>
      </c>
      <c r="AE74" s="206" t="n">
        <f aca="false">+'calculs et données'!O86</f>
        <v>133.59375</v>
      </c>
      <c r="AF74" s="48"/>
      <c r="AG74" s="49"/>
      <c r="AH74" s="85" t="n">
        <f aca="false">+AE74/$AH$3</f>
        <v>0.0110481711799428</v>
      </c>
      <c r="AI74" s="85"/>
      <c r="AJ74" s="49"/>
      <c r="AK74" s="49"/>
    </row>
    <row r="75" customFormat="false" ht="13.5" hidden="false" customHeight="false" outlineLevel="0" collapsed="false">
      <c r="B75" s="133"/>
      <c r="C75" s="134"/>
      <c r="D75" s="181"/>
      <c r="E75" s="207"/>
      <c r="F75" s="208" t="s">
        <v>169</v>
      </c>
      <c r="G75" s="209"/>
      <c r="H75" s="209"/>
      <c r="I75" s="209" t="str">
        <f aca="false">+TEXT(AE75,"# ##0")&amp;" kg"</f>
        <v>49 kg</v>
      </c>
      <c r="J75" s="209"/>
      <c r="K75" s="210" t="n">
        <f aca="false">+AH75</f>
        <v>0.00403807426167499</v>
      </c>
      <c r="L75" s="211"/>
      <c r="M75" s="177"/>
      <c r="N75" s="141"/>
      <c r="O75" s="178"/>
      <c r="P75" s="212"/>
      <c r="Q75" s="213" t="n">
        <v>0</v>
      </c>
      <c r="R75" s="214" t="n">
        <v>0.7</v>
      </c>
      <c r="S75" s="239" t="n">
        <f aca="false">1-SUM(Q75:R75)</f>
        <v>0.3</v>
      </c>
      <c r="T75" s="215" t="n">
        <v>0.1</v>
      </c>
      <c r="U75" s="216" t="n">
        <f aca="false">+S75-T75</f>
        <v>0.2</v>
      </c>
      <c r="V75" s="191"/>
      <c r="W75" s="192"/>
      <c r="X75" s="204"/>
      <c r="Y75" s="205"/>
      <c r="Z75" s="234" t="n">
        <f aca="false">+$AE75*Q75</f>
        <v>0</v>
      </c>
      <c r="AA75" s="234" t="n">
        <f aca="false">+$AE75*R75</f>
        <v>34.1796875</v>
      </c>
      <c r="AB75" s="234"/>
      <c r="AC75" s="234" t="n">
        <f aca="false">+$AE75*T75</f>
        <v>4.8828125</v>
      </c>
      <c r="AD75" s="234" t="n">
        <f aca="false">+$AE75*U75</f>
        <v>9.765625</v>
      </c>
      <c r="AE75" s="206" t="n">
        <f aca="false">+'calculs et données'!O87</f>
        <v>48.828125</v>
      </c>
      <c r="AF75" s="48"/>
      <c r="AG75" s="49"/>
      <c r="AH75" s="85" t="n">
        <f aca="false">+AE75/$AH$3</f>
        <v>0.00403807426167499</v>
      </c>
      <c r="AI75" s="85"/>
      <c r="AJ75" s="49"/>
      <c r="AK75" s="49"/>
    </row>
    <row r="76" customFormat="false" ht="13.5" hidden="false" customHeight="false" outlineLevel="0" collapsed="false">
      <c r="B76" s="133"/>
      <c r="C76" s="134"/>
      <c r="D76" s="181"/>
      <c r="E76" s="218"/>
      <c r="F76" s="219"/>
      <c r="G76" s="175"/>
      <c r="H76" s="175"/>
      <c r="I76" s="175"/>
      <c r="J76" s="175"/>
      <c r="K76" s="176"/>
      <c r="L76" s="175"/>
      <c r="M76" s="177"/>
      <c r="N76" s="141"/>
      <c r="O76" s="178"/>
      <c r="P76" s="175"/>
      <c r="Q76" s="235"/>
      <c r="R76" s="235"/>
      <c r="S76" s="235"/>
      <c r="T76" s="235"/>
      <c r="U76" s="235"/>
      <c r="V76" s="236"/>
      <c r="W76" s="232"/>
      <c r="X76" s="204"/>
      <c r="Y76" s="205"/>
      <c r="Z76" s="234" t="n">
        <f aca="false">+$AE76*Q76</f>
        <v>0</v>
      </c>
      <c r="AA76" s="234" t="n">
        <f aca="false">+$AE76*R76</f>
        <v>0</v>
      </c>
      <c r="AB76" s="234"/>
      <c r="AC76" s="234" t="n">
        <f aca="false">+$AE76*T76</f>
        <v>0</v>
      </c>
      <c r="AD76" s="234" t="n">
        <f aca="false">+$AE76*U76</f>
        <v>0</v>
      </c>
      <c r="AE76" s="206"/>
      <c r="AF76" s="48"/>
      <c r="AG76" s="49"/>
      <c r="AH76" s="85"/>
      <c r="AI76" s="85"/>
      <c r="AJ76" s="49"/>
      <c r="AK76" s="49"/>
    </row>
    <row r="77" customFormat="false" ht="12.75" hidden="false" customHeight="false" outlineLevel="0" collapsed="false">
      <c r="B77" s="133"/>
      <c r="C77" s="134"/>
      <c r="D77" s="181"/>
      <c r="E77" s="182" t="s">
        <v>94</v>
      </c>
      <c r="F77" s="184"/>
      <c r="G77" s="184"/>
      <c r="H77" s="185" t="str">
        <f aca="false">+TEXT(AF77,"# ##0")&amp;" kg"</f>
        <v>335 kg</v>
      </c>
      <c r="I77" s="184"/>
      <c r="J77" s="184"/>
      <c r="K77" s="186" t="n">
        <f aca="false">+AH77</f>
        <v>0.0276658187378989</v>
      </c>
      <c r="L77" s="187"/>
      <c r="M77" s="177"/>
      <c r="N77" s="141"/>
      <c r="O77" s="178"/>
      <c r="P77" s="188"/>
      <c r="Q77" s="189"/>
      <c r="R77" s="190"/>
      <c r="S77" s="237"/>
      <c r="T77" s="189"/>
      <c r="U77" s="190"/>
      <c r="V77" s="231" t="n">
        <v>14</v>
      </c>
      <c r="W77" s="232"/>
      <c r="X77" s="204"/>
      <c r="Y77" s="205"/>
      <c r="Z77" s="234"/>
      <c r="AA77" s="234"/>
      <c r="AB77" s="234"/>
      <c r="AC77" s="234"/>
      <c r="AD77" s="234"/>
      <c r="AE77" s="206"/>
      <c r="AF77" s="48" t="n">
        <f aca="false">+SUM(AE78:AE80)</f>
        <v>334.533237385568</v>
      </c>
      <c r="AG77" s="49"/>
      <c r="AH77" s="193" t="n">
        <f aca="false">+AF77/$AH$3</f>
        <v>0.0276658187378989</v>
      </c>
      <c r="AI77" s="193"/>
      <c r="AJ77" s="49"/>
      <c r="AK77" s="49"/>
    </row>
    <row r="78" customFormat="false" ht="12.75" hidden="false" customHeight="false" outlineLevel="0" collapsed="false">
      <c r="B78" s="133"/>
      <c r="C78" s="134"/>
      <c r="D78" s="181"/>
      <c r="E78" s="195"/>
      <c r="F78" s="196" t="s">
        <v>67</v>
      </c>
      <c r="G78" s="197"/>
      <c r="H78" s="197"/>
      <c r="I78" s="197" t="str">
        <f aca="false">+TEXT(AE78,"# ##0")&amp;" kg"</f>
        <v>157 kg</v>
      </c>
      <c r="J78" s="197"/>
      <c r="K78" s="130" t="n">
        <f aca="false">+AH78</f>
        <v>0.0130211796819055</v>
      </c>
      <c r="L78" s="198"/>
      <c r="M78" s="177"/>
      <c r="N78" s="141"/>
      <c r="O78" s="178"/>
      <c r="P78" s="199"/>
      <c r="Q78" s="200" t="n">
        <v>0</v>
      </c>
      <c r="R78" s="201" t="n">
        <v>0.2</v>
      </c>
      <c r="S78" s="238" t="n">
        <f aca="false">1-SUM(Q78:R78)</f>
        <v>0.8</v>
      </c>
      <c r="T78" s="202" t="n">
        <v>0.1</v>
      </c>
      <c r="U78" s="203" t="n">
        <f aca="false">+S78-T78</f>
        <v>0.7</v>
      </c>
      <c r="V78" s="231"/>
      <c r="W78" s="192"/>
      <c r="X78" s="204"/>
      <c r="Y78" s="205"/>
      <c r="Z78" s="234" t="n">
        <f aca="false">+$AE78*Q78</f>
        <v>0</v>
      </c>
      <c r="AA78" s="234" t="n">
        <f aca="false">+$AE78*R78</f>
        <v>31.4902474771137</v>
      </c>
      <c r="AB78" s="234"/>
      <c r="AC78" s="234" t="n">
        <f aca="false">+$AE78*T78</f>
        <v>15.7451237385568</v>
      </c>
      <c r="AD78" s="234" t="n">
        <f aca="false">+$AE78*U78</f>
        <v>110.215866169898</v>
      </c>
      <c r="AE78" s="206" t="n">
        <f aca="false">+'calculs et données'!O90</f>
        <v>157.451237385568</v>
      </c>
      <c r="AF78" s="48"/>
      <c r="AG78" s="49"/>
      <c r="AH78" s="85" t="n">
        <f aca="false">+AE78/$AH$3</f>
        <v>0.0130211796819055</v>
      </c>
      <c r="AI78" s="85"/>
      <c r="AJ78" s="49"/>
      <c r="AK78" s="49"/>
    </row>
    <row r="79" customFormat="false" ht="12.75" hidden="false" customHeight="false" outlineLevel="0" collapsed="false">
      <c r="B79" s="133"/>
      <c r="C79" s="134"/>
      <c r="D79" s="181"/>
      <c r="E79" s="195"/>
      <c r="F79" s="196" t="s">
        <v>68</v>
      </c>
      <c r="G79" s="197"/>
      <c r="H79" s="197"/>
      <c r="I79" s="197" t="str">
        <f aca="false">+TEXT(AE79,"# ##0")&amp;" kg"</f>
        <v>120 kg</v>
      </c>
      <c r="J79" s="197"/>
      <c r="K79" s="130" t="n">
        <f aca="false">+AH79</f>
        <v>0.00989502638918476</v>
      </c>
      <c r="L79" s="198"/>
      <c r="M79" s="177"/>
      <c r="N79" s="141"/>
      <c r="O79" s="178"/>
      <c r="P79" s="199"/>
      <c r="Q79" s="200" t="n">
        <v>0</v>
      </c>
      <c r="R79" s="201" t="n">
        <v>0.2</v>
      </c>
      <c r="S79" s="238" t="n">
        <f aca="false">1-SUM(Q79:R79)</f>
        <v>0.8</v>
      </c>
      <c r="T79" s="202" t="n">
        <v>0.1</v>
      </c>
      <c r="U79" s="203" t="n">
        <f aca="false">+S79-T79</f>
        <v>0.7</v>
      </c>
      <c r="V79" s="231"/>
      <c r="W79" s="192"/>
      <c r="X79" s="204"/>
      <c r="Y79" s="205"/>
      <c r="Z79" s="234" t="n">
        <f aca="false">+$AE79*Q79</f>
        <v>0</v>
      </c>
      <c r="AA79" s="234" t="n">
        <f aca="false">+$AE79*R79</f>
        <v>23.93</v>
      </c>
      <c r="AB79" s="234"/>
      <c r="AC79" s="234" t="n">
        <f aca="false">+$AE79*T79</f>
        <v>11.965</v>
      </c>
      <c r="AD79" s="234" t="n">
        <f aca="false">+$AE79*U79</f>
        <v>83.755</v>
      </c>
      <c r="AE79" s="206" t="n">
        <f aca="false">+'calculs et données'!O91</f>
        <v>119.65</v>
      </c>
      <c r="AF79" s="48"/>
      <c r="AG79" s="49"/>
      <c r="AH79" s="85" t="n">
        <f aca="false">+AE79/$AH$3</f>
        <v>0.00989502638918476</v>
      </c>
      <c r="AI79" s="85"/>
      <c r="AJ79" s="49"/>
      <c r="AK79" s="49"/>
    </row>
    <row r="80" customFormat="false" ht="13.5" hidden="false" customHeight="false" outlineLevel="0" collapsed="false">
      <c r="B80" s="133"/>
      <c r="C80" s="134"/>
      <c r="D80" s="181"/>
      <c r="E80" s="207"/>
      <c r="F80" s="208" t="s">
        <v>69</v>
      </c>
      <c r="G80" s="209"/>
      <c r="H80" s="209"/>
      <c r="I80" s="209" t="str">
        <f aca="false">+TEXT(AE80,"# ##0")&amp;" kg"</f>
        <v>57 kg</v>
      </c>
      <c r="J80" s="209"/>
      <c r="K80" s="210" t="n">
        <f aca="false">+AH80</f>
        <v>0.00474961266680868</v>
      </c>
      <c r="L80" s="211"/>
      <c r="M80" s="177"/>
      <c r="N80" s="141"/>
      <c r="O80" s="178"/>
      <c r="P80" s="212"/>
      <c r="Q80" s="213" t="n">
        <v>0</v>
      </c>
      <c r="R80" s="214" t="n">
        <v>0.2</v>
      </c>
      <c r="S80" s="239" t="n">
        <f aca="false">1-SUM(Q80:R80)</f>
        <v>0.8</v>
      </c>
      <c r="T80" s="215" t="n">
        <v>0.1</v>
      </c>
      <c r="U80" s="216" t="n">
        <f aca="false">+S80-T80</f>
        <v>0.7</v>
      </c>
      <c r="V80" s="231"/>
      <c r="W80" s="192"/>
      <c r="X80" s="204"/>
      <c r="Y80" s="205"/>
      <c r="Z80" s="234" t="n">
        <f aca="false">+$AE80*Q80</f>
        <v>0</v>
      </c>
      <c r="AA80" s="234" t="n">
        <f aca="false">+$AE80*R80</f>
        <v>11.4864</v>
      </c>
      <c r="AB80" s="234"/>
      <c r="AC80" s="234" t="n">
        <f aca="false">+$AE80*T80</f>
        <v>5.7432</v>
      </c>
      <c r="AD80" s="234" t="n">
        <f aca="false">+$AE80*U80</f>
        <v>40.2024</v>
      </c>
      <c r="AE80" s="206" t="n">
        <f aca="false">+'calculs et données'!O92</f>
        <v>57.432</v>
      </c>
      <c r="AF80" s="48"/>
      <c r="AG80" s="49"/>
      <c r="AH80" s="85" t="n">
        <f aca="false">+AE80/$AH$3</f>
        <v>0.00474961266680868</v>
      </c>
      <c r="AI80" s="85"/>
      <c r="AJ80" s="49"/>
      <c r="AK80" s="49"/>
    </row>
    <row r="81" customFormat="false" ht="13.5" hidden="false" customHeight="false" outlineLevel="0" collapsed="false">
      <c r="B81" s="133"/>
      <c r="C81" s="134"/>
      <c r="D81" s="278"/>
      <c r="E81" s="279"/>
      <c r="F81" s="281"/>
      <c r="G81" s="281"/>
      <c r="H81" s="281"/>
      <c r="I81" s="281"/>
      <c r="J81" s="281"/>
      <c r="K81" s="281"/>
      <c r="L81" s="281"/>
      <c r="M81" s="282"/>
      <c r="N81" s="141"/>
      <c r="O81" s="247"/>
      <c r="P81" s="248"/>
      <c r="Q81" s="250"/>
      <c r="R81" s="250"/>
      <c r="S81" s="250"/>
      <c r="T81" s="250"/>
      <c r="U81" s="250"/>
      <c r="V81" s="248"/>
      <c r="W81" s="296"/>
      <c r="X81" s="141"/>
      <c r="AE81" s="71"/>
      <c r="AF81" s="72"/>
      <c r="AG81" s="49"/>
      <c r="AH81" s="49"/>
      <c r="AI81" s="49"/>
      <c r="AJ81" s="49"/>
      <c r="AK81" s="49"/>
    </row>
    <row r="82" customFormat="false" ht="14.25" hidden="false" customHeight="false" outlineLevel="0" collapsed="false">
      <c r="B82" s="297"/>
      <c r="C82" s="298"/>
      <c r="D82" s="299"/>
      <c r="E82" s="299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1"/>
    </row>
    <row r="83" customFormat="false" ht="13.5" hidden="false" customHeight="false" outlineLevel="0" collapsed="false"/>
    <row r="86" customFormat="false" ht="12.75" hidden="false" customHeight="false" outlineLevel="0" collapsed="false">
      <c r="BA86" s="15" t="s">
        <v>32</v>
      </c>
    </row>
  </sheetData>
  <mergeCells count="15">
    <mergeCell ref="D3:F7"/>
    <mergeCell ref="G3:M7"/>
    <mergeCell ref="Q3:V3"/>
    <mergeCell ref="Q4:R4"/>
    <mergeCell ref="T4:U4"/>
    <mergeCell ref="V4:V7"/>
    <mergeCell ref="V11:V13"/>
    <mergeCell ref="V15:V16"/>
    <mergeCell ref="V18:V23"/>
    <mergeCell ref="V25:V30"/>
    <mergeCell ref="V37:V41"/>
    <mergeCell ref="V46:V48"/>
    <mergeCell ref="V64:V70"/>
    <mergeCell ref="V73:V75"/>
    <mergeCell ref="V77:V8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75" outlineLevelRow="0" outlineLevelCol="0"/>
  <cols>
    <col collapsed="false" customWidth="true" hidden="false" outlineLevel="0" max="4" min="1" style="0" width="10.67"/>
    <col collapsed="false" customWidth="true" hidden="false" outlineLevel="0" max="5" min="5" style="0" width="27"/>
    <col collapsed="false" customWidth="true" hidden="false" outlineLevel="0" max="1025" min="6" style="0" width="10.67"/>
  </cols>
  <sheetData>
    <row r="3" customFormat="false" ht="13.5" hidden="false" customHeight="false" outlineLevel="0" collapsed="false"/>
    <row r="4" customFormat="false" ht="12.75" hidden="false" customHeight="false" outlineLevel="0" collapsed="false">
      <c r="E4" s="302" t="s">
        <v>148</v>
      </c>
      <c r="F4" s="303" t="n">
        <f aca="false">+'tableau maslow'!Q7</f>
        <v>0.159947159603352</v>
      </c>
      <c r="G4" s="304" t="n">
        <f aca="false">-F4</f>
        <v>-0.159947159603352</v>
      </c>
      <c r="H4" s="305" t="str">
        <f aca="false">+TEXT(I4,"# ##0")&amp;" kg"</f>
        <v>1 934 kg</v>
      </c>
      <c r="I4" s="306" t="n">
        <f aca="false">+'tableau maslow'!Z4</f>
        <v>1934.0704</v>
      </c>
    </row>
    <row r="5" customFormat="false" ht="12.75" hidden="false" customHeight="false" outlineLevel="0" collapsed="false">
      <c r="E5" s="307" t="s">
        <v>170</v>
      </c>
      <c r="F5" s="44" t="n">
        <f aca="false">+'tableau maslow'!R7</f>
        <v>0.19303621304925</v>
      </c>
      <c r="G5" s="308" t="n">
        <f aca="false">-F5</f>
        <v>-0.19303621304925</v>
      </c>
      <c r="H5" s="143" t="str">
        <f aca="false">+TEXT(I5,"# ##0")&amp;" kg"</f>
        <v>2 334 kg</v>
      </c>
      <c r="I5" s="309" t="n">
        <f aca="false">+'tableau maslow'!AA4</f>
        <v>2334.18103023833</v>
      </c>
    </row>
    <row r="6" customFormat="false" ht="12.75" hidden="false" customHeight="false" outlineLevel="0" collapsed="false">
      <c r="E6" s="307" t="s">
        <v>171</v>
      </c>
      <c r="F6" s="44" t="n">
        <f aca="false">+'tableau maslow'!T7</f>
        <v>0.220355582914103</v>
      </c>
      <c r="G6" s="308" t="n">
        <f aca="false">-F6</f>
        <v>-0.220355582914103</v>
      </c>
      <c r="H6" s="143" t="str">
        <f aca="false">+TEXT(I6,"# ##0")&amp;" kg"</f>
        <v>2 665 kg</v>
      </c>
      <c r="I6" s="309" t="n">
        <f aca="false">+'tableau maslow'!AC4</f>
        <v>2664.52503092765</v>
      </c>
    </row>
    <row r="7" customFormat="false" ht="13.5" hidden="false" customHeight="false" outlineLevel="0" collapsed="false">
      <c r="E7" s="310" t="s">
        <v>172</v>
      </c>
      <c r="F7" s="311" t="n">
        <f aca="false">+'tableau maslow'!U7</f>
        <v>0.426661044433295</v>
      </c>
      <c r="G7" s="312" t="n">
        <f aca="false">-F7</f>
        <v>-0.426661044433295</v>
      </c>
      <c r="H7" s="313" t="str">
        <f aca="false">+TEXT(I7,"# ##0")&amp;" kg"</f>
        <v>5 159 kg</v>
      </c>
      <c r="I7" s="314" t="n">
        <f aca="false">+'tableau maslow'!AD4</f>
        <v>5159.15692981287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outlineLevelRow="0" outlineLevelCol="0"/>
  <cols>
    <col collapsed="false" customWidth="true" hidden="false" outlineLevel="0" max="1" min="1" style="0" width="10.67"/>
    <col collapsed="false" customWidth="true" hidden="false" outlineLevel="0" max="2" min="2" style="315" width="5.01"/>
    <col collapsed="false" customWidth="true" hidden="false" outlineLevel="0" max="3" min="3" style="316" width="65.42"/>
    <col collapsed="false" customWidth="true" hidden="false" outlineLevel="0" max="1025" min="4" style="0" width="10.67"/>
  </cols>
  <sheetData>
    <row r="3" customFormat="false" ht="13.5" hidden="false" customHeight="false" outlineLevel="0" collapsed="false"/>
    <row r="4" customFormat="false" ht="26.25" hidden="false" customHeight="false" outlineLevel="0" collapsed="false">
      <c r="B4" s="231" t="n">
        <v>1</v>
      </c>
      <c r="C4" s="317" t="s">
        <v>173</v>
      </c>
    </row>
    <row r="5" customFormat="false" ht="26.25" hidden="false" customHeight="false" outlineLevel="0" collapsed="false">
      <c r="B5" s="231" t="n">
        <v>2</v>
      </c>
      <c r="C5" s="318" t="s">
        <v>174</v>
      </c>
    </row>
    <row r="6" customFormat="false" ht="90" hidden="false" customHeight="false" outlineLevel="0" collapsed="false">
      <c r="B6" s="231" t="n">
        <v>3</v>
      </c>
      <c r="C6" s="317" t="s">
        <v>175</v>
      </c>
    </row>
    <row r="7" customFormat="false" ht="84.75" hidden="false" customHeight="false" outlineLevel="0" collapsed="false">
      <c r="B7" s="231" t="n">
        <v>4</v>
      </c>
      <c r="C7" s="319" t="s">
        <v>176</v>
      </c>
    </row>
    <row r="8" customFormat="false" ht="13.5" hidden="false" customHeight="false" outlineLevel="0" collapsed="false">
      <c r="B8" s="231" t="n">
        <v>5</v>
      </c>
      <c r="C8" s="317" t="s">
        <v>177</v>
      </c>
    </row>
    <row r="9" customFormat="false" ht="64.5" hidden="false" customHeight="false" outlineLevel="0" collapsed="false">
      <c r="B9" s="231" t="n">
        <v>6</v>
      </c>
      <c r="C9" s="317" t="s">
        <v>178</v>
      </c>
    </row>
    <row r="10" customFormat="false" ht="26.25" hidden="false" customHeight="false" outlineLevel="0" collapsed="false">
      <c r="B10" s="231" t="n">
        <v>7</v>
      </c>
      <c r="C10" s="318" t="s">
        <v>179</v>
      </c>
    </row>
    <row r="11" customFormat="false" ht="90" hidden="false" customHeight="false" outlineLevel="0" collapsed="false">
      <c r="B11" s="231" t="n">
        <v>11</v>
      </c>
      <c r="C11" s="317" t="s">
        <v>180</v>
      </c>
    </row>
    <row r="12" customFormat="false" ht="102.75" hidden="false" customHeight="false" outlineLevel="0" collapsed="false">
      <c r="B12" s="231" t="n">
        <v>12</v>
      </c>
      <c r="C12" s="317" t="s">
        <v>181</v>
      </c>
    </row>
    <row r="13" customFormat="false" ht="51.75" hidden="false" customHeight="false" outlineLevel="0" collapsed="false">
      <c r="B13" s="231" t="n">
        <v>13</v>
      </c>
      <c r="C13" s="317" t="s">
        <v>182</v>
      </c>
    </row>
    <row r="14" customFormat="false" ht="26.25" hidden="false" customHeight="false" outlineLevel="0" collapsed="false">
      <c r="B14" s="231" t="n">
        <v>14</v>
      </c>
      <c r="C14" s="320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7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"/>
    <col collapsed="false" customWidth="true" hidden="false" outlineLevel="0" max="3" min="3" style="0" width="26.42"/>
    <col collapsed="false" customWidth="true" hidden="false" outlineLevel="0" max="4" min="4" style="0" width="8"/>
    <col collapsed="false" customWidth="true" hidden="false" outlineLevel="0" max="1025" min="5" style="0" width="10.67"/>
  </cols>
  <sheetData>
    <row r="3" customFormat="false" ht="13.5" hidden="false" customHeight="false" outlineLevel="0" collapsed="false"/>
    <row r="4" customFormat="false" ht="49.5" hidden="false" customHeight="false" outlineLevel="0" collapsed="false">
      <c r="B4" s="321" t="s">
        <v>184</v>
      </c>
      <c r="C4" s="302" t="s">
        <v>185</v>
      </c>
      <c r="D4" s="322" t="s">
        <v>74</v>
      </c>
      <c r="E4" s="322" t="s">
        <v>82</v>
      </c>
      <c r="F4" s="323" t="s">
        <v>186</v>
      </c>
      <c r="G4" s="322" t="s">
        <v>7</v>
      </c>
      <c r="H4" s="324" t="s">
        <v>79</v>
      </c>
    </row>
    <row r="5" customFormat="false" ht="12.75" hidden="false" customHeight="false" outlineLevel="0" collapsed="false">
      <c r="B5" s="325" t="n">
        <f aca="false">+MAX(D5:H5)</f>
        <v>1143.7</v>
      </c>
      <c r="C5" s="326" t="s">
        <v>156</v>
      </c>
      <c r="D5" s="43"/>
      <c r="E5" s="43"/>
      <c r="F5" s="43"/>
      <c r="G5" s="43" t="n">
        <v>1143.7</v>
      </c>
      <c r="H5" s="327"/>
    </row>
    <row r="6" customFormat="false" ht="12.75" hidden="false" customHeight="false" outlineLevel="0" collapsed="false">
      <c r="B6" s="325" t="n">
        <f aca="false">+MAX(D6:H6)</f>
        <v>537.955</v>
      </c>
      <c r="C6" s="326" t="s">
        <v>78</v>
      </c>
      <c r="D6" s="43"/>
      <c r="E6" s="43"/>
      <c r="F6" s="43"/>
      <c r="G6" s="43" t="n">
        <v>537.955</v>
      </c>
      <c r="H6" s="327"/>
    </row>
    <row r="7" customFormat="false" ht="12.75" hidden="false" customHeight="false" outlineLevel="0" collapsed="false">
      <c r="B7" s="325" t="n">
        <f aca="false">+MAX(D7:H7)</f>
        <v>408.18</v>
      </c>
      <c r="C7" s="326" t="s">
        <v>154</v>
      </c>
      <c r="D7" s="43"/>
      <c r="E7" s="43"/>
      <c r="F7" s="43"/>
      <c r="G7" s="43" t="n">
        <v>408.18</v>
      </c>
      <c r="H7" s="327"/>
    </row>
    <row r="8" customFormat="false" ht="12.75" hidden="false" customHeight="false" outlineLevel="0" collapsed="false">
      <c r="B8" s="325" t="n">
        <f aca="false">+MAX(D8:H8)</f>
        <v>262.777</v>
      </c>
      <c r="C8" s="326" t="s">
        <v>10</v>
      </c>
      <c r="D8" s="43"/>
      <c r="E8" s="43"/>
      <c r="F8" s="43"/>
      <c r="G8" s="43" t="n">
        <v>262.777</v>
      </c>
      <c r="H8" s="327"/>
    </row>
    <row r="9" customFormat="false" ht="12.75" hidden="false" customHeight="false" outlineLevel="0" collapsed="false">
      <c r="B9" s="325" t="n">
        <f aca="false">+MAX(D9:H9)</f>
        <v>1179.73205914883</v>
      </c>
      <c r="C9" s="307" t="s">
        <v>187</v>
      </c>
      <c r="D9" s="43"/>
      <c r="E9" s="43"/>
      <c r="F9" s="43" t="n">
        <f aca="false">+'calculs et données'!P52</f>
        <v>1179.73205914883</v>
      </c>
      <c r="G9" s="43"/>
      <c r="H9" s="327"/>
    </row>
    <row r="10" customFormat="false" ht="12.75" hidden="false" customHeight="false" outlineLevel="0" collapsed="false">
      <c r="B10" s="325" t="n">
        <f aca="false">+MAX(D10:H10)</f>
        <v>682.4496</v>
      </c>
      <c r="C10" s="326" t="s">
        <v>159</v>
      </c>
      <c r="D10" s="43"/>
      <c r="E10" s="43"/>
      <c r="F10" s="43" t="n">
        <f aca="false">+'calculs et données'!P54</f>
        <v>682.4496</v>
      </c>
      <c r="G10" s="43"/>
      <c r="H10" s="327"/>
    </row>
    <row r="11" customFormat="false" ht="12.75" hidden="false" customHeight="false" outlineLevel="0" collapsed="false">
      <c r="B11" s="325" t="n">
        <f aca="false">+MAX(D11:H11)</f>
        <v>763.367</v>
      </c>
      <c r="C11" s="326" t="s">
        <v>56</v>
      </c>
      <c r="D11" s="43"/>
      <c r="E11" s="43"/>
      <c r="F11" s="43" t="n">
        <v>763.367</v>
      </c>
      <c r="G11" s="43"/>
      <c r="H11" s="327"/>
    </row>
    <row r="12" customFormat="false" ht="12.75" hidden="false" customHeight="false" outlineLevel="0" collapsed="false">
      <c r="B12" s="325" t="n">
        <f aca="false">+MAX(D12:H12)</f>
        <v>1972.3312</v>
      </c>
      <c r="C12" s="326" t="s">
        <v>163</v>
      </c>
      <c r="D12" s="43" t="n">
        <v>1972.3312</v>
      </c>
      <c r="E12" s="43"/>
      <c r="F12" s="43"/>
      <c r="G12" s="43"/>
      <c r="H12" s="327"/>
    </row>
    <row r="13" customFormat="false" ht="12.75" hidden="false" customHeight="false" outlineLevel="0" collapsed="false">
      <c r="B13" s="325" t="n">
        <f aca="false">+MAX(D13:H13)</f>
        <v>479.718</v>
      </c>
      <c r="C13" s="326" t="s">
        <v>77</v>
      </c>
      <c r="D13" s="43" t="n">
        <v>479.718</v>
      </c>
      <c r="E13" s="43"/>
      <c r="F13" s="43"/>
      <c r="G13" s="43"/>
      <c r="H13" s="327"/>
    </row>
    <row r="14" customFormat="false" ht="12.75" hidden="false" customHeight="false" outlineLevel="0" collapsed="false">
      <c r="B14" s="325" t="n">
        <f aca="false">+MAX(D14:H14)</f>
        <v>382.88</v>
      </c>
      <c r="C14" s="326" t="s">
        <v>165</v>
      </c>
      <c r="D14" s="43" t="n">
        <v>382.88</v>
      </c>
      <c r="E14" s="43"/>
      <c r="F14" s="43"/>
      <c r="G14" s="43"/>
      <c r="H14" s="327"/>
    </row>
    <row r="15" customFormat="false" ht="12.75" hidden="false" customHeight="false" outlineLevel="0" collapsed="false">
      <c r="B15" s="325" t="n">
        <f aca="false">+MAX(D15:H15)</f>
        <v>84.548</v>
      </c>
      <c r="C15" s="307" t="s">
        <v>188</v>
      </c>
      <c r="D15" s="43" t="n">
        <v>84.548</v>
      </c>
      <c r="E15" s="43"/>
      <c r="F15" s="43"/>
      <c r="G15" s="43"/>
      <c r="H15" s="327"/>
    </row>
    <row r="16" customFormat="false" ht="12.75" hidden="false" customHeight="false" outlineLevel="0" collapsed="false">
      <c r="B16" s="325" t="n">
        <f aca="false">+MAX(D16:H16)</f>
        <v>1489.1616</v>
      </c>
      <c r="C16" s="326" t="s">
        <v>166</v>
      </c>
      <c r="D16" s="43"/>
      <c r="E16" s="43"/>
      <c r="F16" s="43"/>
      <c r="G16" s="43"/>
      <c r="H16" s="327" t="n">
        <v>1489.1616</v>
      </c>
    </row>
    <row r="17" customFormat="false" ht="12.75" hidden="false" customHeight="false" outlineLevel="0" collapsed="false">
      <c r="B17" s="325" t="n">
        <f aca="false">+MAX(D17:H17)</f>
        <v>1696</v>
      </c>
      <c r="C17" s="326" t="s">
        <v>167</v>
      </c>
      <c r="D17" s="43"/>
      <c r="E17" s="43" t="n">
        <v>1696</v>
      </c>
      <c r="F17" s="43"/>
      <c r="G17" s="43"/>
      <c r="H17" s="327"/>
    </row>
    <row r="18" customFormat="false" ht="12.75" hidden="false" customHeight="false" outlineLevel="0" collapsed="false">
      <c r="B18" s="325" t="n">
        <f aca="false">+MAX(D18:H18)</f>
        <v>674.600694444444</v>
      </c>
      <c r="C18" s="326" t="s">
        <v>168</v>
      </c>
      <c r="D18" s="43"/>
      <c r="E18" s="43" t="n">
        <v>674.600694444444</v>
      </c>
      <c r="F18" s="43"/>
      <c r="G18" s="43"/>
      <c r="H18" s="327"/>
    </row>
    <row r="19" customFormat="false" ht="13.5" hidden="false" customHeight="false" outlineLevel="0" collapsed="false">
      <c r="B19" s="328" t="n">
        <f aca="false">+MAX(D19:H19)</f>
        <v>334.533237385568</v>
      </c>
      <c r="C19" s="329" t="s">
        <v>94</v>
      </c>
      <c r="D19" s="330"/>
      <c r="E19" s="330" t="n">
        <v>334.533237385568</v>
      </c>
      <c r="F19" s="330"/>
      <c r="G19" s="330"/>
      <c r="H19" s="331"/>
    </row>
    <row r="21" customFormat="false" ht="13.5" hidden="false" customHeight="false" outlineLevel="0" collapsed="false"/>
    <row r="22" customFormat="false" ht="12.75" hidden="false" customHeight="false" outlineLevel="0" collapsed="false">
      <c r="C22" s="332"/>
      <c r="D22" s="333" t="n">
        <f aca="false">+SUM(D5:D21)</f>
        <v>2919.4772</v>
      </c>
      <c r="E22" s="333" t="n">
        <f aca="false">+SUM(E5:E21)</f>
        <v>2705.13393183001</v>
      </c>
      <c r="F22" s="333" t="n">
        <f aca="false">+SUM(F5:F21)</f>
        <v>2625.54865914883</v>
      </c>
      <c r="G22" s="333" t="n">
        <f aca="false">+SUM(G5:G21)</f>
        <v>2352.612</v>
      </c>
      <c r="H22" s="333" t="n">
        <f aca="false">+SUM(H5:H21)</f>
        <v>1489.1616</v>
      </c>
      <c r="I22" s="334" t="n">
        <f aca="false">+SUM(D22:H22)</f>
        <v>12091.9333909788</v>
      </c>
      <c r="T22" s="15" t="s">
        <v>32</v>
      </c>
    </row>
    <row r="23" customFormat="false" ht="13.5" hidden="false" customHeight="false" outlineLevel="0" collapsed="false">
      <c r="C23" s="329"/>
      <c r="D23" s="335"/>
      <c r="E23" s="335"/>
      <c r="F23" s="335"/>
      <c r="G23" s="335"/>
      <c r="H23" s="335"/>
      <c r="I23" s="336" t="n">
        <f aca="false">+'calculs et données'!Q4</f>
        <v>12091.9333909788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F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C5" activeCellId="0" sqref="C5"/>
    </sheetView>
  </sheetViews>
  <sheetFormatPr defaultRowHeight="12.75" outlineLevelRow="0" outlineLevelCol="0"/>
  <cols>
    <col collapsed="false" customWidth="true" hidden="false" outlineLevel="0" max="2" min="1" style="0" width="3.14"/>
    <col collapsed="false" customWidth="true" hidden="false" outlineLevel="0" max="3" min="3" style="1" width="3.14"/>
    <col collapsed="false" customWidth="true" hidden="false" outlineLevel="0" max="4" min="4" style="124" width="2.42"/>
    <col collapsed="false" customWidth="true" hidden="false" outlineLevel="0" max="5" min="5" style="2" width="2.99"/>
    <col collapsed="false" customWidth="true" hidden="false" outlineLevel="0" max="6" min="6" style="0" width="28.14"/>
    <col collapsed="false" customWidth="true" hidden="false" outlineLevel="0" max="7" min="7" style="0" width="2.99"/>
    <col collapsed="false" customWidth="true" hidden="false" outlineLevel="0" max="8" min="8" style="0" width="2.85"/>
    <col collapsed="false" customWidth="true" hidden="false" outlineLevel="0" max="9" min="9" style="0" width="6.57"/>
    <col collapsed="false" customWidth="true" hidden="false" outlineLevel="0" max="10" min="10" style="0" width="2.14"/>
    <col collapsed="false" customWidth="true" hidden="false" outlineLevel="0" max="11" min="11" style="0" width="7.71"/>
    <col collapsed="false" customWidth="true" hidden="false" outlineLevel="0" max="12" min="12" style="0" width="1.29"/>
    <col collapsed="false" customWidth="true" hidden="false" outlineLevel="0" max="13" min="13" style="0" width="1.85"/>
    <col collapsed="false" customWidth="true" hidden="false" outlineLevel="0" max="14" min="14" style="77" width="3.14"/>
    <col collapsed="false" customWidth="true" hidden="false" outlineLevel="0" max="15" min="15" style="124" width="2.42"/>
    <col collapsed="false" customWidth="true" hidden="false" outlineLevel="0" max="16" min="16" style="2" width="2.99"/>
    <col collapsed="false" customWidth="true" hidden="false" outlineLevel="0" max="17" min="17" style="0" width="28.14"/>
    <col collapsed="false" customWidth="true" hidden="false" outlineLevel="0" max="18" min="18" style="0" width="2.99"/>
    <col collapsed="false" customWidth="true" hidden="false" outlineLevel="0" max="19" min="19" style="0" width="2.85"/>
    <col collapsed="false" customWidth="true" hidden="false" outlineLevel="0" max="20" min="20" style="0" width="6.57"/>
    <col collapsed="false" customWidth="true" hidden="false" outlineLevel="0" max="21" min="21" style="0" width="2.14"/>
    <col collapsed="false" customWidth="true" hidden="false" outlineLevel="0" max="22" min="22" style="0" width="7.71"/>
    <col collapsed="false" customWidth="true" hidden="false" outlineLevel="0" max="23" min="23" style="0" width="1.29"/>
    <col collapsed="false" customWidth="true" hidden="false" outlineLevel="0" max="24" min="24" style="0" width="1.85"/>
    <col collapsed="false" customWidth="true" hidden="false" outlineLevel="0" max="25" min="25" style="77" width="3.14"/>
    <col collapsed="false" customWidth="true" hidden="false" outlineLevel="0" max="26" min="26" style="77" width="15.29"/>
    <col collapsed="false" customWidth="true" hidden="false" outlineLevel="0" max="27" min="27" style="7" width="7"/>
    <col collapsed="false" customWidth="true" hidden="false" outlineLevel="0" max="28" min="28" style="4" width="7.15"/>
    <col collapsed="false" customWidth="true" hidden="false" outlineLevel="0" max="32" min="29" style="0" width="8"/>
    <col collapsed="false" customWidth="true" hidden="false" outlineLevel="0" max="1025" min="33" style="0" width="10.67"/>
  </cols>
  <sheetData>
    <row r="1" customFormat="false" ht="13.5" hidden="false" customHeight="false" outlineLevel="0" collapsed="false"/>
    <row r="2" customFormat="false" ht="12.75" hidden="false" customHeight="false" outlineLevel="0" collapsed="false">
      <c r="AA2" s="7" t="n">
        <v>2016</v>
      </c>
      <c r="AB2" s="132" t="n">
        <v>2015</v>
      </c>
    </row>
    <row r="3" customFormat="false" ht="13.5" hidden="false" customHeight="false" outlineLevel="0" collapsed="false">
      <c r="Q3" s="337"/>
      <c r="AB3" s="145" t="n">
        <v>11900</v>
      </c>
      <c r="AC3" s="146" t="n">
        <f aca="false">+'calculs et données'!Q4</f>
        <v>12091.9333909788</v>
      </c>
    </row>
    <row r="4" customFormat="false" ht="14.25" hidden="false" customHeight="false" outlineLevel="0" collapsed="false">
      <c r="AA4" s="7" t="n">
        <v>12800</v>
      </c>
      <c r="AB4" s="4" t="n">
        <f aca="false">+AB6+AB30+AB34+AB41+AB54+AB59</f>
        <v>5814.2256</v>
      </c>
      <c r="AC4" s="147" t="n">
        <f aca="false">+SUM(AC6:AC78)</f>
        <v>12091.9333909788</v>
      </c>
      <c r="AD4" s="25" t="n">
        <f aca="false">+AC4/$AC$4</f>
        <v>1</v>
      </c>
      <c r="AE4" s="25"/>
      <c r="AF4" s="25"/>
    </row>
    <row r="5" customFormat="false" ht="14.25" hidden="false" customHeight="false" outlineLevel="0" collapsed="false">
      <c r="C5" s="338"/>
      <c r="D5" s="339"/>
      <c r="E5" s="339"/>
      <c r="F5" s="340"/>
      <c r="G5" s="340"/>
      <c r="H5" s="340"/>
      <c r="I5" s="340"/>
      <c r="J5" s="340"/>
      <c r="K5" s="340"/>
      <c r="L5" s="340"/>
      <c r="M5" s="340"/>
      <c r="N5" s="340"/>
      <c r="O5" s="339"/>
      <c r="P5" s="339"/>
      <c r="Q5" s="340"/>
      <c r="R5" s="340"/>
      <c r="S5" s="340"/>
      <c r="T5" s="340"/>
      <c r="U5" s="340"/>
      <c r="V5" s="340"/>
      <c r="W5" s="340"/>
      <c r="X5" s="340"/>
      <c r="Y5" s="341"/>
      <c r="AC5" s="342"/>
      <c r="AD5" s="25"/>
      <c r="AE5" s="25"/>
      <c r="AF5" s="25"/>
    </row>
    <row r="6" customFormat="false" ht="12.75" hidden="false" customHeight="true" outlineLevel="0" collapsed="false">
      <c r="C6" s="343"/>
      <c r="D6" s="344" t="s">
        <v>189</v>
      </c>
      <c r="E6" s="344"/>
      <c r="F6" s="344"/>
      <c r="G6" s="344"/>
      <c r="H6" s="344"/>
      <c r="I6" s="345" t="str">
        <f aca="false">+TEXT(AC4,"# ##0")&amp;" kg"</f>
        <v>12 092 kg</v>
      </c>
      <c r="J6" s="345"/>
      <c r="K6" s="345"/>
      <c r="L6" s="166"/>
      <c r="M6" s="167"/>
      <c r="N6" s="346"/>
      <c r="O6" s="161" t="s">
        <v>82</v>
      </c>
      <c r="P6" s="162"/>
      <c r="Q6" s="163"/>
      <c r="R6" s="164" t="str">
        <f aca="false">+TEXT(AC59,"# ##0")&amp;" kg"</f>
        <v>2 705 kg</v>
      </c>
      <c r="S6" s="163"/>
      <c r="T6" s="163"/>
      <c r="U6" s="163"/>
      <c r="V6" s="165" t="n">
        <f aca="false">+AD59</f>
        <v>0.223713929308292</v>
      </c>
      <c r="W6" s="166"/>
      <c r="X6" s="167"/>
      <c r="Y6" s="347"/>
      <c r="AA6" s="33"/>
      <c r="AB6" s="34"/>
      <c r="AC6" s="35" t="n">
        <f aca="false">+SUM(AA9:AA29)</f>
        <v>2352.612</v>
      </c>
      <c r="AD6" s="36" t="n">
        <f aca="false">+AC6/$AC$4</f>
        <v>0.19456044984131</v>
      </c>
      <c r="AE6" s="49"/>
      <c r="AF6" s="49"/>
    </row>
    <row r="7" customFormat="false" ht="12.75" hidden="false" customHeight="true" outlineLevel="0" collapsed="false">
      <c r="C7" s="343"/>
      <c r="D7" s="344"/>
      <c r="E7" s="344"/>
      <c r="F7" s="344"/>
      <c r="G7" s="344"/>
      <c r="H7" s="344"/>
      <c r="I7" s="345"/>
      <c r="J7" s="345"/>
      <c r="K7" s="345"/>
      <c r="L7" s="175"/>
      <c r="M7" s="177"/>
      <c r="N7" s="346"/>
      <c r="O7" s="171"/>
      <c r="P7" s="218"/>
      <c r="Q7" s="219"/>
      <c r="R7" s="174"/>
      <c r="S7" s="175"/>
      <c r="T7" s="175"/>
      <c r="U7" s="175"/>
      <c r="V7" s="175"/>
      <c r="W7" s="175"/>
      <c r="X7" s="177"/>
      <c r="Y7" s="347"/>
      <c r="AA7" s="47"/>
      <c r="AB7" s="180"/>
      <c r="AC7" s="35"/>
      <c r="AD7" s="36"/>
      <c r="AE7" s="49"/>
      <c r="AF7" s="49"/>
    </row>
    <row r="8" customFormat="false" ht="12.75" hidden="false" customHeight="true" outlineLevel="0" collapsed="false">
      <c r="C8" s="343"/>
      <c r="D8" s="344"/>
      <c r="E8" s="344"/>
      <c r="F8" s="344"/>
      <c r="G8" s="344"/>
      <c r="H8" s="344"/>
      <c r="I8" s="345"/>
      <c r="J8" s="345"/>
      <c r="K8" s="345"/>
      <c r="L8" s="281"/>
      <c r="M8" s="282"/>
      <c r="N8" s="346"/>
      <c r="O8" s="181"/>
      <c r="P8" s="182" t="s">
        <v>167</v>
      </c>
      <c r="Q8" s="184"/>
      <c r="R8" s="184"/>
      <c r="S8" s="185" t="str">
        <f aca="false">+TEXT(AB61,"# ##0")&amp;" kg"</f>
        <v>1 696 kg</v>
      </c>
      <c r="T8" s="184"/>
      <c r="U8" s="184"/>
      <c r="V8" s="348" t="n">
        <f aca="false">+AD61</f>
        <v>0.14025879445096</v>
      </c>
      <c r="W8" s="187"/>
      <c r="X8" s="177"/>
      <c r="Y8" s="347"/>
      <c r="AA8" s="47"/>
      <c r="AB8" s="48" t="n">
        <f aca="false">+SUM(AA9:AA10)</f>
        <v>262.777</v>
      </c>
      <c r="AC8" s="49"/>
      <c r="AD8" s="193" t="n">
        <f aca="false">+AB8/$AC$4</f>
        <v>0.0217315950645282</v>
      </c>
      <c r="AE8" s="194"/>
      <c r="AF8" s="194"/>
    </row>
    <row r="9" customFormat="false" ht="12.75" hidden="false" customHeight="true" outlineLevel="0" collapsed="false">
      <c r="C9" s="343"/>
      <c r="D9" s="349"/>
      <c r="E9" s="349"/>
      <c r="F9" s="346"/>
      <c r="G9" s="346"/>
      <c r="H9" s="346"/>
      <c r="I9" s="346"/>
      <c r="J9" s="346"/>
      <c r="K9" s="346"/>
      <c r="L9" s="346"/>
      <c r="M9" s="346"/>
      <c r="N9" s="346"/>
      <c r="O9" s="181"/>
      <c r="P9" s="195"/>
      <c r="Q9" s="196" t="s">
        <v>84</v>
      </c>
      <c r="R9" s="197"/>
      <c r="S9" s="197"/>
      <c r="T9" s="197" t="str">
        <f aca="false">+TEXT(AA62,"# ##0")&amp;" kg"</f>
        <v>654 kg</v>
      </c>
      <c r="U9" s="197"/>
      <c r="V9" s="130" t="n">
        <f aca="false">+AD62</f>
        <v>0.0540459477297118</v>
      </c>
      <c r="W9" s="198"/>
      <c r="X9" s="177"/>
      <c r="Y9" s="347"/>
      <c r="AA9" s="206" t="n">
        <f aca="false">+SUM('calculs et données'!O9:O10)</f>
        <v>145.2</v>
      </c>
      <c r="AB9" s="48"/>
      <c r="AC9" s="49"/>
      <c r="AD9" s="85" t="n">
        <f aca="false">+AA9/$AC$4</f>
        <v>0.0120080052796459</v>
      </c>
      <c r="AE9" s="49"/>
      <c r="AF9" s="49"/>
    </row>
    <row r="10" customFormat="false" ht="12.75" hidden="false" customHeight="true" outlineLevel="0" collapsed="false">
      <c r="C10" s="343"/>
      <c r="D10" s="161" t="s">
        <v>7</v>
      </c>
      <c r="E10" s="162"/>
      <c r="F10" s="163"/>
      <c r="G10" s="164" t="str">
        <f aca="false">+TEXT(AC6,"# ##0")&amp;" kg"</f>
        <v>2 353 kg</v>
      </c>
      <c r="H10" s="163"/>
      <c r="I10" s="163"/>
      <c r="J10" s="163"/>
      <c r="K10" s="165" t="n">
        <f aca="false">+AD6</f>
        <v>0.19456044984131</v>
      </c>
      <c r="L10" s="166"/>
      <c r="M10" s="167"/>
      <c r="N10" s="346"/>
      <c r="O10" s="181"/>
      <c r="P10" s="195"/>
      <c r="Q10" s="196" t="s">
        <v>85</v>
      </c>
      <c r="R10" s="197"/>
      <c r="S10" s="197"/>
      <c r="T10" s="197" t="str">
        <f aca="false">+TEXT(AA63,"# ##0")&amp;" kg"</f>
        <v>498 kg</v>
      </c>
      <c r="U10" s="197"/>
      <c r="V10" s="130" t="n">
        <f aca="false">+AD63</f>
        <v>0.0411778649369233</v>
      </c>
      <c r="W10" s="198"/>
      <c r="X10" s="177"/>
      <c r="Y10" s="347"/>
      <c r="AA10" s="206" t="n">
        <f aca="false">+SUM('calculs et données'!O7:O8)</f>
        <v>117.577</v>
      </c>
      <c r="AB10" s="48"/>
      <c r="AC10" s="49"/>
      <c r="AD10" s="85" t="n">
        <f aca="false">+AA10/$AC$4</f>
        <v>0.00972358978488238</v>
      </c>
      <c r="AE10" s="194"/>
      <c r="AF10" s="194"/>
    </row>
    <row r="11" s="15" customFormat="true" ht="12.75" hidden="false" customHeight="true" outlineLevel="0" collapsed="false">
      <c r="C11" s="343"/>
      <c r="D11" s="171"/>
      <c r="E11" s="172"/>
      <c r="F11" s="173"/>
      <c r="G11" s="174"/>
      <c r="H11" s="175"/>
      <c r="I11" s="175"/>
      <c r="J11" s="175"/>
      <c r="K11" s="176"/>
      <c r="L11" s="175"/>
      <c r="M11" s="177"/>
      <c r="N11" s="350"/>
      <c r="O11" s="181"/>
      <c r="P11" s="195"/>
      <c r="Q11" s="196" t="s">
        <v>86</v>
      </c>
      <c r="R11" s="197"/>
      <c r="S11" s="197"/>
      <c r="T11" s="197" t="str">
        <f aca="false">+TEXT(AA64,"# ##0")&amp;" kg"</f>
        <v>171 kg</v>
      </c>
      <c r="U11" s="197"/>
      <c r="V11" s="130" t="n">
        <f aca="false">+AD64</f>
        <v>0.0141548910720674</v>
      </c>
      <c r="W11" s="198"/>
      <c r="X11" s="177"/>
      <c r="Y11" s="351"/>
      <c r="Z11" s="40"/>
      <c r="AA11" s="227"/>
      <c r="AB11" s="228"/>
      <c r="AC11" s="229"/>
      <c r="AD11" s="230"/>
      <c r="AE11" s="194"/>
      <c r="AF11" s="194"/>
    </row>
    <row r="12" customFormat="false" ht="12.75" hidden="false" customHeight="true" outlineLevel="0" collapsed="false">
      <c r="C12" s="343"/>
      <c r="D12" s="181"/>
      <c r="E12" s="182" t="s">
        <v>10</v>
      </c>
      <c r="F12" s="183"/>
      <c r="G12" s="184"/>
      <c r="H12" s="185" t="str">
        <f aca="false">+TEXT(AB8,"# ##0")&amp;" kg"</f>
        <v>263 kg</v>
      </c>
      <c r="I12" s="184"/>
      <c r="J12" s="184"/>
      <c r="K12" s="348" t="n">
        <f aca="false">+AD8</f>
        <v>0.0217315950645282</v>
      </c>
      <c r="L12" s="187"/>
      <c r="M12" s="177"/>
      <c r="N12" s="346"/>
      <c r="O12" s="181"/>
      <c r="P12" s="195"/>
      <c r="Q12" s="196" t="s">
        <v>87</v>
      </c>
      <c r="R12" s="197"/>
      <c r="S12" s="197"/>
      <c r="T12" s="197" t="str">
        <f aca="false">+TEXT(AA65,"# ##0")&amp;" kg"</f>
        <v>171 kg</v>
      </c>
      <c r="U12" s="197"/>
      <c r="V12" s="130" t="n">
        <f aca="false">+AD65</f>
        <v>0.0141548910720674</v>
      </c>
      <c r="W12" s="198"/>
      <c r="X12" s="177"/>
      <c r="Y12" s="347"/>
      <c r="AA12" s="206"/>
      <c r="AB12" s="48" t="n">
        <f aca="false">+AA13</f>
        <v>537.955</v>
      </c>
      <c r="AC12" s="49"/>
      <c r="AD12" s="193" t="n">
        <f aca="false">+AB12/$AC$4</f>
        <v>0.0444887498637182</v>
      </c>
      <c r="AE12" s="49"/>
      <c r="AF12" s="49"/>
    </row>
    <row r="13" customFormat="false" ht="12.75" hidden="false" customHeight="true" outlineLevel="0" collapsed="false">
      <c r="C13" s="343"/>
      <c r="D13" s="181"/>
      <c r="E13" s="195"/>
      <c r="F13" s="196" t="s">
        <v>151</v>
      </c>
      <c r="G13" s="197"/>
      <c r="H13" s="197"/>
      <c r="I13" s="197" t="str">
        <f aca="false">+TEXT(AA9,"# ##0")&amp;" kg"</f>
        <v>145 kg</v>
      </c>
      <c r="J13" s="197"/>
      <c r="K13" s="130" t="n">
        <f aca="false">+AD9</f>
        <v>0.0120080052796459</v>
      </c>
      <c r="L13" s="198"/>
      <c r="M13" s="177"/>
      <c r="N13" s="346"/>
      <c r="O13" s="181"/>
      <c r="P13" s="195"/>
      <c r="Q13" s="196" t="s">
        <v>88</v>
      </c>
      <c r="R13" s="197"/>
      <c r="S13" s="197"/>
      <c r="T13" s="197" t="str">
        <f aca="false">+TEXT(AA66,"# ##0")&amp;" kg"</f>
        <v>62 kg</v>
      </c>
      <c r="U13" s="197"/>
      <c r="V13" s="130" t="n">
        <f aca="false">+AD66</f>
        <v>0.00514723311711541</v>
      </c>
      <c r="W13" s="198"/>
      <c r="X13" s="177"/>
      <c r="Y13" s="347"/>
      <c r="AA13" s="206" t="n">
        <f aca="false">+SUM('calculs et données'!O13:O26)</f>
        <v>537.955</v>
      </c>
      <c r="AB13" s="48"/>
      <c r="AC13" s="49"/>
      <c r="AD13" s="85" t="n">
        <f aca="false">+AA13/$AC$4</f>
        <v>0.0444887498637182</v>
      </c>
      <c r="AE13" s="49"/>
      <c r="AF13" s="49"/>
    </row>
    <row r="14" customFormat="false" ht="12.75" hidden="false" customHeight="true" outlineLevel="0" collapsed="false">
      <c r="C14" s="343"/>
      <c r="D14" s="181"/>
      <c r="E14" s="207"/>
      <c r="F14" s="208" t="s">
        <v>152</v>
      </c>
      <c r="G14" s="209"/>
      <c r="H14" s="209"/>
      <c r="I14" s="209" t="str">
        <f aca="false">+TEXT(AA10,"# ##0")&amp;" kg"</f>
        <v>118 kg</v>
      </c>
      <c r="J14" s="209"/>
      <c r="K14" s="210" t="n">
        <f aca="false">+AD10</f>
        <v>0.00972358978488238</v>
      </c>
      <c r="L14" s="211"/>
      <c r="M14" s="177"/>
      <c r="N14" s="346"/>
      <c r="O14" s="181"/>
      <c r="P14" s="207"/>
      <c r="Q14" s="208" t="s">
        <v>89</v>
      </c>
      <c r="R14" s="209"/>
      <c r="S14" s="209"/>
      <c r="T14" s="209" t="str">
        <f aca="false">+TEXT(AA67,"# ##0")&amp;" kg"</f>
        <v>140 kg</v>
      </c>
      <c r="U14" s="209"/>
      <c r="V14" s="210" t="n">
        <f aca="false">+AD67</f>
        <v>0.0115779665230745</v>
      </c>
      <c r="W14" s="211"/>
      <c r="X14" s="177"/>
      <c r="Y14" s="347"/>
      <c r="AA14" s="206"/>
      <c r="AB14" s="48"/>
      <c r="AC14" s="49"/>
      <c r="AD14" s="49"/>
      <c r="AE14" s="49"/>
      <c r="AF14" s="49"/>
    </row>
    <row r="15" customFormat="false" ht="12.75" hidden="false" customHeight="true" outlineLevel="0" collapsed="false">
      <c r="C15" s="343"/>
      <c r="D15" s="181"/>
      <c r="E15" s="218"/>
      <c r="F15" s="219"/>
      <c r="G15" s="219"/>
      <c r="H15" s="219"/>
      <c r="I15" s="219"/>
      <c r="J15" s="219"/>
      <c r="K15" s="220"/>
      <c r="L15" s="219"/>
      <c r="M15" s="221"/>
      <c r="N15" s="346"/>
      <c r="O15" s="181"/>
      <c r="P15" s="218"/>
      <c r="Q15" s="219"/>
      <c r="R15" s="175"/>
      <c r="S15" s="175"/>
      <c r="T15" s="175"/>
      <c r="U15" s="175"/>
      <c r="V15" s="176"/>
      <c r="W15" s="175"/>
      <c r="X15" s="177"/>
      <c r="Y15" s="347"/>
      <c r="AA15" s="206"/>
      <c r="AB15" s="48" t="n">
        <f aca="false">+SUM(AA16:AA20)</f>
        <v>408.18</v>
      </c>
      <c r="AC15" s="49"/>
      <c r="AD15" s="193" t="n">
        <f aca="false">+AB15/$AC$4</f>
        <v>0.0337563883956325</v>
      </c>
      <c r="AE15" s="49"/>
      <c r="AF15" s="49"/>
    </row>
    <row r="16" customFormat="false" ht="12.75" hidden="false" customHeight="true" outlineLevel="0" collapsed="false">
      <c r="C16" s="343"/>
      <c r="D16" s="181"/>
      <c r="E16" s="182" t="s">
        <v>78</v>
      </c>
      <c r="F16" s="183"/>
      <c r="G16" s="184"/>
      <c r="H16" s="185" t="str">
        <f aca="false">+TEXT(AB12,"# ##0")&amp;" kg"</f>
        <v>538 kg</v>
      </c>
      <c r="I16" s="184"/>
      <c r="J16" s="184"/>
      <c r="K16" s="348" t="n">
        <f aca="false">+AD12</f>
        <v>0.0444887498637182</v>
      </c>
      <c r="L16" s="187"/>
      <c r="M16" s="177"/>
      <c r="N16" s="346"/>
      <c r="O16" s="181"/>
      <c r="P16" s="182" t="s">
        <v>168</v>
      </c>
      <c r="Q16" s="184"/>
      <c r="R16" s="184"/>
      <c r="S16" s="185" t="str">
        <f aca="false">+TEXT(AB69,"# ##0")&amp;" kg"</f>
        <v>626 kg</v>
      </c>
      <c r="T16" s="184"/>
      <c r="U16" s="184"/>
      <c r="V16" s="348" t="n">
        <f aca="false">+AD69</f>
        <v>0.0517512418577579</v>
      </c>
      <c r="W16" s="187"/>
      <c r="X16" s="177"/>
      <c r="Y16" s="347"/>
      <c r="AA16" s="206" t="n">
        <f aca="false">+'calculs et données'!O31</f>
        <v>74.4</v>
      </c>
      <c r="AB16" s="48"/>
      <c r="AC16" s="49"/>
      <c r="AD16" s="85" t="n">
        <f aca="false">+AA16/$AC$4</f>
        <v>0.00615286220940531</v>
      </c>
      <c r="AE16" s="49"/>
      <c r="AF16" s="49"/>
    </row>
    <row r="17" customFormat="false" ht="12.75" hidden="false" customHeight="true" outlineLevel="0" collapsed="false">
      <c r="C17" s="343"/>
      <c r="D17" s="181"/>
      <c r="E17" s="207"/>
      <c r="F17" s="233" t="s">
        <v>190</v>
      </c>
      <c r="G17" s="209"/>
      <c r="H17" s="209"/>
      <c r="I17" s="209" t="str">
        <f aca="false">+TEXT(AA13,"# ##0")&amp;" kg"</f>
        <v>538 kg</v>
      </c>
      <c r="J17" s="209"/>
      <c r="K17" s="210" t="n">
        <f aca="false">+AD13</f>
        <v>0.0444887498637182</v>
      </c>
      <c r="L17" s="211"/>
      <c r="M17" s="177"/>
      <c r="N17" s="346"/>
      <c r="O17" s="181"/>
      <c r="P17" s="195"/>
      <c r="Q17" s="196" t="s">
        <v>91</v>
      </c>
      <c r="R17" s="197"/>
      <c r="S17" s="197"/>
      <c r="T17" s="197" t="str">
        <f aca="false">+TEXT(AA70,"# ##0")&amp;" kg"</f>
        <v>492 kg</v>
      </c>
      <c r="U17" s="197"/>
      <c r="V17" s="130" t="n">
        <f aca="false">+AD70</f>
        <v>0.0407030706778151</v>
      </c>
      <c r="W17" s="198"/>
      <c r="X17" s="177"/>
      <c r="Y17" s="347"/>
      <c r="AA17" s="206" t="n">
        <f aca="false">+'calculs et données'!O32+'calculs et données'!O34</f>
        <v>110.06</v>
      </c>
      <c r="AB17" s="48"/>
      <c r="AC17" s="49"/>
      <c r="AD17" s="85" t="n">
        <f aca="false">+AA17/$AC$4</f>
        <v>0.00910193568235415</v>
      </c>
      <c r="AE17" s="49"/>
      <c r="AF17" s="49"/>
    </row>
    <row r="18" customFormat="false" ht="12.75" hidden="false" customHeight="true" outlineLevel="0" collapsed="false">
      <c r="C18" s="343"/>
      <c r="D18" s="181"/>
      <c r="E18" s="218"/>
      <c r="F18" s="219"/>
      <c r="G18" s="175"/>
      <c r="H18" s="175"/>
      <c r="I18" s="175"/>
      <c r="J18" s="175"/>
      <c r="K18" s="175"/>
      <c r="L18" s="175"/>
      <c r="M18" s="177"/>
      <c r="N18" s="346"/>
      <c r="O18" s="181"/>
      <c r="P18" s="195"/>
      <c r="Q18" s="196" t="s">
        <v>191</v>
      </c>
      <c r="R18" s="197"/>
      <c r="S18" s="197"/>
      <c r="T18" s="352" t="str">
        <f aca="false">+TEXT(AA71,"# ##0")&amp;" kg"</f>
        <v>134 kg</v>
      </c>
      <c r="U18" s="197"/>
      <c r="V18" s="130" t="n">
        <f aca="false">+AD71</f>
        <v>0.0110481711799428</v>
      </c>
      <c r="W18" s="198"/>
      <c r="X18" s="177"/>
      <c r="Y18" s="347"/>
      <c r="AA18" s="206" t="n">
        <f aca="false">+'calculs et données'!O33</f>
        <v>120</v>
      </c>
      <c r="AB18" s="48"/>
      <c r="AC18" s="49"/>
      <c r="AD18" s="85" t="n">
        <f aca="false">+AA18/$AC$4</f>
        <v>0.00992397130549244</v>
      </c>
      <c r="AE18" s="49"/>
      <c r="AF18" s="49"/>
    </row>
    <row r="19" customFormat="false" ht="12.75" hidden="false" customHeight="true" outlineLevel="0" collapsed="false">
      <c r="C19" s="343"/>
      <c r="D19" s="181"/>
      <c r="E19" s="182" t="s">
        <v>154</v>
      </c>
      <c r="F19" s="183"/>
      <c r="G19" s="184"/>
      <c r="H19" s="185" t="str">
        <f aca="false">+TEXT(AB15,"# ##0")&amp;" kg"</f>
        <v>408 kg</v>
      </c>
      <c r="I19" s="184"/>
      <c r="J19" s="184"/>
      <c r="K19" s="348" t="n">
        <f aca="false">+AD15</f>
        <v>0.0337563883956325</v>
      </c>
      <c r="L19" s="187"/>
      <c r="M19" s="177"/>
      <c r="N19" s="346"/>
      <c r="O19" s="181"/>
      <c r="P19" s="207"/>
      <c r="Q19" s="208" t="s">
        <v>192</v>
      </c>
      <c r="R19" s="209"/>
      <c r="S19" s="209"/>
      <c r="T19" s="209" t="str">
        <f aca="false">+TEXT(AA72,"# ##0")&amp;" kg"</f>
        <v>49 kg</v>
      </c>
      <c r="U19" s="209"/>
      <c r="V19" s="210" t="n">
        <f aca="false">+AD72</f>
        <v>0.00403807426167499</v>
      </c>
      <c r="W19" s="211"/>
      <c r="X19" s="177"/>
      <c r="Y19" s="347"/>
      <c r="AA19" s="206" t="n">
        <f aca="false">+'calculs et données'!O35</f>
        <v>76</v>
      </c>
      <c r="AB19" s="48"/>
      <c r="AC19" s="49"/>
      <c r="AD19" s="85" t="n">
        <f aca="false">+AA19/$AC$4</f>
        <v>0.00628518182681188</v>
      </c>
      <c r="AE19" s="49"/>
      <c r="AF19" s="49"/>
    </row>
    <row r="20" customFormat="false" ht="12.75" hidden="false" customHeight="true" outlineLevel="0" collapsed="false">
      <c r="C20" s="343"/>
      <c r="D20" s="181"/>
      <c r="E20" s="195"/>
      <c r="F20" s="196" t="s">
        <v>36</v>
      </c>
      <c r="G20" s="197"/>
      <c r="H20" s="197"/>
      <c r="I20" s="197" t="str">
        <f aca="false">+TEXT(AA16,"# ##0")&amp;" kg"</f>
        <v>74 kg</v>
      </c>
      <c r="J20" s="197"/>
      <c r="K20" s="130" t="n">
        <f aca="false">+AD16</f>
        <v>0.00615286220940531</v>
      </c>
      <c r="L20" s="198"/>
      <c r="M20" s="177"/>
      <c r="N20" s="346"/>
      <c r="O20" s="181"/>
      <c r="P20" s="218"/>
      <c r="Q20" s="219"/>
      <c r="R20" s="175"/>
      <c r="S20" s="175"/>
      <c r="T20" s="175"/>
      <c r="U20" s="175"/>
      <c r="V20" s="176"/>
      <c r="W20" s="175"/>
      <c r="X20" s="177"/>
      <c r="Y20" s="347"/>
      <c r="AA20" s="206" t="n">
        <f aca="false">+'calculs et données'!O36</f>
        <v>27.72</v>
      </c>
      <c r="AB20" s="48"/>
      <c r="AC20" s="49"/>
      <c r="AD20" s="85" t="n">
        <f aca="false">+AA20/$AC$4</f>
        <v>0.00229243737156875</v>
      </c>
      <c r="AE20" s="49"/>
      <c r="AF20" s="49"/>
    </row>
    <row r="21" customFormat="false" ht="12.75" hidden="false" customHeight="true" outlineLevel="0" collapsed="false">
      <c r="C21" s="343"/>
      <c r="D21" s="181"/>
      <c r="E21" s="195"/>
      <c r="F21" s="196" t="s">
        <v>155</v>
      </c>
      <c r="G21" s="197"/>
      <c r="H21" s="197"/>
      <c r="I21" s="197" t="str">
        <f aca="false">+TEXT(AA17,"# ##0")&amp;" kg"</f>
        <v>110 kg</v>
      </c>
      <c r="J21" s="197"/>
      <c r="K21" s="130" t="n">
        <f aca="false">+AD17</f>
        <v>0.00910193568235415</v>
      </c>
      <c r="L21" s="198"/>
      <c r="M21" s="177"/>
      <c r="N21" s="346"/>
      <c r="O21" s="181"/>
      <c r="P21" s="182" t="s">
        <v>94</v>
      </c>
      <c r="Q21" s="184"/>
      <c r="R21" s="184"/>
      <c r="S21" s="185" t="str">
        <f aca="false">+TEXT(AB74,"# ##0")&amp;" kg"</f>
        <v>335 kg</v>
      </c>
      <c r="T21" s="184"/>
      <c r="U21" s="184"/>
      <c r="V21" s="348" t="n">
        <f aca="false">+AD74</f>
        <v>0.0276658187378989</v>
      </c>
      <c r="W21" s="187"/>
      <c r="X21" s="177"/>
      <c r="Y21" s="347"/>
      <c r="AA21" s="206"/>
      <c r="AB21" s="48"/>
      <c r="AC21" s="49"/>
      <c r="AD21" s="49"/>
      <c r="AE21" s="49"/>
      <c r="AF21" s="49"/>
    </row>
    <row r="22" customFormat="false" ht="12.75" hidden="false" customHeight="true" outlineLevel="0" collapsed="false">
      <c r="C22" s="343"/>
      <c r="D22" s="181"/>
      <c r="E22" s="195"/>
      <c r="F22" s="196" t="s">
        <v>39</v>
      </c>
      <c r="G22" s="197"/>
      <c r="H22" s="197"/>
      <c r="I22" s="197" t="str">
        <f aca="false">+TEXT(AA18,"# ##0")&amp;" kg"</f>
        <v>120 kg</v>
      </c>
      <c r="J22" s="197"/>
      <c r="K22" s="130" t="n">
        <f aca="false">+AD18</f>
        <v>0.00992397130549244</v>
      </c>
      <c r="L22" s="198"/>
      <c r="M22" s="177"/>
      <c r="N22" s="346"/>
      <c r="O22" s="181"/>
      <c r="P22" s="195"/>
      <c r="Q22" s="196" t="s">
        <v>67</v>
      </c>
      <c r="R22" s="197"/>
      <c r="S22" s="197"/>
      <c r="T22" s="197" t="str">
        <f aca="false">+TEXT(AA75,"# ##0")&amp;" kg"</f>
        <v>157 kg</v>
      </c>
      <c r="U22" s="197"/>
      <c r="V22" s="130" t="n">
        <f aca="false">+AD75</f>
        <v>0.0130211796819055</v>
      </c>
      <c r="W22" s="198"/>
      <c r="X22" s="177"/>
      <c r="Y22" s="347"/>
      <c r="AA22" s="206"/>
      <c r="AB22" s="48" t="n">
        <f aca="false">+SUM(AA23:AA27)</f>
        <v>1143.7</v>
      </c>
      <c r="AC22" s="49"/>
      <c r="AD22" s="193" t="n">
        <f aca="false">+AB22/$AC$4</f>
        <v>0.0945837165174309</v>
      </c>
      <c r="AE22" s="49"/>
      <c r="AF22" s="49"/>
    </row>
    <row r="23" customFormat="false" ht="12.75" hidden="false" customHeight="true" outlineLevel="0" collapsed="false">
      <c r="C23" s="343"/>
      <c r="D23" s="181"/>
      <c r="E23" s="195"/>
      <c r="F23" s="196" t="s">
        <v>42</v>
      </c>
      <c r="G23" s="197"/>
      <c r="H23" s="197"/>
      <c r="I23" s="197" t="str">
        <f aca="false">+TEXT(AA19,"# ##0")&amp;" kg"</f>
        <v>76 kg</v>
      </c>
      <c r="J23" s="197"/>
      <c r="K23" s="130" t="n">
        <f aca="false">+AD19</f>
        <v>0.00628518182681188</v>
      </c>
      <c r="L23" s="198"/>
      <c r="M23" s="177"/>
      <c r="N23" s="346"/>
      <c r="O23" s="181"/>
      <c r="P23" s="195"/>
      <c r="Q23" s="196" t="s">
        <v>68</v>
      </c>
      <c r="R23" s="197"/>
      <c r="S23" s="197"/>
      <c r="T23" s="197" t="str">
        <f aca="false">+TEXT(AA76,"# ##0")&amp;" kg"</f>
        <v>120 kg</v>
      </c>
      <c r="U23" s="197"/>
      <c r="V23" s="130" t="n">
        <f aca="false">+AD76</f>
        <v>0.00989502638918476</v>
      </c>
      <c r="W23" s="198"/>
      <c r="X23" s="177"/>
      <c r="Y23" s="347"/>
      <c r="AA23" s="206" t="n">
        <f aca="false">+'calculs et données'!O39</f>
        <v>168.3</v>
      </c>
      <c r="AB23" s="48"/>
      <c r="AC23" s="49"/>
      <c r="AD23" s="85" t="n">
        <f aca="false">+AA23/$AC$4</f>
        <v>0.0139183697559532</v>
      </c>
      <c r="AE23" s="49"/>
      <c r="AF23" s="49"/>
    </row>
    <row r="24" customFormat="false" ht="12.75" hidden="false" customHeight="true" outlineLevel="0" collapsed="false">
      <c r="C24" s="343"/>
      <c r="D24" s="181"/>
      <c r="E24" s="207"/>
      <c r="F24" s="208" t="s">
        <v>43</v>
      </c>
      <c r="G24" s="209"/>
      <c r="H24" s="209"/>
      <c r="I24" s="209" t="str">
        <f aca="false">+TEXT(AA20,"# ##0")&amp;" kg"</f>
        <v>28 kg</v>
      </c>
      <c r="J24" s="209"/>
      <c r="K24" s="210" t="n">
        <f aca="false">+AD20</f>
        <v>0.00229243737156875</v>
      </c>
      <c r="L24" s="211"/>
      <c r="M24" s="177"/>
      <c r="N24" s="346"/>
      <c r="O24" s="181"/>
      <c r="P24" s="207"/>
      <c r="Q24" s="208" t="s">
        <v>69</v>
      </c>
      <c r="R24" s="209"/>
      <c r="S24" s="209"/>
      <c r="T24" s="209" t="str">
        <f aca="false">+TEXT(AA77,"# ##0")&amp;" kg"</f>
        <v>57 kg</v>
      </c>
      <c r="U24" s="209"/>
      <c r="V24" s="210" t="n">
        <f aca="false">+AD77</f>
        <v>0.00474961266680868</v>
      </c>
      <c r="W24" s="211"/>
      <c r="X24" s="177"/>
      <c r="Y24" s="347"/>
      <c r="AA24" s="206" t="n">
        <f aca="false">+'calculs et données'!O42+'calculs et données'!O43+'calculs et données'!O44</f>
        <v>650.1</v>
      </c>
      <c r="AB24" s="48"/>
      <c r="AC24" s="49"/>
      <c r="AD24" s="85" t="n">
        <f aca="false">+AA24/$AC$4</f>
        <v>0.0537631145475053</v>
      </c>
      <c r="AE24" s="49"/>
      <c r="AF24" s="49"/>
    </row>
    <row r="25" customFormat="false" ht="12.75" hidden="false" customHeight="true" outlineLevel="0" collapsed="false">
      <c r="C25" s="343"/>
      <c r="D25" s="181"/>
      <c r="E25" s="218"/>
      <c r="F25" s="219"/>
      <c r="G25" s="175"/>
      <c r="H25" s="175"/>
      <c r="I25" s="175"/>
      <c r="J25" s="175"/>
      <c r="K25" s="175"/>
      <c r="L25" s="175"/>
      <c r="M25" s="177"/>
      <c r="N25" s="346"/>
      <c r="O25" s="278"/>
      <c r="P25" s="279"/>
      <c r="Q25" s="281"/>
      <c r="R25" s="281"/>
      <c r="S25" s="281"/>
      <c r="T25" s="281"/>
      <c r="U25" s="281"/>
      <c r="V25" s="281"/>
      <c r="W25" s="281"/>
      <c r="X25" s="282"/>
      <c r="Y25" s="347"/>
      <c r="AA25" s="206" t="n">
        <f aca="false">+'calculs et données'!O40</f>
        <v>199.1</v>
      </c>
      <c r="AB25" s="48"/>
      <c r="AC25" s="49"/>
      <c r="AD25" s="85" t="n">
        <f aca="false">+AA25/$AC$4</f>
        <v>0.0164655223910295</v>
      </c>
      <c r="AE25" s="49"/>
      <c r="AF25" s="49"/>
    </row>
    <row r="26" customFormat="false" ht="12.75" hidden="false" customHeight="true" outlineLevel="0" collapsed="false">
      <c r="C26" s="343"/>
      <c r="D26" s="181"/>
      <c r="E26" s="182" t="s">
        <v>193</v>
      </c>
      <c r="F26" s="183"/>
      <c r="G26" s="184"/>
      <c r="H26" s="185" t="str">
        <f aca="false">+TEXT(AB22,"# ##0")&amp;" kg"</f>
        <v>1 144 kg</v>
      </c>
      <c r="I26" s="184"/>
      <c r="J26" s="184"/>
      <c r="K26" s="348" t="n">
        <f aca="false">+AD22</f>
        <v>0.0945837165174309</v>
      </c>
      <c r="L26" s="187"/>
      <c r="M26" s="177"/>
      <c r="N26" s="346"/>
      <c r="O26" s="349"/>
      <c r="P26" s="349"/>
      <c r="Q26" s="346"/>
      <c r="R26" s="346"/>
      <c r="S26" s="346"/>
      <c r="T26" s="346"/>
      <c r="U26" s="346"/>
      <c r="V26" s="346"/>
      <c r="W26" s="346"/>
      <c r="X26" s="346"/>
      <c r="Y26" s="347"/>
      <c r="AA26" s="206" t="n">
        <f aca="false">+'calculs et données'!O41</f>
        <v>109.2</v>
      </c>
      <c r="AB26" s="48"/>
      <c r="AC26" s="49"/>
      <c r="AD26" s="85" t="n">
        <f aca="false">+AA26/$AC$4</f>
        <v>0.00903081388799812</v>
      </c>
      <c r="AE26" s="49"/>
      <c r="AF26" s="49"/>
    </row>
    <row r="27" customFormat="false" ht="12.75" hidden="false" customHeight="true" outlineLevel="0" collapsed="false">
      <c r="C27" s="343"/>
      <c r="D27" s="181"/>
      <c r="E27" s="195"/>
      <c r="F27" s="196" t="s">
        <v>157</v>
      </c>
      <c r="G27" s="197"/>
      <c r="H27" s="197"/>
      <c r="I27" s="197" t="str">
        <f aca="false">+TEXT(AA23,"# ##0")&amp;" kg"</f>
        <v>168 kg</v>
      </c>
      <c r="J27" s="197"/>
      <c r="K27" s="130" t="n">
        <f aca="false">+AD23</f>
        <v>0.0139183697559532</v>
      </c>
      <c r="L27" s="198"/>
      <c r="M27" s="177"/>
      <c r="N27" s="346"/>
      <c r="O27" s="161" t="s">
        <v>73</v>
      </c>
      <c r="P27" s="162"/>
      <c r="Q27" s="163"/>
      <c r="R27" s="164" t="str">
        <f aca="false">+TEXT(AC41,"# ##0")&amp;" kg"</f>
        <v>2 919 kg</v>
      </c>
      <c r="S27" s="163"/>
      <c r="T27" s="163"/>
      <c r="U27" s="163"/>
      <c r="V27" s="165" t="n">
        <f aca="false">+AD41</f>
        <v>0.241440066331995</v>
      </c>
      <c r="W27" s="163"/>
      <c r="X27" s="167"/>
      <c r="Y27" s="347"/>
      <c r="AA27" s="206" t="n">
        <f aca="false">+'calculs et données'!O45</f>
        <v>17</v>
      </c>
      <c r="AB27" s="48"/>
      <c r="AC27" s="49"/>
      <c r="AD27" s="85" t="n">
        <f aca="false">+AA27/$AC$4</f>
        <v>0.00140589593494476</v>
      </c>
      <c r="AE27" s="49"/>
      <c r="AF27" s="49"/>
    </row>
    <row r="28" customFormat="false" ht="12.75" hidden="false" customHeight="true" outlineLevel="0" collapsed="false">
      <c r="C28" s="343"/>
      <c r="D28" s="181"/>
      <c r="E28" s="195"/>
      <c r="F28" s="196" t="s">
        <v>158</v>
      </c>
      <c r="G28" s="197"/>
      <c r="H28" s="197"/>
      <c r="I28" s="197" t="str">
        <f aca="false">+TEXT(AA24,"# ##0")&amp;" kg"</f>
        <v>650 kg</v>
      </c>
      <c r="J28" s="197"/>
      <c r="K28" s="130" t="n">
        <f aca="false">+AD24</f>
        <v>0.0537631145475053</v>
      </c>
      <c r="L28" s="198"/>
      <c r="M28" s="177"/>
      <c r="N28" s="346"/>
      <c r="O28" s="171"/>
      <c r="P28" s="218"/>
      <c r="Q28" s="175"/>
      <c r="R28" s="174"/>
      <c r="S28" s="175"/>
      <c r="T28" s="175"/>
      <c r="U28" s="175"/>
      <c r="V28" s="175"/>
      <c r="W28" s="175"/>
      <c r="X28" s="177"/>
      <c r="Y28" s="347"/>
      <c r="AA28" s="206"/>
      <c r="AB28" s="48"/>
      <c r="AC28" s="49"/>
      <c r="AD28" s="85"/>
      <c r="AE28" s="49"/>
      <c r="AF28" s="49"/>
    </row>
    <row r="29" customFormat="false" ht="12.75" hidden="false" customHeight="true" outlineLevel="0" collapsed="false">
      <c r="C29" s="343"/>
      <c r="D29" s="181"/>
      <c r="E29" s="195"/>
      <c r="F29" s="196" t="s">
        <v>48</v>
      </c>
      <c r="G29" s="197"/>
      <c r="H29" s="197"/>
      <c r="I29" s="197" t="str">
        <f aca="false">+TEXT(AA25,"# ##0")&amp;" kg"</f>
        <v>199 kg</v>
      </c>
      <c r="J29" s="197"/>
      <c r="K29" s="130" t="n">
        <f aca="false">+AD25</f>
        <v>0.0164655223910295</v>
      </c>
      <c r="L29" s="198"/>
      <c r="M29" s="177"/>
      <c r="N29" s="346"/>
      <c r="O29" s="181"/>
      <c r="P29" s="182" t="s">
        <v>163</v>
      </c>
      <c r="Q29" s="183"/>
      <c r="R29" s="184"/>
      <c r="S29" s="185" t="str">
        <f aca="false">+TEXT(AB43,"# ##0")&amp;" kg"</f>
        <v>1 972 kg</v>
      </c>
      <c r="T29" s="184"/>
      <c r="U29" s="184"/>
      <c r="V29" s="348" t="n">
        <f aca="false">+AD43</f>
        <v>0.163111318614396</v>
      </c>
      <c r="W29" s="187"/>
      <c r="X29" s="177"/>
      <c r="Y29" s="347"/>
      <c r="AA29" s="257"/>
      <c r="AB29" s="72"/>
      <c r="AC29" s="49"/>
      <c r="AD29" s="49"/>
      <c r="AE29" s="49"/>
      <c r="AF29" s="49"/>
    </row>
    <row r="30" customFormat="false" ht="12.75" hidden="false" customHeight="true" outlineLevel="0" collapsed="false">
      <c r="C30" s="343"/>
      <c r="D30" s="181"/>
      <c r="E30" s="195"/>
      <c r="F30" s="196" t="s">
        <v>50</v>
      </c>
      <c r="G30" s="197"/>
      <c r="H30" s="197"/>
      <c r="I30" s="197" t="str">
        <f aca="false">+TEXT(AA26,"# ##0")&amp;" kg"</f>
        <v>109 kg</v>
      </c>
      <c r="J30" s="197"/>
      <c r="K30" s="130" t="n">
        <f aca="false">+AD26</f>
        <v>0.00903081388799812</v>
      </c>
      <c r="L30" s="198"/>
      <c r="M30" s="177"/>
      <c r="N30" s="346"/>
      <c r="O30" s="181"/>
      <c r="P30" s="195"/>
      <c r="Q30" s="196" t="s">
        <v>72</v>
      </c>
      <c r="R30" s="197"/>
      <c r="S30" s="197"/>
      <c r="T30" s="197" t="str">
        <f aca="false">+TEXT(AA44,"# ##0")&amp;" kg"</f>
        <v>424 kg</v>
      </c>
      <c r="U30" s="197"/>
      <c r="V30" s="130" t="n">
        <f aca="false">+AD44</f>
        <v>0.03506469861274</v>
      </c>
      <c r="W30" s="198"/>
      <c r="X30" s="177"/>
      <c r="Y30" s="347"/>
      <c r="AA30" s="261"/>
      <c r="AB30" s="74"/>
      <c r="AC30" s="35" t="n">
        <f aca="false">+SUM(AA32:AA38)</f>
        <v>2625.54865914883</v>
      </c>
      <c r="AD30" s="36" t="n">
        <f aca="false">+AC30/$AC$4</f>
        <v>0.21713224628806</v>
      </c>
      <c r="AE30" s="194"/>
      <c r="AF30" s="194"/>
    </row>
    <row r="31" customFormat="false" ht="12.75" hidden="false" customHeight="true" outlineLevel="0" collapsed="false">
      <c r="C31" s="343"/>
      <c r="D31" s="181"/>
      <c r="E31" s="207"/>
      <c r="F31" s="208" t="s">
        <v>54</v>
      </c>
      <c r="G31" s="209"/>
      <c r="H31" s="209"/>
      <c r="I31" s="209" t="str">
        <f aca="false">+TEXT(AA27,"# ##0")&amp;" kg"</f>
        <v>17 kg</v>
      </c>
      <c r="J31" s="209"/>
      <c r="K31" s="210" t="n">
        <f aca="false">+AD27</f>
        <v>0.00140589593494476</v>
      </c>
      <c r="L31" s="211"/>
      <c r="M31" s="177"/>
      <c r="N31" s="346"/>
      <c r="O31" s="181"/>
      <c r="P31" s="207"/>
      <c r="Q31" s="208" t="s">
        <v>76</v>
      </c>
      <c r="R31" s="209"/>
      <c r="S31" s="209"/>
      <c r="T31" s="209" t="str">
        <f aca="false">+TEXT(AA45,"# ##0")&amp;" kg"</f>
        <v>1 548 kg</v>
      </c>
      <c r="U31" s="209"/>
      <c r="V31" s="210" t="n">
        <f aca="false">+AD45</f>
        <v>0.128046620001656</v>
      </c>
      <c r="W31" s="211"/>
      <c r="X31" s="177"/>
      <c r="Y31" s="347"/>
      <c r="AA31" s="206"/>
      <c r="AB31" s="48"/>
      <c r="AC31" s="35"/>
      <c r="AD31" s="36"/>
      <c r="AE31" s="194"/>
      <c r="AF31" s="194"/>
    </row>
    <row r="32" customFormat="false" ht="12.75" hidden="false" customHeight="true" outlineLevel="0" collapsed="false">
      <c r="C32" s="343"/>
      <c r="D32" s="244"/>
      <c r="E32" s="245"/>
      <c r="F32" s="245"/>
      <c r="G32" s="245"/>
      <c r="H32" s="245"/>
      <c r="I32" s="245"/>
      <c r="J32" s="245"/>
      <c r="K32" s="245"/>
      <c r="L32" s="245"/>
      <c r="M32" s="246"/>
      <c r="N32" s="346"/>
      <c r="O32" s="181"/>
      <c r="P32" s="218"/>
      <c r="Q32" s="219"/>
      <c r="R32" s="175"/>
      <c r="S32" s="175"/>
      <c r="T32" s="175"/>
      <c r="U32" s="175"/>
      <c r="V32" s="176"/>
      <c r="W32" s="175"/>
      <c r="X32" s="177"/>
      <c r="Y32" s="347"/>
      <c r="AA32" s="206" t="n">
        <f aca="false">+'calculs et données'!O49</f>
        <v>763.367</v>
      </c>
      <c r="AB32" s="48" t="n">
        <f aca="false">+AA32</f>
        <v>763.367</v>
      </c>
      <c r="AC32" s="49"/>
      <c r="AD32" s="85" t="n">
        <f aca="false">+AA32/$AC$4</f>
        <v>0.0631302683629987</v>
      </c>
      <c r="AE32" s="49"/>
      <c r="AF32" s="49"/>
    </row>
    <row r="33" customFormat="false" ht="12.75" hidden="false" customHeight="true" outlineLevel="0" collapsed="false">
      <c r="C33" s="343"/>
      <c r="D33" s="349"/>
      <c r="E33" s="349"/>
      <c r="F33" s="346"/>
      <c r="G33" s="346"/>
      <c r="H33" s="346"/>
      <c r="I33" s="346"/>
      <c r="J33" s="346"/>
      <c r="K33" s="346"/>
      <c r="L33" s="346"/>
      <c r="M33" s="346"/>
      <c r="N33" s="346"/>
      <c r="O33" s="181"/>
      <c r="P33" s="262" t="s">
        <v>77</v>
      </c>
      <c r="Q33" s="263"/>
      <c r="R33" s="264"/>
      <c r="S33" s="265" t="str">
        <f aca="false">+TEXT(AA47,"# ##0")&amp;" kg"</f>
        <v>480 kg</v>
      </c>
      <c r="T33" s="264"/>
      <c r="U33" s="264"/>
      <c r="V33" s="353" t="n">
        <f aca="false">+AD47</f>
        <v>0.0396725638894019</v>
      </c>
      <c r="W33" s="267"/>
      <c r="X33" s="177"/>
      <c r="Y33" s="347"/>
      <c r="AA33" s="206"/>
      <c r="AB33" s="48"/>
      <c r="AC33" s="49"/>
      <c r="AD33" s="85"/>
      <c r="AE33" s="49"/>
      <c r="AF33" s="49"/>
    </row>
    <row r="34" customFormat="false" ht="12.75" hidden="false" customHeight="true" outlineLevel="0" collapsed="false">
      <c r="C34" s="343"/>
      <c r="D34" s="161" t="s">
        <v>55</v>
      </c>
      <c r="E34" s="162"/>
      <c r="F34" s="163"/>
      <c r="G34" s="164" t="str">
        <f aca="false">+TEXT(AC30,"# ##0")&amp;" kg"</f>
        <v>2 626 kg</v>
      </c>
      <c r="H34" s="163"/>
      <c r="I34" s="163"/>
      <c r="J34" s="163"/>
      <c r="K34" s="165" t="n">
        <f aca="false">+AD30</f>
        <v>0.21713224628806</v>
      </c>
      <c r="L34" s="166"/>
      <c r="M34" s="167"/>
      <c r="N34" s="346"/>
      <c r="O34" s="181"/>
      <c r="P34" s="218"/>
      <c r="Q34" s="219"/>
      <c r="R34" s="175"/>
      <c r="S34" s="218"/>
      <c r="T34" s="175"/>
      <c r="U34" s="175"/>
      <c r="V34" s="176"/>
      <c r="W34" s="175"/>
      <c r="X34" s="177"/>
      <c r="Y34" s="347"/>
      <c r="AA34" s="206"/>
      <c r="AB34" s="48" t="n">
        <f aca="false">+SUM(AA35:AA37)</f>
        <v>1716.2256</v>
      </c>
      <c r="AC34" s="84"/>
      <c r="AD34" s="193" t="n">
        <f aca="false">+AB34/$AC$4</f>
        <v>0.141931446734596</v>
      </c>
      <c r="AE34" s="194"/>
      <c r="AF34" s="194"/>
    </row>
    <row r="35" customFormat="false" ht="12.75" hidden="false" customHeight="true" outlineLevel="0" collapsed="false">
      <c r="C35" s="343"/>
      <c r="D35" s="171"/>
      <c r="E35" s="218"/>
      <c r="F35" s="175"/>
      <c r="G35" s="174"/>
      <c r="H35" s="175"/>
      <c r="I35" s="175"/>
      <c r="J35" s="175"/>
      <c r="K35" s="175"/>
      <c r="L35" s="175"/>
      <c r="M35" s="177"/>
      <c r="N35" s="346"/>
      <c r="O35" s="181"/>
      <c r="P35" s="262" t="s">
        <v>194</v>
      </c>
      <c r="Q35" s="263"/>
      <c r="R35" s="264"/>
      <c r="S35" s="265" t="str">
        <f aca="false">+TEXT(AA49,"# ##0")&amp;" kg"</f>
        <v>85 kg</v>
      </c>
      <c r="T35" s="264"/>
      <c r="U35" s="264"/>
      <c r="V35" s="353" t="n">
        <f aca="false">+AD49</f>
        <v>0.00699209938280646</v>
      </c>
      <c r="W35" s="267"/>
      <c r="X35" s="177"/>
      <c r="Y35" s="347"/>
      <c r="AA35" s="206" t="n">
        <f aca="false">+'calculs et données'!O52</f>
        <v>1033.776</v>
      </c>
      <c r="AB35" s="48"/>
      <c r="AC35" s="49"/>
      <c r="AD35" s="85" t="n">
        <f aca="false">+AA35/$AC$4</f>
        <v>0.0854930280025563</v>
      </c>
      <c r="AE35" s="49"/>
      <c r="AF35" s="49"/>
    </row>
    <row r="36" customFormat="false" ht="12.75" hidden="false" customHeight="true" outlineLevel="0" collapsed="false">
      <c r="C36" s="343"/>
      <c r="D36" s="181"/>
      <c r="E36" s="262" t="s">
        <v>195</v>
      </c>
      <c r="F36" s="263"/>
      <c r="G36" s="264"/>
      <c r="H36" s="265" t="str">
        <f aca="false">+TEXT(AB32,"# ##0")&amp;" kg"</f>
        <v>763 kg</v>
      </c>
      <c r="I36" s="264"/>
      <c r="J36" s="264"/>
      <c r="K36" s="353" t="n">
        <f aca="false">+AD32</f>
        <v>0.0631302683629987</v>
      </c>
      <c r="L36" s="267"/>
      <c r="M36" s="177"/>
      <c r="N36" s="346"/>
      <c r="O36" s="181"/>
      <c r="P36" s="218"/>
      <c r="Q36" s="219"/>
      <c r="R36" s="175"/>
      <c r="S36" s="218"/>
      <c r="T36" s="175"/>
      <c r="U36" s="175"/>
      <c r="V36" s="176"/>
      <c r="W36" s="175"/>
      <c r="X36" s="177"/>
      <c r="Y36" s="347"/>
      <c r="AA36" s="206" t="n">
        <f aca="false">+'calculs et données'!O58</f>
        <v>531.6906</v>
      </c>
      <c r="AB36" s="48"/>
      <c r="AC36" s="49"/>
      <c r="AD36" s="85" t="n">
        <f aca="false">+AA36/$AC$4</f>
        <v>0.0439706854816672</v>
      </c>
      <c r="AE36" s="49"/>
      <c r="AF36" s="49"/>
    </row>
    <row r="37" customFormat="false" ht="12.75" hidden="false" customHeight="true" outlineLevel="0" collapsed="false">
      <c r="C37" s="343"/>
      <c r="D37" s="181"/>
      <c r="E37" s="218"/>
      <c r="F37" s="219"/>
      <c r="G37" s="175"/>
      <c r="H37" s="218"/>
      <c r="I37" s="175"/>
      <c r="J37" s="175"/>
      <c r="K37" s="176"/>
      <c r="L37" s="175"/>
      <c r="M37" s="177"/>
      <c r="N37" s="346"/>
      <c r="O37" s="181"/>
      <c r="P37" s="262" t="s">
        <v>63</v>
      </c>
      <c r="Q37" s="263"/>
      <c r="R37" s="264"/>
      <c r="S37" s="265" t="str">
        <f aca="false">+TEXT(AA51,"# ##0")&amp;" kg"</f>
        <v>383 kg</v>
      </c>
      <c r="T37" s="264"/>
      <c r="U37" s="264"/>
      <c r="V37" s="353" t="n">
        <f aca="false">+AD51</f>
        <v>0.0316640844453912</v>
      </c>
      <c r="W37" s="267"/>
      <c r="X37" s="177"/>
      <c r="Y37" s="347"/>
      <c r="AA37" s="206" t="n">
        <f aca="false">+SUM('calculs et données'!O54:O57)</f>
        <v>150.759</v>
      </c>
      <c r="AB37" s="48"/>
      <c r="AC37" s="49"/>
      <c r="AD37" s="85" t="n">
        <f aca="false">+AA37/$AC$4</f>
        <v>0.0124677332503728</v>
      </c>
      <c r="AE37" s="49"/>
      <c r="AF37" s="49"/>
    </row>
    <row r="38" customFormat="false" ht="12.75" hidden="false" customHeight="true" outlineLevel="0" collapsed="false">
      <c r="C38" s="343"/>
      <c r="D38" s="181"/>
      <c r="E38" s="182" t="s">
        <v>60</v>
      </c>
      <c r="F38" s="184"/>
      <c r="G38" s="184"/>
      <c r="H38" s="185" t="str">
        <f aca="false">+TEXT(AB34,"# ##0")&amp;" kg"</f>
        <v>1 716 kg</v>
      </c>
      <c r="I38" s="184"/>
      <c r="J38" s="184"/>
      <c r="K38" s="348" t="n">
        <f aca="false">+AD34</f>
        <v>0.141931446734596</v>
      </c>
      <c r="L38" s="187"/>
      <c r="M38" s="177"/>
      <c r="N38" s="346"/>
      <c r="O38" s="278"/>
      <c r="P38" s="279"/>
      <c r="Q38" s="280"/>
      <c r="R38" s="281"/>
      <c r="S38" s="279"/>
      <c r="T38" s="281"/>
      <c r="U38" s="281"/>
      <c r="V38" s="287"/>
      <c r="W38" s="281"/>
      <c r="X38" s="282"/>
      <c r="Y38" s="347"/>
      <c r="AA38" s="257" t="n">
        <f aca="false">+'calculs et données'!O59</f>
        <v>145.956059148834</v>
      </c>
      <c r="AB38" s="72"/>
      <c r="AC38" s="49"/>
      <c r="AD38" s="85" t="n">
        <f aca="false">+AA38/$AC$4</f>
        <v>0.0120705311904649</v>
      </c>
      <c r="AE38" s="49"/>
      <c r="AF38" s="49"/>
    </row>
    <row r="39" customFormat="false" ht="12.75" hidden="false" customHeight="true" outlineLevel="0" collapsed="false">
      <c r="C39" s="343"/>
      <c r="D39" s="181"/>
      <c r="E39" s="195"/>
      <c r="F39" s="196" t="s">
        <v>160</v>
      </c>
      <c r="G39" s="197"/>
      <c r="H39" s="197"/>
      <c r="I39" s="197" t="str">
        <f aca="false">+TEXT(AA35,"# ##0")&amp;" kg"</f>
        <v>1 034 kg</v>
      </c>
      <c r="J39" s="197"/>
      <c r="K39" s="130" t="n">
        <f aca="false">+AD35</f>
        <v>0.0854930280025563</v>
      </c>
      <c r="L39" s="198"/>
      <c r="M39" s="177"/>
      <c r="N39" s="346"/>
      <c r="O39" s="349"/>
      <c r="P39" s="349"/>
      <c r="Q39" s="346"/>
      <c r="R39" s="346"/>
      <c r="S39" s="346"/>
      <c r="T39" s="346"/>
      <c r="U39" s="346"/>
      <c r="V39" s="346"/>
      <c r="W39" s="346"/>
      <c r="X39" s="346"/>
      <c r="Y39" s="347"/>
      <c r="AA39" s="206"/>
      <c r="AB39" s="48"/>
      <c r="AC39" s="49"/>
      <c r="AD39" s="49"/>
      <c r="AE39" s="49"/>
      <c r="AF39" s="49"/>
    </row>
    <row r="40" customFormat="false" ht="12.75" hidden="false" customHeight="true" outlineLevel="0" collapsed="false">
      <c r="C40" s="343"/>
      <c r="D40" s="181"/>
      <c r="E40" s="195"/>
      <c r="F40" s="196" t="s">
        <v>70</v>
      </c>
      <c r="G40" s="197"/>
      <c r="H40" s="197"/>
      <c r="I40" s="197" t="str">
        <f aca="false">+TEXT(AA36,"# ##0")&amp;" kg"</f>
        <v>532 kg</v>
      </c>
      <c r="J40" s="197"/>
      <c r="K40" s="130" t="n">
        <f aca="false">+AD36</f>
        <v>0.0439706854816672</v>
      </c>
      <c r="L40" s="198"/>
      <c r="M40" s="177"/>
      <c r="N40" s="346"/>
      <c r="O40" s="161" t="s">
        <v>79</v>
      </c>
      <c r="P40" s="162"/>
      <c r="Q40" s="163"/>
      <c r="R40" s="164" t="str">
        <f aca="false">+TEXT(AC54,"# ##0")&amp;" kg"</f>
        <v>1 489 kg</v>
      </c>
      <c r="S40" s="163"/>
      <c r="T40" s="163"/>
      <c r="U40" s="163"/>
      <c r="V40" s="165" t="n">
        <f aca="false">+AD54</f>
        <v>0.123153308230343</v>
      </c>
      <c r="W40" s="166"/>
      <c r="X40" s="167"/>
      <c r="Y40" s="347"/>
      <c r="AA40" s="206"/>
      <c r="AB40" s="48"/>
      <c r="AC40" s="49"/>
      <c r="AD40" s="49"/>
      <c r="AE40" s="49"/>
      <c r="AF40" s="49"/>
    </row>
    <row r="41" customFormat="false" ht="12.75" hidden="false" customHeight="true" outlineLevel="0" collapsed="false">
      <c r="C41" s="343"/>
      <c r="D41" s="181"/>
      <c r="E41" s="195"/>
      <c r="F41" s="196" t="s">
        <v>161</v>
      </c>
      <c r="G41" s="197"/>
      <c r="H41" s="197"/>
      <c r="I41" s="197" t="str">
        <f aca="false">+TEXT(AA37,"# ##0")&amp;" kg"</f>
        <v>151 kg</v>
      </c>
      <c r="J41" s="197"/>
      <c r="K41" s="130" t="n">
        <f aca="false">+AD37</f>
        <v>0.0124677332503728</v>
      </c>
      <c r="L41" s="198"/>
      <c r="M41" s="177"/>
      <c r="N41" s="346"/>
      <c r="O41" s="171"/>
      <c r="P41" s="218"/>
      <c r="Q41" s="175"/>
      <c r="R41" s="174"/>
      <c r="S41" s="175"/>
      <c r="T41" s="175"/>
      <c r="U41" s="175"/>
      <c r="V41" s="176"/>
      <c r="W41" s="175"/>
      <c r="X41" s="177"/>
      <c r="Y41" s="347"/>
      <c r="AA41" s="261"/>
      <c r="AB41" s="74"/>
      <c r="AC41" s="84" t="n">
        <f aca="false">+SUM(AA43:AA53)</f>
        <v>2919.4772</v>
      </c>
      <c r="AD41" s="36" t="n">
        <f aca="false">+AC41/$AC$4</f>
        <v>0.241440066331995</v>
      </c>
      <c r="AE41" s="49"/>
      <c r="AF41" s="49"/>
    </row>
    <row r="42" customFormat="false" ht="12.75" hidden="false" customHeight="true" outlineLevel="0" collapsed="false">
      <c r="C42" s="343"/>
      <c r="D42" s="181"/>
      <c r="E42" s="207"/>
      <c r="F42" s="208" t="s">
        <v>196</v>
      </c>
      <c r="G42" s="209"/>
      <c r="H42" s="209"/>
      <c r="I42" s="209" t="str">
        <f aca="false">+TEXT(AA38,"# ##0")&amp;" kg"</f>
        <v>146 kg</v>
      </c>
      <c r="J42" s="209"/>
      <c r="K42" s="210" t="n">
        <f aca="false">+AD38</f>
        <v>0.0120705311904649</v>
      </c>
      <c r="L42" s="211"/>
      <c r="M42" s="177"/>
      <c r="N42" s="346"/>
      <c r="O42" s="181"/>
      <c r="P42" s="262" t="s">
        <v>166</v>
      </c>
      <c r="Q42" s="263"/>
      <c r="R42" s="264"/>
      <c r="S42" s="265" t="str">
        <f aca="false">+TEXT(AA56,"# ##0")&amp;" kg"</f>
        <v>1 489 kg</v>
      </c>
      <c r="T42" s="264"/>
      <c r="U42" s="264"/>
      <c r="V42" s="266" t="n">
        <f aca="false">+AD56</f>
        <v>0.123153308230343</v>
      </c>
      <c r="W42" s="267"/>
      <c r="X42" s="177"/>
      <c r="Y42" s="347"/>
      <c r="AA42" s="206"/>
      <c r="AB42" s="48"/>
      <c r="AC42" s="84"/>
      <c r="AD42" s="36"/>
      <c r="AE42" s="49"/>
      <c r="AF42" s="49"/>
    </row>
    <row r="43" customFormat="false" ht="12.75" hidden="false" customHeight="true" outlineLevel="0" collapsed="false">
      <c r="C43" s="343"/>
      <c r="D43" s="278"/>
      <c r="E43" s="279"/>
      <c r="F43" s="280"/>
      <c r="G43" s="281"/>
      <c r="H43" s="281"/>
      <c r="I43" s="281"/>
      <c r="J43" s="281"/>
      <c r="K43" s="281"/>
      <c r="L43" s="281"/>
      <c r="M43" s="282"/>
      <c r="N43" s="346"/>
      <c r="O43" s="278"/>
      <c r="P43" s="279"/>
      <c r="Q43" s="280"/>
      <c r="R43" s="281"/>
      <c r="S43" s="279"/>
      <c r="T43" s="281"/>
      <c r="U43" s="281"/>
      <c r="V43" s="281"/>
      <c r="W43" s="281"/>
      <c r="X43" s="282"/>
      <c r="Y43" s="347"/>
      <c r="AA43" s="206"/>
      <c r="AB43" s="48" t="n">
        <f aca="false">+SUM(AA44:AA45)</f>
        <v>1972.3312</v>
      </c>
      <c r="AC43" s="49"/>
      <c r="AD43" s="193" t="n">
        <f aca="false">+AB43/$AC$4</f>
        <v>0.163111318614396</v>
      </c>
      <c r="AE43" s="194"/>
      <c r="AF43" s="194"/>
    </row>
    <row r="44" customFormat="false" ht="14.25" hidden="false" customHeight="false" outlineLevel="0" collapsed="false">
      <c r="C44" s="354"/>
      <c r="D44" s="355"/>
      <c r="E44" s="355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7"/>
      <c r="AA44" s="206" t="n">
        <f aca="false">+'calculs et données'!O64</f>
        <v>424</v>
      </c>
      <c r="AB44" s="48"/>
      <c r="AC44" s="49"/>
      <c r="AD44" s="85" t="n">
        <f aca="false">+AA44/$AC$4</f>
        <v>0.03506469861274</v>
      </c>
      <c r="AE44" s="49"/>
      <c r="AF44" s="49"/>
    </row>
    <row r="45" customFormat="false" ht="13.5" hidden="false" customHeight="false" outlineLevel="0" collapsed="false">
      <c r="AA45" s="206" t="n">
        <f aca="false">+'calculs et données'!O65</f>
        <v>1548.3312</v>
      </c>
      <c r="AB45" s="48"/>
      <c r="AC45" s="49"/>
      <c r="AD45" s="85" t="n">
        <f aca="false">+AA45/$AC$4</f>
        <v>0.128046620001656</v>
      </c>
      <c r="AE45" s="49"/>
      <c r="AF45" s="49"/>
    </row>
    <row r="46" customFormat="false" ht="6" hidden="false" customHeight="true" outlineLevel="0" collapsed="false">
      <c r="D46" s="1"/>
      <c r="E46" s="1"/>
      <c r="F46" s="1"/>
      <c r="G46" s="1"/>
      <c r="H46" s="1"/>
      <c r="I46" s="1"/>
      <c r="J46" s="1"/>
      <c r="K46" s="1"/>
      <c r="L46" s="1"/>
      <c r="M46" s="1"/>
      <c r="AA46" s="206"/>
      <c r="AB46" s="48"/>
      <c r="AC46" s="49"/>
      <c r="AD46" s="85"/>
      <c r="AE46" s="49"/>
      <c r="AF46" s="49"/>
    </row>
    <row r="47" customFormat="false" ht="12.75" hidden="false" customHeight="false" outlineLevel="0" collapsed="false">
      <c r="D47" s="1"/>
      <c r="E47" s="1"/>
      <c r="F47" s="1"/>
      <c r="G47" s="1"/>
      <c r="H47" s="1"/>
      <c r="I47" s="1"/>
      <c r="J47" s="1"/>
      <c r="K47" s="1"/>
      <c r="L47" s="1"/>
      <c r="M47" s="1"/>
      <c r="AA47" s="206" t="n">
        <f aca="false">+'calculs et données'!O66</f>
        <v>479.718</v>
      </c>
      <c r="AB47" s="48"/>
      <c r="AC47" s="49"/>
      <c r="AD47" s="85" t="n">
        <f aca="false">+AA47/$AC$4</f>
        <v>0.0396725638894019</v>
      </c>
      <c r="AE47" s="49"/>
      <c r="AF47" s="49"/>
    </row>
    <row r="48" customFormat="false" ht="6" hidden="false" customHeight="true" outlineLevel="0" collapsed="false">
      <c r="D48" s="1"/>
      <c r="E48" s="1"/>
      <c r="F48" s="1"/>
      <c r="G48" s="1"/>
      <c r="H48" s="1"/>
      <c r="I48" s="1"/>
      <c r="J48" s="1"/>
      <c r="K48" s="1"/>
      <c r="L48" s="1"/>
      <c r="M48" s="1"/>
      <c r="AA48" s="206"/>
      <c r="AB48" s="48"/>
      <c r="AC48" s="49"/>
      <c r="AD48" s="85"/>
      <c r="AE48" s="49"/>
      <c r="AF48" s="49"/>
    </row>
    <row r="49" customFormat="false" ht="12.75" hidden="false" customHeight="false" outlineLevel="0" collapsed="false">
      <c r="D49" s="1"/>
      <c r="E49" s="1"/>
      <c r="F49" s="1"/>
      <c r="G49" s="1"/>
      <c r="H49" s="1"/>
      <c r="I49" s="1"/>
      <c r="J49" s="1"/>
      <c r="K49" s="1"/>
      <c r="L49" s="1"/>
      <c r="M49" s="1"/>
      <c r="AA49" s="206" t="n">
        <f aca="false">+'calculs et données'!O67</f>
        <v>84.548</v>
      </c>
      <c r="AB49" s="48"/>
      <c r="AC49" s="49"/>
      <c r="AD49" s="85" t="n">
        <f aca="false">+AA49/$AC$4</f>
        <v>0.00699209938280646</v>
      </c>
      <c r="AE49" s="49"/>
      <c r="AF49" s="49"/>
    </row>
    <row r="50" customFormat="false" ht="6" hidden="false" customHeight="true" outlineLevel="0" collapsed="false">
      <c r="D50" s="1"/>
      <c r="E50" s="1"/>
      <c r="F50" s="1"/>
      <c r="G50" s="1"/>
      <c r="H50" s="1"/>
      <c r="I50" s="1"/>
      <c r="J50" s="1"/>
      <c r="K50" s="1"/>
      <c r="L50" s="1"/>
      <c r="M50" s="1"/>
      <c r="AA50" s="206"/>
      <c r="AB50" s="48"/>
      <c r="AC50" s="49"/>
      <c r="AD50" s="85"/>
      <c r="AE50" s="49"/>
      <c r="AF50" s="49"/>
    </row>
    <row r="51" customFormat="false" ht="12.75" hidden="false" customHeight="false" outlineLevel="0" collapsed="false">
      <c r="D51" s="1"/>
      <c r="E51" s="1"/>
      <c r="F51" s="1"/>
      <c r="G51" s="1"/>
      <c r="H51" s="1"/>
      <c r="I51" s="1"/>
      <c r="J51" s="1"/>
      <c r="K51" s="1"/>
      <c r="L51" s="1"/>
      <c r="M51" s="1"/>
      <c r="AA51" s="206" t="n">
        <f aca="false">+'calculs et données'!O69</f>
        <v>382.88</v>
      </c>
      <c r="AB51" s="48"/>
      <c r="AC51" s="49"/>
      <c r="AD51" s="85" t="n">
        <f aca="false">+AA51/$AC$4</f>
        <v>0.0316640844453912</v>
      </c>
      <c r="AE51" s="49"/>
      <c r="AF51" s="49"/>
    </row>
    <row r="52" customFormat="false" ht="6" hidden="false" customHeight="true" outlineLevel="0" collapsed="false">
      <c r="D52" s="1"/>
      <c r="E52" s="1"/>
      <c r="F52" s="1"/>
      <c r="G52" s="1"/>
      <c r="H52" s="1"/>
      <c r="I52" s="1"/>
      <c r="J52" s="1"/>
      <c r="K52" s="1"/>
      <c r="L52" s="1"/>
      <c r="M52" s="1"/>
      <c r="AA52" s="206"/>
      <c r="AB52" s="48"/>
      <c r="AC52" s="49"/>
      <c r="AD52" s="85"/>
      <c r="AE52" s="49"/>
      <c r="AF52" s="49"/>
    </row>
    <row r="53" customFormat="false" ht="6" hidden="false" customHeight="true" outlineLevel="0" collapsed="false">
      <c r="D53" s="1"/>
      <c r="E53" s="1"/>
      <c r="F53" s="1"/>
      <c r="G53" s="1"/>
      <c r="H53" s="1"/>
      <c r="I53" s="1"/>
      <c r="J53" s="1"/>
      <c r="K53" s="1"/>
      <c r="L53" s="1"/>
      <c r="M53" s="1"/>
      <c r="AA53" s="257"/>
      <c r="AB53" s="72"/>
      <c r="AC53" s="49"/>
      <c r="AD53" s="49"/>
      <c r="AE53" s="49"/>
      <c r="AF53" s="49"/>
    </row>
    <row r="54" customFormat="false" ht="13.5" hidden="false" customHeight="false" outlineLevel="0" collapsed="false">
      <c r="D54" s="1"/>
      <c r="E54" s="1"/>
      <c r="F54" s="1"/>
      <c r="G54" s="1"/>
      <c r="H54" s="1"/>
      <c r="I54" s="1"/>
      <c r="J54" s="1"/>
      <c r="K54" s="1"/>
      <c r="L54" s="1"/>
      <c r="M54" s="1"/>
      <c r="AA54" s="261"/>
      <c r="AB54" s="74" t="n">
        <v>1037</v>
      </c>
      <c r="AC54" s="35" t="n">
        <f aca="false">+SUM(AA56:AA56)</f>
        <v>1489.1616</v>
      </c>
      <c r="AD54" s="36" t="n">
        <f aca="false">+AC54/$AC$4</f>
        <v>0.123153308230343</v>
      </c>
      <c r="AE54" s="194"/>
      <c r="AF54" s="194"/>
    </row>
    <row r="55" customFormat="false" ht="6" hidden="false" customHeight="true" outlineLevel="0" collapsed="false">
      <c r="AA55" s="206"/>
      <c r="AB55" s="48"/>
      <c r="AC55" s="35"/>
      <c r="AD55" s="36"/>
      <c r="AE55" s="194"/>
      <c r="AF55" s="194"/>
    </row>
    <row r="56" customFormat="false" ht="12.75" hidden="false" customHeight="false" outlineLevel="0" collapsed="false">
      <c r="AA56" s="206" t="n">
        <f aca="false">+'calculs et données'!O73</f>
        <v>1489.1616</v>
      </c>
      <c r="AB56" s="48"/>
      <c r="AC56" s="49"/>
      <c r="AD56" s="85" t="n">
        <f aca="false">+AA56/$AC$4</f>
        <v>0.123153308230343</v>
      </c>
      <c r="AE56" s="49"/>
      <c r="AF56" s="49"/>
    </row>
    <row r="57" customFormat="false" ht="6" hidden="false" customHeight="true" outlineLevel="0" collapsed="false">
      <c r="AA57" s="206"/>
      <c r="AB57" s="48"/>
      <c r="AC57" s="49"/>
      <c r="AD57" s="49"/>
      <c r="AE57" s="49"/>
      <c r="AF57" s="49"/>
    </row>
    <row r="58" customFormat="false" ht="6" hidden="false" customHeight="true" outlineLevel="0" collapsed="false">
      <c r="E58" s="124"/>
      <c r="F58" s="40"/>
      <c r="G58" s="77"/>
      <c r="H58" s="124"/>
      <c r="I58" s="77"/>
      <c r="J58" s="77"/>
      <c r="K58" s="77"/>
      <c r="L58" s="77"/>
      <c r="M58" s="77"/>
      <c r="AA58" s="206"/>
      <c r="AB58" s="48"/>
      <c r="AC58" s="49"/>
      <c r="AD58" s="49"/>
      <c r="AE58" s="49"/>
      <c r="AF58" s="49"/>
    </row>
    <row r="59" customFormat="false" ht="13.5" hidden="false" customHeight="false" outlineLevel="0" collapsed="false">
      <c r="AA59" s="261"/>
      <c r="AB59" s="74" t="n">
        <v>3061</v>
      </c>
      <c r="AC59" s="35" t="n">
        <f aca="false">+SUM(AA61:AA78)</f>
        <v>2705.13393183001</v>
      </c>
      <c r="AD59" s="36" t="n">
        <f aca="false">+AC59/$AC$4</f>
        <v>0.223713929308292</v>
      </c>
      <c r="AE59" s="49"/>
      <c r="AF59" s="49"/>
    </row>
    <row r="60" customFormat="false" ht="6" hidden="false" customHeight="true" outlineLevel="0" collapsed="false">
      <c r="AA60" s="206"/>
      <c r="AB60" s="48"/>
      <c r="AC60" s="35"/>
      <c r="AD60" s="36"/>
      <c r="AE60" s="49"/>
      <c r="AF60" s="49"/>
    </row>
    <row r="61" customFormat="false" ht="12.75" hidden="false" customHeight="false" outlineLevel="0" collapsed="false">
      <c r="AA61" s="206"/>
      <c r="AB61" s="48" t="n">
        <f aca="false">+SUM(AA62:AA67)</f>
        <v>1696</v>
      </c>
      <c r="AC61" s="49"/>
      <c r="AD61" s="193" t="n">
        <f aca="false">+AB61/$AC$4</f>
        <v>0.14025879445096</v>
      </c>
      <c r="AE61" s="194"/>
      <c r="AF61" s="194"/>
    </row>
    <row r="62" customFormat="false" ht="12.75" hidden="false" customHeight="false" outlineLevel="0" collapsed="false">
      <c r="AA62" s="206" t="n">
        <f aca="false">+'calculs et données'!O78</f>
        <v>653.52</v>
      </c>
      <c r="AB62" s="48"/>
      <c r="AC62" s="49"/>
      <c r="AD62" s="85" t="n">
        <f aca="false">+AA62/$AC$4</f>
        <v>0.0540459477297118</v>
      </c>
      <c r="AE62" s="49"/>
      <c r="AF62" s="49"/>
    </row>
    <row r="63" customFormat="false" ht="12.75" hidden="false" customHeight="false" outlineLevel="0" collapsed="false">
      <c r="AA63" s="206" t="n">
        <f aca="false">+'calculs et données'!O79</f>
        <v>497.92</v>
      </c>
      <c r="AB63" s="48"/>
      <c r="AC63" s="49"/>
      <c r="AD63" s="85" t="n">
        <f aca="false">+AA63/$AC$4</f>
        <v>0.0411778649369233</v>
      </c>
      <c r="AE63" s="49"/>
      <c r="AF63" s="49"/>
    </row>
    <row r="64" customFormat="false" ht="12.75" hidden="false" customHeight="false" outlineLevel="0" collapsed="false">
      <c r="AA64" s="206" t="n">
        <f aca="false">+'calculs et données'!O80</f>
        <v>171.16</v>
      </c>
      <c r="AB64" s="48"/>
      <c r="AC64" s="49"/>
      <c r="AD64" s="85" t="n">
        <f aca="false">+AA64/$AC$4</f>
        <v>0.0141548910720674</v>
      </c>
      <c r="AE64" s="49"/>
      <c r="AF64" s="49"/>
    </row>
    <row r="65" customFormat="false" ht="12.75" hidden="false" customHeight="false" outlineLevel="0" collapsed="false">
      <c r="AA65" s="206" t="n">
        <f aca="false">+'calculs et données'!O81</f>
        <v>171.16</v>
      </c>
      <c r="AB65" s="48"/>
      <c r="AC65" s="49"/>
      <c r="AD65" s="85" t="n">
        <f aca="false">+AA65/$AC$4</f>
        <v>0.0141548910720674</v>
      </c>
      <c r="AE65" s="49"/>
      <c r="AF65" s="49"/>
    </row>
    <row r="66" customFormat="false" ht="12.75" hidden="false" customHeight="false" outlineLevel="0" collapsed="false">
      <c r="AA66" s="206" t="n">
        <f aca="false">+'calculs et données'!O82</f>
        <v>62.24</v>
      </c>
      <c r="AB66" s="48"/>
      <c r="AC66" s="49"/>
      <c r="AD66" s="85" t="n">
        <f aca="false">+AA66/$AC$4</f>
        <v>0.00514723311711541</v>
      </c>
      <c r="AE66" s="49"/>
      <c r="AF66" s="49"/>
    </row>
    <row r="67" customFormat="false" ht="12.75" hidden="false" customHeight="false" outlineLevel="0" collapsed="false">
      <c r="AA67" s="206" t="n">
        <f aca="false">+'calculs et données'!O83</f>
        <v>140</v>
      </c>
      <c r="AB67" s="48"/>
      <c r="AC67" s="49"/>
      <c r="AD67" s="85" t="n">
        <f aca="false">+AA67/$AC$4</f>
        <v>0.0115779665230745</v>
      </c>
      <c r="AE67" s="49"/>
      <c r="AF67" s="49"/>
    </row>
    <row r="68" customFormat="false" ht="6" hidden="false" customHeight="true" outlineLevel="0" collapsed="false">
      <c r="AA68" s="206"/>
      <c r="AB68" s="48"/>
      <c r="AC68" s="49"/>
      <c r="AD68" s="49"/>
      <c r="AE68" s="49"/>
      <c r="AF68" s="49"/>
    </row>
    <row r="69" customFormat="false" ht="12.75" hidden="false" customHeight="false" outlineLevel="0" collapsed="false">
      <c r="AA69" s="206"/>
      <c r="AB69" s="48" t="n">
        <f aca="false">+SUM(AA70:AA71)</f>
        <v>625.772569444444</v>
      </c>
      <c r="AC69" s="49"/>
      <c r="AD69" s="193" t="n">
        <f aca="false">+AB69/$AC$4</f>
        <v>0.0517512418577579</v>
      </c>
      <c r="AE69" s="49"/>
      <c r="AF69" s="49"/>
    </row>
    <row r="70" customFormat="false" ht="12.75" hidden="false" customHeight="false" outlineLevel="0" collapsed="false">
      <c r="AA70" s="206" t="n">
        <f aca="false">+'calculs et données'!O85</f>
        <v>492.178819444444</v>
      </c>
      <c r="AB70" s="48"/>
      <c r="AC70" s="49"/>
      <c r="AD70" s="85" t="n">
        <f aca="false">+AA70/$AC$4</f>
        <v>0.0407030706778151</v>
      </c>
      <c r="AE70" s="49"/>
      <c r="AF70" s="49"/>
    </row>
    <row r="71" customFormat="false" ht="12.75" hidden="false" customHeight="false" outlineLevel="0" collapsed="false">
      <c r="AA71" s="206" t="n">
        <f aca="false">+'calculs et données'!O86</f>
        <v>133.59375</v>
      </c>
      <c r="AB71" s="48"/>
      <c r="AC71" s="49"/>
      <c r="AD71" s="85" t="n">
        <f aca="false">+AA71/$AC$4</f>
        <v>0.0110481711799428</v>
      </c>
      <c r="AE71" s="49"/>
      <c r="AF71" s="49"/>
    </row>
    <row r="72" customFormat="false" ht="12.75" hidden="false" customHeight="false" outlineLevel="0" collapsed="false">
      <c r="O72" s="0"/>
      <c r="P72" s="0"/>
      <c r="AA72" s="206" t="n">
        <f aca="false">+'calculs et données'!O87</f>
        <v>48.828125</v>
      </c>
      <c r="AB72" s="48"/>
      <c r="AC72" s="49"/>
      <c r="AD72" s="85" t="n">
        <f aca="false">+AA72/$AC$4</f>
        <v>0.00403807426167499</v>
      </c>
      <c r="AE72" s="49"/>
      <c r="AF72" s="49"/>
    </row>
    <row r="73" customFormat="false" ht="6" hidden="false" customHeight="true" outlineLevel="0" collapsed="false">
      <c r="AA73" s="206"/>
      <c r="AB73" s="48"/>
      <c r="AC73" s="49"/>
      <c r="AD73" s="85"/>
      <c r="AE73" s="49"/>
      <c r="AF73" s="49"/>
    </row>
    <row r="74" customFormat="false" ht="12.75" hidden="false" customHeight="false" outlineLevel="0" collapsed="false">
      <c r="AA74" s="206"/>
      <c r="AB74" s="48" t="n">
        <f aca="false">+SUM(AA75:AA77)</f>
        <v>334.533237385568</v>
      </c>
      <c r="AC74" s="49"/>
      <c r="AD74" s="193" t="n">
        <f aca="false">+AB74/$AC$4</f>
        <v>0.0276658187378989</v>
      </c>
      <c r="AE74" s="49"/>
      <c r="AF74" s="49"/>
    </row>
    <row r="75" customFormat="false" ht="12.75" hidden="false" customHeight="false" outlineLevel="0" collapsed="false">
      <c r="AA75" s="206" t="n">
        <f aca="false">+'calculs et données'!O90</f>
        <v>157.451237385568</v>
      </c>
      <c r="AB75" s="48"/>
      <c r="AC75" s="49"/>
      <c r="AD75" s="85" t="n">
        <f aca="false">+AA75/$AC$4</f>
        <v>0.0130211796819055</v>
      </c>
      <c r="AE75" s="49"/>
      <c r="AF75" s="49"/>
    </row>
    <row r="76" customFormat="false" ht="12.75" hidden="false" customHeight="false" outlineLevel="0" collapsed="false">
      <c r="AA76" s="206" t="n">
        <f aca="false">+'calculs et données'!O91</f>
        <v>119.65</v>
      </c>
      <c r="AB76" s="48"/>
      <c r="AC76" s="49"/>
      <c r="AD76" s="85" t="n">
        <f aca="false">+AA76/$AC$4</f>
        <v>0.00989502638918476</v>
      </c>
      <c r="AE76" s="49"/>
      <c r="AF76" s="49"/>
    </row>
    <row r="77" customFormat="false" ht="12.75" hidden="false" customHeight="false" outlineLevel="0" collapsed="false">
      <c r="AA77" s="206" t="n">
        <f aca="false">+'calculs et données'!O92</f>
        <v>57.432</v>
      </c>
      <c r="AB77" s="48"/>
      <c r="AC77" s="49"/>
      <c r="AD77" s="85" t="n">
        <f aca="false">+AA77/$AC$4</f>
        <v>0.00474961266680868</v>
      </c>
      <c r="AE77" s="49"/>
      <c r="AF77" s="49"/>
    </row>
    <row r="78" customFormat="false" ht="6" hidden="false" customHeight="true" outlineLevel="0" collapsed="false">
      <c r="AA78" s="71"/>
      <c r="AB78" s="72"/>
      <c r="AC78" s="49"/>
      <c r="AD78" s="49"/>
      <c r="AE78" s="49"/>
      <c r="AF78" s="49"/>
    </row>
  </sheetData>
  <mergeCells count="2">
    <mergeCell ref="D6:H8"/>
    <mergeCell ref="I6:K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.57"/>
    <col collapsed="false" customWidth="true" hidden="false" outlineLevel="0" max="3" min="3" style="0" width="24.15"/>
    <col collapsed="false" customWidth="true" hidden="false" outlineLevel="0" max="4" min="4" style="0" width="2.14"/>
    <col collapsed="false" customWidth="true" hidden="false" outlineLevel="0" max="6" min="5" style="0" width="10.67"/>
    <col collapsed="false" customWidth="true" hidden="false" outlineLevel="0" max="7" min="7" style="0" width="14.57"/>
    <col collapsed="false" customWidth="true" hidden="false" outlineLevel="0" max="8" min="8" style="0" width="2.85"/>
    <col collapsed="false" customWidth="true" hidden="false" outlineLevel="0" max="1025" min="9" style="0" width="10.67"/>
  </cols>
  <sheetData>
    <row r="1" customFormat="false" ht="13.5" hidden="false" customHeight="false" outlineLevel="0" collapsed="false">
      <c r="B1" s="103"/>
      <c r="C1" s="103"/>
      <c r="D1" s="103"/>
      <c r="E1" s="103"/>
      <c r="F1" s="103"/>
      <c r="G1" s="103"/>
      <c r="H1" s="103"/>
    </row>
    <row r="2" customFormat="false" ht="14.25" hidden="false" customHeight="false" outlineLevel="0" collapsed="false">
      <c r="B2" s="358"/>
      <c r="C2" s="359"/>
      <c r="D2" s="359"/>
      <c r="E2" s="359"/>
      <c r="F2" s="359"/>
      <c r="G2" s="359"/>
      <c r="H2" s="360"/>
    </row>
    <row r="3" customFormat="false" ht="27" hidden="false" customHeight="true" outlineLevel="0" collapsed="false">
      <c r="B3" s="361"/>
      <c r="C3" s="362" t="s">
        <v>197</v>
      </c>
      <c r="D3" s="346"/>
      <c r="E3" s="363" t="s">
        <v>198</v>
      </c>
      <c r="F3" s="363" t="s">
        <v>199</v>
      </c>
      <c r="G3" s="363" t="s">
        <v>200</v>
      </c>
      <c r="H3" s="347"/>
    </row>
    <row r="4" customFormat="false" ht="14.25" hidden="false" customHeight="false" outlineLevel="0" collapsed="false">
      <c r="B4" s="361"/>
      <c r="C4" s="362"/>
      <c r="D4" s="346"/>
      <c r="E4" s="364" t="s">
        <v>201</v>
      </c>
      <c r="F4" s="364" t="s">
        <v>202</v>
      </c>
      <c r="G4" s="364" t="s">
        <v>203</v>
      </c>
      <c r="H4" s="347"/>
    </row>
    <row r="5" customFormat="false" ht="13.5" hidden="false" customHeight="false" outlineLevel="0" collapsed="false">
      <c r="B5" s="361"/>
      <c r="C5" s="346"/>
      <c r="D5" s="346"/>
      <c r="E5" s="350"/>
      <c r="F5" s="350"/>
      <c r="G5" s="350"/>
      <c r="H5" s="347"/>
    </row>
    <row r="6" customFormat="false" ht="12.75" hidden="false" customHeight="false" outlineLevel="0" collapsed="false">
      <c r="B6" s="361"/>
      <c r="C6" s="365" t="s">
        <v>204</v>
      </c>
      <c r="D6" s="346"/>
      <c r="E6" s="366" t="n">
        <v>356</v>
      </c>
      <c r="F6" s="366" t="n">
        <v>23</v>
      </c>
      <c r="G6" s="367" t="n">
        <f aca="false">+F6*E6</f>
        <v>8188</v>
      </c>
      <c r="H6" s="347"/>
    </row>
    <row r="7" customFormat="false" ht="12.75" hidden="false" customHeight="false" outlineLevel="0" collapsed="false">
      <c r="B7" s="361"/>
      <c r="C7" s="365" t="s">
        <v>205</v>
      </c>
      <c r="D7" s="346"/>
      <c r="E7" s="366" t="n">
        <v>196</v>
      </c>
      <c r="F7" s="366" t="n">
        <v>40</v>
      </c>
      <c r="G7" s="367" t="n">
        <f aca="false">+F7*E7</f>
        <v>7840</v>
      </c>
      <c r="H7" s="347"/>
    </row>
    <row r="8" customFormat="false" ht="12.75" hidden="false" customHeight="false" outlineLevel="0" collapsed="false">
      <c r="B8" s="361"/>
      <c r="C8" s="368"/>
      <c r="D8" s="346"/>
      <c r="E8" s="346"/>
      <c r="F8" s="346"/>
      <c r="G8" s="346"/>
      <c r="H8" s="347"/>
    </row>
    <row r="9" customFormat="false" ht="12.75" hidden="false" customHeight="false" outlineLevel="0" collapsed="false">
      <c r="B9" s="361"/>
      <c r="C9" s="369" t="s">
        <v>206</v>
      </c>
      <c r="D9" s="346"/>
      <c r="E9" s="370" t="n">
        <f aca="false">+E7/E6</f>
        <v>0.550561797752809</v>
      </c>
      <c r="F9" s="370" t="n">
        <f aca="false">+F7/F6</f>
        <v>1.73913043478261</v>
      </c>
      <c r="G9" s="370" t="n">
        <f aca="false">+G7/G6</f>
        <v>0.957498778700537</v>
      </c>
      <c r="H9" s="347"/>
    </row>
    <row r="10" customFormat="false" ht="13.5" hidden="false" customHeight="false" outlineLevel="0" collapsed="false">
      <c r="B10" s="371"/>
      <c r="C10" s="356"/>
      <c r="D10" s="356"/>
      <c r="E10" s="372"/>
      <c r="F10" s="372"/>
      <c r="G10" s="372"/>
      <c r="H10" s="357"/>
    </row>
  </sheetData>
  <mergeCells count="1">
    <mergeCell ref="C3:C4"/>
  </mergeCells>
  <conditionalFormatting sqref="E10:G10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E9:G9">
    <cfRule type="iconSet" priority="3">
      <iconSet iconSet="3ArrowsGray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2018-11-01T11:24:29Z</dcterms:created>
  <dc:creator>Régis Janvier</dc:creator>
  <dc:description/>
  <dc:language>fr-FR</dc:language>
  <cp:lastModifiedBy>Régis Janvier</cp:lastModifiedBy>
  <cp:lastPrinted>2018-11-01T14:15:01Z</cp:lastPrinted>
  <dcterms:modified xsi:type="dcterms:W3CDTF">2018-11-07T02:18:52Z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